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B5224A8F-B0DE-D74E-9E8E-4B84D61BAE46}"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T192" i="1"/>
  <c r="BT193" i="1"/>
  <c r="BF194" i="1"/>
  <c r="BT194" i="1"/>
  <c r="BF195" i="1"/>
  <c r="BT195" i="1"/>
  <c r="BF196" i="1"/>
  <c r="BT196" i="1"/>
  <c r="BF197" i="1"/>
  <c r="BT197" i="1"/>
  <c r="BF198" i="1"/>
  <c r="BT198" i="1"/>
  <c r="BT199"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T387" i="1"/>
  <c r="BT388" i="1"/>
  <c r="BT389" i="1"/>
  <c r="BT390" i="1"/>
  <c r="BT391" i="1"/>
  <c r="BT392" i="1"/>
  <c r="BT393" i="1"/>
  <c r="BT394" i="1"/>
  <c r="BT395" i="1"/>
  <c r="BT396" i="1"/>
  <c r="BT397" i="1"/>
  <c r="BT398" i="1"/>
  <c r="BT399" i="1"/>
  <c r="BT400" i="1"/>
  <c r="BT401" i="1"/>
  <c r="BT402" i="1"/>
  <c r="BT403" i="1"/>
  <c r="BT404" i="1"/>
  <c r="BT405" i="1"/>
  <c r="BT406" i="1"/>
  <c r="BT407" i="1"/>
  <c r="BT408" i="1"/>
  <c r="BT409" i="1"/>
  <c r="BT410" i="1"/>
  <c r="BT411" i="1"/>
  <c r="BT412" i="1"/>
  <c r="BT413" i="1"/>
  <c r="BT414" i="1"/>
  <c r="BT415" i="1"/>
  <c r="BT416" i="1"/>
  <c r="BT417" i="1"/>
  <c r="BT418" i="1"/>
  <c r="BT419" i="1"/>
  <c r="BT420" i="1"/>
  <c r="BT421" i="1"/>
  <c r="BT422" i="1"/>
  <c r="BT423" i="1"/>
  <c r="BT424" i="1"/>
  <c r="BT425" i="1"/>
  <c r="BT426" i="1"/>
  <c r="BT427" i="1"/>
  <c r="BT428" i="1"/>
  <c r="BT429" i="1"/>
  <c r="BT430" i="1"/>
  <c r="BT431" i="1"/>
  <c r="BT432" i="1"/>
  <c r="BT433" i="1"/>
  <c r="BT434" i="1"/>
  <c r="BT435" i="1"/>
  <c r="BT436" i="1"/>
  <c r="BF437" i="1"/>
  <c r="BT437" i="1"/>
  <c r="BF438" i="1"/>
  <c r="BT438" i="1"/>
  <c r="BF439" i="1"/>
  <c r="BT439" i="1"/>
  <c r="BF440" i="1"/>
  <c r="BT440"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T461" i="1"/>
  <c r="BF462" i="1"/>
  <c r="BT462" i="1"/>
  <c r="BF463" i="1"/>
  <c r="BT463" i="1"/>
  <c r="BF464" i="1"/>
  <c r="BT464"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T552" i="1"/>
  <c r="BF553" i="1"/>
  <c r="BT553" i="1"/>
  <c r="BF554" i="1"/>
  <c r="BT554" i="1"/>
  <c r="BF555" i="1"/>
  <c r="BT555" i="1"/>
  <c r="BF556" i="1"/>
  <c r="BT556" i="1"/>
  <c r="BT557" i="1"/>
  <c r="BT558" i="1"/>
  <c r="BT559"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T581"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T905" i="1"/>
  <c r="BF906" i="1"/>
  <c r="BT906" i="1"/>
  <c r="BF907" i="1"/>
  <c r="BT907" i="1"/>
  <c r="BF908" i="1"/>
  <c r="BT908" i="1"/>
  <c r="BF909" i="1"/>
  <c r="BT909" i="1"/>
  <c r="BF910" i="1"/>
  <c r="BT910"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T928" i="1"/>
  <c r="BT929" i="1"/>
  <c r="BF930" i="1"/>
  <c r="BT930" i="1"/>
  <c r="BF931" i="1"/>
  <c r="BT931"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<sst xmlns="http://schemas.openxmlformats.org/spreadsheetml/2006/main" count="60102" uniqueCount="18978">
  <si>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</si>
  <si>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</si>
  <si>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</si>
  <si>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</si>
  <si>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</si>
  <si>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</si>
  <si>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</si>
  <si>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</si>
  <si>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</si>
  <si>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</si>
  <si>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</si>
  <si>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</si>
  <si>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</si>
  <si>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</si>
  <si>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</si>
  <si>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</si>
  <si>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</si>
  <si>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</si>
  <si>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</si>
  <si>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</si>
  <si>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</si>
  <si>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</si>
  <si>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</si>
  <si>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</si>
  <si>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</si>
  <si>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</si>
  <si>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</si>
  <si>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</si>
  <si>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</si>
  <si>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</si>
  <si>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</si>
  <si>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</si>
  <si>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</si>
  <si>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</si>
  <si>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</si>
  <si>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</si>
  <si>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</si>
  <si>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</si>
  <si>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</si>
  <si>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</si>
  <si>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</si>
  <si>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</si>
  <si>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</si>
  <si>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</si>
  <si>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</si>
  <si>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</si>
  <si>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</si>
  <si>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</si>
  <si>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</si>
  <si>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</si>
  <si>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</si>
  <si>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</si>
  <si>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</si>
  <si>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</si>
  <si>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</si>
  <si>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</si>
  <si>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</si>
  <si>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</si>
  <si>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</si>
  <si>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</si>
  <si>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</si>
  <si>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</si>
  <si>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</si>
  <si>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</si>
  <si>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</si>
  <si>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</si>
  <si>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</si>
  <si>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</si>
  <si>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</si>
  <si>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</si>
  <si>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</si>
  <si>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</si>
  <si>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</si>
  <si>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Kütter, VT; Pires, ACD; Quintana, GCD; Mirlean, N; Silva, EV; Machado, W; Garnier, J; Aguilera, O; Rosário, RP; Kawakami, SK; Albuquerque, ALS</t>
  </si>
  <si>
    <t/>
  </si>
  <si>
    <t>Kutter, Vinicius Tavares; de Oliveira Pires, Alina Criane; da Rosa Quintana, Guilherme Castro; Mirlean, Nicolai; Silva-Filho, Emmanoel Vieira; Machado, Wilson; Garnier, Jeremie; Aguilera, Orangel; Rosario, Renan Peixoto; Kawakami, Silvia Keiko; Spadano Albuquerque, Ana Luiza</t>
  </si>
  <si>
    <t>Mercury distribution in water masses of the South Atlantic Ocean (24°S to 20°S), Brazilian Exclusive Economic Zone</t>
  </si>
  <si>
    <t>MARINE POLLUTION BULLETIN</t>
  </si>
  <si>
    <t>English</t>
  </si>
  <si>
    <t>Article</t>
  </si>
  <si>
    <t>Upwelling; Cabo Frio; Vitoria-Trindade ridge; Coastal shelf; Campos basin</t>
  </si>
  <si>
    <t>RIO-DE-JANEIRO; WESTERN BOUNDARY CURRENT; CABO FRIO; GUANABARA BAY; ATMOSPHERIC DEPOSITION; UPWELLING REGION; CAMPOS BASIN; 2 ESTUARIES; COLD SEEP; SPECIATION</t>
  </si>
  <si>
    <t>Mercury (Hg) is a toxic globally spread pollutant that has been found at increasing concentrations in the South Atlantic Ocean. The present work provides the first insight into the total mercury (HgT, unfiltered waters) content in the water of the Brazilian Exclusive Economic Zone (BEEZ), within a 24 degrees S to 20 degrees S. Water samples were collected from surface to 3400 m depth along transects, and analyzed with atomic fluorescence. The mean HgT concentration for the Tropical Water mass (TW) was 6.3 +/- 1.4 pM (n = 16), for the South Atlantic Central Water (SACW), 5.9 +/- 0.7 pM (n = 8), for the Antarctic Intermediate Water (AAIW), 5.0 +/- 0.6 pM (n = 2), for the Upper Circumpolar Deep Water (UCDW), 6.5 pM (n = 1), and for the North Atlantic Deep Water (NADW), 5.7 +/- 0.9 pM (n = 12). HgT concentrations were highest throughout the BEEZ in comparison with other parts of the Atlantic Ocean, farther from the coast.</t>
  </si>
  <si>
    <t>[Kutter, Vinicius Tavares; de Oliveira Pires, Alina Criane; Rosario, Renan Peixoto; Kawakami, Silvia Keiko] Univ Fed Para, Fac Oceanog, Inst Geociencias, Augusto Correa 1, BR-66075110 Belem, Para, Brazil; [da Rosa Quintana, Guilherme Castro; Mirlean, Nicolai] Univ Fed Rio Grande FURG, Inst Oceanog, Av Italia,Km 8, BR-96201900 Rio Grande, RS, Brazil; [Silva-Filho, Emmanoel Vieira; Machado, Wilson; Spadano Albuquerque, Ana Luiza] Univ Fed Fluminense, Inst Quim, Dept Geoquim, Outeiro Sao Joao Batista S-N, BR-24020141 Niteroi, RJ, Brazil; [Garnier, Jeremie] Univ Brasilia, Inst Geociencias, Campus Darcy Ribeiro L2, Brasilia, DF, Brazil; [Aguilera, Orangel] Univ Fed Fluminense, Inst Biol Marinha, Lab Paleoecol &amp; Mudancas Globais, Campus Gragoata,Bloco M, BR-24210200 Niteroi, RJ, Brazil</t>
  </si>
  <si>
    <t>Universidade Federal do Para; Universidade Federal do Rio Grande; Universidade Federal Fluminense; Universidade de Brasilia; Universidade Federal Fluminense</t>
  </si>
  <si>
    <t>Kütter, VT (corresponding author), Univ Fed Para, Fac Oceanog, Inst Geociencias, Augusto Correa 1, BR-66075110 Belem, Para, Brazil.</t>
  </si>
  <si>
    <t>kutter@ufpa.gr</t>
  </si>
  <si>
    <t>Albuquerque, Ana Luiza S/C-5167-2013; Kawakami, Silvia K/C-1824-2013; Silva-Filho, Emmanoel/Y-7281-2019</t>
  </si>
  <si>
    <t>Kawakami, Silvia K/0000-0002-0548-7976; Castro da Rosa Quintana, Guilherme/0000-0002-5331-3137; Silva-Filho, Emmanoel/0000-0001-6444-6851</t>
  </si>
  <si>
    <t>Geochemistry Network from PETROBRAS/Cenpes; National Petroleum Agency (ANP), Brazil [0050.004388.08.9]; National Council for Research and Development (Cnpq, Brazil) [458041/2014-9]; CAPES [PDEE 455209-1]</t>
  </si>
  <si>
    <t>Geochemistry Network from PETROBRAS/Cenpes; National Petroleum Agency (ANP), Brazil; National Council for Research and Development (Cnpq, Brazil)(Conselho Nacional de Desenvolvimento Cientifico e Tecnologico (CNPQ)); CAPES(Coordenacao de Aperfeicoamento de Pessoal de Nivel Superior (CAPES))</t>
  </si>
  <si>
    <t>This study was supported by the Geochemistry Network from PETROBRAS/Cenpes and the National Petroleum Agency (ANP), Brazil (grant 0050.004388.08.9) within the scope of the Upwelling Project (Projeto Ressurgencia) and National Council for Research and Development (Cnpq, Brazil)(grant 458041/2014-9). The authors would like to thank CAPES (grant PDEE 455209-1) and the Marine Navy of Brazil.</t>
  </si>
  <si>
    <t>PERGAMON-ELSEVIER SCIENCE LTD</t>
  </si>
  <si>
    <t>OXFORD</t>
  </si>
  <si>
    <t>THE BOULEVARD, LANGFORD LANE, KIDLINGTON, OXFORD OX5 1GB, ENGLAND</t>
  </si>
  <si>
    <t>0025-326X</t>
  </si>
  <si>
    <t>1879-3363</t>
  </si>
  <si>
    <t>MAR POLLUT BULL</t>
  </si>
  <si>
    <t>Mar. Pollut. Bull.</t>
  </si>
  <si>
    <t>MAR</t>
  </si>
  <si>
    <t>10.1016/j.marpolbul.2022.113425</t>
  </si>
  <si>
    <t>FEB 2022</t>
  </si>
  <si>
    <t>Environmental Sciences; Marine &amp; Freshwater Biology</t>
  </si>
  <si>
    <t>Science Citation Index Expanded (SCI-EXPANDED)</t>
  </si>
  <si>
    <t>Environmental Sciences &amp; Ecology; Marine &amp; Freshwater Biology</t>
  </si>
  <si>
    <t>0G2EW</t>
  </si>
  <si>
    <t>2024-04-21</t>
  </si>
  <si>
    <t>WOS:000777864700003</t>
  </si>
  <si>
    <t>Desboeufs, K; Fu, F; Bressac, M; Tovar-Sánchez, A; Triquet, S; Doussin, JF; Giorio, C; Chazette, P; Disnaquet, J; Feron, A; Formenti, P; Maisonneuve, F; Rodríguez-Romero, A; Zapf, P; Dulac, F; Guieu, C</t>
  </si>
  <si>
    <t>Desboeufs, Karine; Fu, Franck; Bressac, Matthieu; Tovar-Sanchez, Antonio; Triquet, Sylvain; Doussin, Jean-Francois; Giorio, Chiara; Chazette, Patrick; Disnaquet, Julie; Feron, Anais; Formenti, Paola; Maisonneuve, Franck; Rodriguez-Romero, Araceli; Zapf, Pascal; Dulac, Francois; Guieu, Cecile</t>
  </si>
  <si>
    <t>Wet deposition in the remote western and central Mediterranean as a source of trace metals to surface seawater</t>
  </si>
  <si>
    <t>ATMOSPHERIC CHEMISTRY AND PHYSICS</t>
  </si>
  <si>
    <t>ATMOSPHERIC DEPOSITION; DUST DEPOSITION; SAHARAN DUST; CHEMICAL-COMPOSITION; SOURCE APPORTIONMENT; IBERIAN PENINSULA; AEROSOL TRANSPORT; ORGANIC NITROGEN; MINERAL DUST; SOUTH-EAST</t>
  </si>
  <si>
    <t>This study reports the only recent characterization of two contrasted wet deposition events collected during the PEACETIME (ProcEss studies at the Air-sEa Interface after dust deposition in the MEditerranean Sea) cruise in the open Mediterranean Sea (Med Sea) and their impact on trace metal (TM) marine stocks. Rain samples were analysed for Al, 12 TMs (Co, Cd, Cr, Cu, Fe, Mn, Mo, Ni, Pb, Ti, V and Zn) and nutrient (N, P, dissolved organic carbon) concentrations. The first rain sample collected in the Ionian Sea (Rain ION) was a typical regional background wet deposition event, whereas the second rain sample collected in the Algerian Basin (Rain FAST) was a Saharan dust wet deposition event. Even in the remote Med Sea, all background TM inputs presented an anthropogenic signature, except for Fe, Mn and Ti. The concentrations of TMs in the two rain samples were significantly lower compared to concentrations in rains collected at coastal sites reported in the literature, due to the decrease in anthropogenic emissions during the preceding decades. The atmospheric TM inputs were mainly dissolved forms, even in dusty Rain FAST. The TM stocks in the mixed layer (ML, 0-20 m) at the FAST station before and after the event showed that the atmospheric inputs were a significant supply of particulate TMs and dissolved Fe and Co for surface seawater. Even if the wet deposition delivers TMs mainly in soluble form, the post-deposition aerosol dissolution could to be a key additional pathway in the supply of dissolved TMs. At the scale of the western and central Mediterranean, the atmospheric inputs were of the same order of magnitude as ML stocks for dissolved Fe, Co and Zn, highlighting the role of the atmosphere in their biogeochemical cycles in the stratified Med Sea. In case of intense dust-rich wet deposition events, the role of atmospheric inputs as an external source was extended to dissolved Co, Fe, Mn, Pb and Zn. Our results suggest that the wet deposition constitutes only a source of some of dissolved TMs for Med Sea surface waters. The contribution of dry deposition to the atmospheric TM inputs needs to be investigated.</t>
  </si>
  <si>
    <t>[Desboeufs, Karine; Fu, Franck; Triquet, Sylvain; Feron, Anais; Formenti, Paola] Univ Paris, F-75013 Paris, France; [Desboeufs, Karine; Fu, Franck; Triquet, Sylvain; Feron, Anais; Formenti, Paola] Univ Paris Est Creteil, CNRS, LISA, UMR 7583, F-75013 Paris, France; [Bressac, Matthieu] Univ Tasmania, Inst Marine &amp; Antarctic Studies, Hobart, Tas, Australia; [Bressac, Matthieu; Guieu, Cecile] Sorbonne Univ, CNRS, Lab Oceanog Villefranche, LOV, F-06230 Villefranche Sur Mer, France; [Tovar-Sanchez, Antonio] Inst Marine Sci Andalusia CSIC, Dept Ecol &amp; Coastal Management, Cadiz 11510, Spain; [Doussin, Jean-Francois; Maisonneuve, Franck; Zapf, Pascal] Univ Paris Est Creteil, F-94010 Creteil, France; [Doussin, Jean-Francois; Maisonneuve, Franck; Zapf, Pascal] Univ Paris, CNRS, LISA, UMR 7583, F-94010 Creteil, France; [Giorio, Chiara] Aix Marseille Univ, CNRS, Lab Chim Environm LCE, UMR 7376, F-13331 Marseille, France; [Giorio, Chiara] Univ Cambridge, Yusuf Hamied Dept Chem, Lensfield Rd, Cambridge CB2 1EW, England; [Chazette, Patrick; Dulac, Francois] Univ Paris Saclay, Inst Pierre Simon Laplace, Lab Sci Climat &amp; Environm LSCE, CEA,CNRS,UVSQ,UMR 8212, F-91191 Gif Sur Yvette, France; [Disnaquet, Julie] Scripps Inst Oceanog, UCSD, Marine Biol Res Div, La Jolla, CA 92037 USA; [Disnaquet, Julie] Sorbonne Univ, CNRS, Lab Oceanog Microbienne, LOMIC, F-66650 Banyuls Sur Mer, France</t>
  </si>
  <si>
    <t>Universite Paris Cite; Universite Paris-Est-Creteil-Val-de-Marne (UPEC); Universite Paris Cite; Centre National de la Recherche Scientifique (CNRS); CNRS - National Institute for Earth Sciences &amp; Astronomy (INSU); University of Tasmania; Sorbonne Universite; Centre National de la Recherche Scientifique (CNRS); Consejo Superior de Investigaciones Cientificas (CSIC); Universite Paris-Est-Creteil-Val-de-Marne (UPEC); Universite Paris-Est-Creteil-Val-de-Marne (UPEC); Universite Gustave-Eiffel; Centre National de la Recherche Scientifique (CNRS); CNRS - National Institute for Earth Sciences &amp; Astronomy (INSU); Universite Paris Cite; Centre National de la Recherche Scientifique (CNRS); CNRS - Institute of Chemistry (INC); Aix-Marseille Universite; University of Cambridge; Universite Paris Saclay; Universite Paris Cite; Centre National de la Recherche Scientifique (CNRS); CNRS - National Institute for Earth Sciences &amp; Astronomy (INSU); CEA; University of California System; University of California San Diego; Scripps Institution of Oceanography; Sorbonne Universite; Centre National de la Recherche Scientifique (CNRS)</t>
  </si>
  <si>
    <t>Desboeufs, K (corresponding author), Univ Paris, F-75013 Paris, France.;Desboeufs, K (corresponding author), Univ Paris Est Creteil, CNRS, LISA, UMR 7583, F-75013 Paris, France.</t>
  </si>
  <si>
    <t>karine.desboeufs@lisa.ipsl.fr</t>
  </si>
  <si>
    <t>DOUSSIN, Jean-Francois/AAT-3084-2021; Giorio, Chiara/O-1707-2015; Dulac, François/AAD-6573-2019; Rodríguez, Araceli/GXM-7707-2022; Tovar-Sánchez, Antonio/B-8003-2010</t>
  </si>
  <si>
    <t>DOUSSIN, Jean-Francois/0000-0002-8042-7228; Giorio, Chiara/0000-0001-7821-7398; Rodríguez, Araceli/0000-0002-6718-1040; Guieu, Cecile/0000-0001-6373-8326; Chazette, Patrick/0000-0002-6230-2982; Bressac, Matthieu/0000-0003-3075-3137; DESBOEUFS, Karine/0000-0002-7766-6877; Tovar-Sanchez, Antonio/0000-0003-4375-1982; Dinasquet, Julie/0000-0002-3401-764X</t>
  </si>
  <si>
    <t>COPERNICUS GESELLSCHAFT MBH</t>
  </si>
  <si>
    <t>GOTTINGEN</t>
  </si>
  <si>
    <t>BAHNHOFSALLEE 1E, GOTTINGEN, 37081, GERMANY</t>
  </si>
  <si>
    <t>1680-7316</t>
  </si>
  <si>
    <t>1680-7324</t>
  </si>
  <si>
    <t>ATMOS CHEM PHYS</t>
  </si>
  <si>
    <t>Atmos. Chem. Phys.</t>
  </si>
  <si>
    <t>FEB 18</t>
  </si>
  <si>
    <t>10.5194/acp-22-2309-2022</t>
  </si>
  <si>
    <t>Environmental Sciences; Meteorology &amp; Atmospheric Sciences</t>
  </si>
  <si>
    <t>Environmental Sciences &amp; Ecology; Meteorology &amp; Atmospheric Sciences</t>
  </si>
  <si>
    <t>ZG6UX</t>
  </si>
  <si>
    <t>Green Submitted, gold</t>
  </si>
  <si>
    <t>WOS:000760393000001</t>
  </si>
  <si>
    <t>Yin, Z; Zuo, C; MacKie, EJ; Caers, J</t>
  </si>
  <si>
    <t>Yin, Zhen; Zuo, Chen; MacKie, Emma J.; Caers, Jef</t>
  </si>
  <si>
    <t>Mapping high-resolution basal topography of West Antarctica from radar data using non-stationary multiple-point geostatistics (MPS-BedMappingV1)</t>
  </si>
  <si>
    <t>GEOSCIENTIFIC MODEL DEVELOPMENT</t>
  </si>
  <si>
    <t>THWAITES GLACIER; CONDITIONAL SIMULATION; STOCHASTIC SIMULATION; ELEVATION MODEL; BED TOPOGRAPHY; ICE THICKNESS; TIME-SERIES; IMAGES; VARIABLES; SELECTION</t>
  </si>
  <si>
    <t>The subglacial bed topography is critical for modelling the evolution of Thwaites Glacier in the Amundsen Sea Embayment (ASE), where rapid ice loss threatens the stability of the West Antarctic Ice Sheet. However, mapping of subglacial topography is subject to uncertainties of up to hundreds of metres, primarily due to large gaps of up to tens of kilometres in airborne ice-penetrating radar flight lines. Deterministic interpolation approaches do not reflect such spatial uncertainty. While traditional geostatistical simulations can model such uncertainty, they become difficult to apply because of the significant non-stationary spatial variation of topography over such large surface area. In this study, we develop a non-stationary multiple-point geostatistical (MPS) approach to interpolate large areas with irregular geophysical data and apply it to model the spatial uncertainty of entire ASE basal topography. We collect 166 high-quality topographic training images (TIs) of resolution 500 m to train the gap-filling of radar data gaps, thereby simulating realistic topography maps. The TIs are extensively sampled from deglaciated regions in the Arctic as well as Antarctica. To address the non-stationarity in topographic modelling, we introduce a Bayesian framework that models the posterior distribution of non-stationary TIs assigned to the local line data. Sampling from this distribution then provides candidate training images for local topographic modelling with uncertainty, constrained to radar flight line data. Compared to traditional MPS approaches that do not consider uncertain TI sampling, our approach results in a significant improvement in the topographic modelling quality and efficiency of the simulation algorithm. Finally, we simulate multiple realizations of high-resolution ASE topographic maps. We use the multiple realizations to investigate the impact of basal topography uncertainty on subglacial hydrological flow patterns.</t>
  </si>
  <si>
    <t>[Yin, Zhen; Caers, Jef] Stanford Univ, Dept Geol Sci, Stanford, CA 94305 USA; [Zuo, Chen] Changan Univ, Dept Big Data Management &amp; Applicat, Xian, Peoples R China; [MacKie, Emma J.] Stanford Univ, Dept Geophys, Stanford, CA 94305 USA</t>
  </si>
  <si>
    <t>Stanford University; Chang'an University; Stanford University</t>
  </si>
  <si>
    <t>Caers, J (corresponding author), Stanford Univ, Dept Geol Sci, Stanford, CA 94305 USA.;Zuo, C (corresponding author), Changan Univ, Dept Big Data Management &amp; Applicat, Xian, Peoples R China.</t>
  </si>
  <si>
    <t>chenzuo789@outlook.com; jcaers@stanford.edu</t>
  </si>
  <si>
    <t>Yin, Zhen/AEL-3854-2022; Caers, Jef/B-1583-2012</t>
  </si>
  <si>
    <t>Yin, Zhen/0000-0001-9215-4426; Zuo, Chen/0000-0002-0115-1674; Caers, Jef/0000-0003-0262-9905</t>
  </si>
  <si>
    <t>1991-959X</t>
  </si>
  <si>
    <t>1991-9603</t>
  </si>
  <si>
    <t>GEOSCI MODEL DEV</t>
  </si>
  <si>
    <t>Geosci. Model Dev.</t>
  </si>
  <si>
    <t>10.5194/gmd-15-1477-2022</t>
  </si>
  <si>
    <t>Geosciences, Multidisciplinary</t>
  </si>
  <si>
    <t>Geology</t>
  </si>
  <si>
    <t>ZG5MG</t>
  </si>
  <si>
    <t>gold, Green Submitted</t>
  </si>
  <si>
    <t>WOS:000760301100001</t>
  </si>
  <si>
    <t>Dang, M; Dien, TD; Ha, VT; Hua, VC; Thanh, NTH; Nowak, BF</t>
  </si>
  <si>
    <t>Mai Dang; Tran Duc Dien; Vo Thi Ha; Viet Cuong Hua; Nguyen Thi Hai Thanh; Nowak, Barbara F.</t>
  </si>
  <si>
    <t>Epitheliocystis in armoured catfish (Pterygoplichthys spp.), anabas (Anabas testudineus) and tilapia (Oreochromis niloticus) in central Vietnam</t>
  </si>
  <si>
    <t>JOURNAL OF FISH DISEASES</t>
  </si>
  <si>
    <t>anabas; armoured catfish; epitheliocystis; southeast Asia; tilapia; wild fish</t>
  </si>
  <si>
    <t>CARP CYPRINUS-CARPIO; BREAM SPARUS-AURATA; ATLANTIC SALMON; SILURIFORMES LORICARIIDAE; SEA; CHLAMYDIALES; BACTERIUM; INFECTION; DISEASE; AGENTS</t>
  </si>
  <si>
    <t>[Mai Dang; Viet Cuong Hua] Inst Vet Res &amp; Dev Cent Vietnam, Km4,2-4 St, Nha Trang 57000, Khanh Hoa, Vietnam; [Tran Duc Dien; Vo Thi Ha; Nguyen Thi Hai Thanh] Vietnam Russia Trop Ctr, Coastal Branch, Nha Trang, Vietnam; [Nowak, Barbara F.] Univ Tasmania, Inst Marine &amp; Antarctic Studies, Launceston, Tas, Australia</t>
  </si>
  <si>
    <t>University of Tasmania</t>
  </si>
  <si>
    <t>Dang, M (corresponding author), Inst Vet Res &amp; Dev Cent Vietnam, Km4,2-4 St, Nha Trang 57000, Khanh Hoa, Vietnam.</t>
  </si>
  <si>
    <t>morning46@gmail.com</t>
  </si>
  <si>
    <t>Nowak, Barbara/J-7261-2014</t>
  </si>
  <si>
    <t>Dang, Mai T. S./0000-0003-2542-120X</t>
  </si>
  <si>
    <t>Vingroup Joint Stock Company; Domestic Master/PhD Scholarship Programme of Vingroup Innovation Foundation (VINIF), Vingroup Big Data Institute (VINBIGDATA) [VINIF.2020.TS.84]</t>
  </si>
  <si>
    <t>Vingroup Joint Stock Company; Domestic Master/PhD Scholarship Programme of Vingroup Innovation Foundation (VINIF), Vingroup Big Data Institute (VINBIGDATA)</t>
  </si>
  <si>
    <t>This study was carried out within the framework of the Ecolan 3.2. `Taxonomic diversity, ecology and behavior of freshwater hydrobionts' project. Tran Duc Dien was funded by Vingroup Joint Stock Company and supported by the Domestic Master/PhD Scholarship Programme of Vingroup Innovation Foundation (VINIF), Vingroup Big Data Institute ( VINBIGDATA), code VINIF.2020.TS.84.</t>
  </si>
  <si>
    <t>WILEY</t>
  </si>
  <si>
    <t>HOBOKEN</t>
  </si>
  <si>
    <t>111 RIVER ST, HOBOKEN 07030-5774, NJ USA</t>
  </si>
  <si>
    <t>0140-7775</t>
  </si>
  <si>
    <t>1365-2761</t>
  </si>
  <si>
    <t>J FISH DIS</t>
  </si>
  <si>
    <t>J. Fish Dis.</t>
  </si>
  <si>
    <t>MAY</t>
  </si>
  <si>
    <t>10.1111/jfd.13598</t>
  </si>
  <si>
    <t>Fisheries; Marine &amp; Freshwater Biology; Veterinary Sciences</t>
  </si>
  <si>
    <t>0K8SL</t>
  </si>
  <si>
    <t>WOS:000757527300001</t>
  </si>
  <si>
    <t>Mutz, SG; Aschauer, J</t>
  </si>
  <si>
    <t>Mutz, Sebastian G.; Aschauer, Johannes</t>
  </si>
  <si>
    <t>Empirical glacier mass-balance models for South America</t>
  </si>
  <si>
    <t>JOURNAL OF GLACIOLOGY</t>
  </si>
  <si>
    <t>Climate change; glacier mass-balance; glacier modelling; mountain glaciers</t>
  </si>
  <si>
    <t>JUNCAL NORTE GLACIER; ENERGY-BALANCE; CORDILLERA BLANCA; ANDES CORDILLERA; TROPICAL CLIMATE; SEMIARID ANDES; ICE THICKNESS; ZONGO GLACIER; EVOLUTION; ALTITUDE</t>
  </si>
  <si>
    <t>We investigate relationships between synoptic-scale atmospheric variability and the mass-balance of 13 Andean glaciers (located 16-55 degrees S) using Pearson correlation coefficients (PCCs) and multiple regressions. We then train empirical glacier mass-balance models (EGMs) in a cross-validated multiple regression procedure for each glacier. We find four distinct glaciological zones with regard to their climatic controls: (1) The mass-balance of the Outer Tropics glaciers is linked to temperature and the El Nino-Southern Oscillation (PCC &lt;= 0.6), (2) glaciers of the Desert Andes are mainly controlled by zonal wind intensity (PCC &lt;= 0.9) and the Antarctic Oscillation (PCC &lt;= 0.6), (3) the mass-balance of the Central Andes glaciers is primarily correlated with precipitation anomalies (PCC &lt;= 0.8), and (4) the glacier of the Fuegian Andes is controlled by winter precipitation (PCC approximate to 0.7) and summer temperature (PCC approximate to -0.9). Mass-balance data in the Lakes District and Patagonian Andes zones, where most glaciers are located, are too sparse for a robust detection of synoptic-scale climatic controls. The EGMs yield R-2 values of similar to 0.45 on average and &lt;= 0.74 for the glaciers of the Desert Andes. The EGMs presented here do not consider glacier dynamics or geometry and are therefore only suitable for short-term predictions.</t>
  </si>
  <si>
    <t>[Mutz, Sebastian G.; Aschauer, Johannes] Univ Tubingen, Dept Geosci, Tubingen, Germany</t>
  </si>
  <si>
    <t>Eberhard Karls University of Tubingen</t>
  </si>
  <si>
    <t>Mutz, SG (corresponding author), Univ Tubingen, Dept Geosci, Tubingen, Germany.</t>
  </si>
  <si>
    <t>sebastian.mutz@uni-tuebingen.de</t>
  </si>
  <si>
    <t>Mutz, Sebastian Gerhard/0000-0001-8180-6150; Aschauer, Johannes/0000-0002-2605-8003</t>
  </si>
  <si>
    <t>DFG [EH329/14-2]</t>
  </si>
  <si>
    <t>DFG(German Research Foundation (DFG))</t>
  </si>
  <si>
    <t>Support for this project was provided by DFG grant EH329/14-2 to T. Ehlers. We thank the European Centre for Medium Range Weather Forecasts for providing the ERA-Interim reanalysis data, and thank the World Glacier Monitoring Service (WGMS) for providing the glacier data used in this study. We also thank the World Climate Research Programme and the climate modelling groups, the Max Planck Institute for Meteorology, for producing and providing their model output. Finally, we thank the scientific editor Fanny Brun and the two anonymous reviewers for their very thorough and helpful reviews of our manuscript.</t>
  </si>
  <si>
    <t>CAMBRIDGE UNIV PRESS</t>
  </si>
  <si>
    <t>CAMBRIDGE</t>
  </si>
  <si>
    <t>EDINBURGH BLDG, SHAFTESBURY RD, CB2 8RU CAMBRIDGE, ENGLAND</t>
  </si>
  <si>
    <t>0022-1430</t>
  </si>
  <si>
    <t>1727-5652</t>
  </si>
  <si>
    <t>J GLACIOL</t>
  </si>
  <si>
    <t>J. Glaciol.</t>
  </si>
  <si>
    <t>OCT</t>
  </si>
  <si>
    <t>PII S0022143022000065</t>
  </si>
  <si>
    <t>10.1017/jog.2022.6</t>
  </si>
  <si>
    <t>Geography, Physical; Geosciences, Multidisciplinary</t>
  </si>
  <si>
    <t>Physical Geography; Geology</t>
  </si>
  <si>
    <t>4M7SS</t>
  </si>
  <si>
    <t>gold, Green Published</t>
  </si>
  <si>
    <t>WOS:000757695800001</t>
  </si>
  <si>
    <t>Lin, YW; Yin, WT; Li, YJ; Liu, GQ</t>
  </si>
  <si>
    <t>Lin, Yunwei; Yin, Wenting; Li, Yujie; Liu, Guoqin</t>
  </si>
  <si>
    <t>Influence of different solid lipids on the properties of a novel nanostructured lipid carrier containing Antarctic krill oil</t>
  </si>
  <si>
    <t>INTERNATIONAL JOURNAL OF FOOD SCIENCE AND TECHNOLOGY</t>
  </si>
  <si>
    <t>Antarctic krill oil; crystallisation; nanostructured lipid carrier; particle size; solid lipids</t>
  </si>
  <si>
    <t>FISH-OIL; EUPHAUSIA-SUPERBA; CORN-OIL; NANOPARTICLES; CRYSTALLIZATION; ENCAPSULATION; FORMULATION; STABILITY; OXIDATION; BEESWAX</t>
  </si>
  <si>
    <t>This study aimed to investigate the effect of solid lipids (lauric acid (LAU), myristic acid (MYR), stearic acid (STE), glycerol monostearate (GMS), glycerol 1,3-distearate (GDS), glycerol tristearate (GTS), glycerol trimyristate (GTM) and glycerol trilaurate (GTL)) on the characteristics of novel nanostructured lipid carrier (NLC) containing Antarctic krill oil through ultrasound. The fatty acids (LAU, MYR, STE and GMS) were unsuitable solid lipid materials, as apparent stratification was quickly observed during the NLC preparation. NLCs were successfully prepared using GTS, GTM, GTL and GDS. The zeta potential of all NLCs exceeded -30 mV indicating good uniformity and stability. These NLCs appeared spherical or oval. Differential calorimetry and X-ray diffraction analysis revealed these NLCs formed imperfect crystals. As the carbon chain length of triglycerides increased from C-12 to C-18, the particle size of NLCs increased from 235.8 +/- 2.3 nm to 340.5 +/- 2.2 nm, the degree of recrystallisation increased from 39.06% to 49.99%, while the EPA encapsulation efficiency decreased from 88.72 +/- 0.47% to 72.86 +/- 1.06%. NLC prepared with GDS had the smallest particle size (112.4 +/- 0.4 nm), the lowest recrystallisation and the highest EPA encapsulation efficiency (&gt;99%). GDS was the most suitable to prepare high encapsulate efficiency krill oil-loaded NLC.</t>
  </si>
  <si>
    <t>[Lin, Yunwei; Li, Yujie; Liu, Guoqin] South China Univ Technol, Sch Food Sci &amp; Engn, Guangzhou 510640, Peoples R China; [Yin, Wenting] Henan Univ Technol, Sch Food Sci &amp; Technol, 100 Lianhua Rd, Zhengzhou 450001, Peoples R China</t>
  </si>
  <si>
    <t>South China University of Technology; Henan University of Technology</t>
  </si>
  <si>
    <t>Liu, GQ (corresponding author), South China Univ Technol, Sch Food Sci &amp; Engn, Guangzhou 510640, Peoples R China.</t>
  </si>
  <si>
    <t>guoqin@scut.edu.cn</t>
  </si>
  <si>
    <t>yujie, lei/JQW-7495-2023; Li, YuJie/HGT-8657-2022; Li, yu/HHZ-5236-2022; Luo, yujie/KGK-3881-2024; Li, YuJie/JAC-4451-2023</t>
  </si>
  <si>
    <t>Liu, Guoqin/0000-0001-9513-1115</t>
  </si>
  <si>
    <t>National Natural Science Fundation of China [U21A20270, 31972002, 31771895]; Key Research and Development Program of Guangdong Province [2019B020212001]; Ministry of Education Engineering Research Center of Starch &amp; Protein Processing, Guangdong Province Laboratory for Green Processing of Natural Products and Product Safety; China Agriculture Research System [CARS14-1-29]; Henan University of Technology High-Level Talents Fund [2018BS060]</t>
  </si>
  <si>
    <t>National Natural Science Fundation of China(National Natural Science Foundation of China (NSFC)); Key Research and Development Program of Guangdong Province; Ministry of Education Engineering Research Center of Starch &amp; Protein Processing, Guangdong Province Laboratory for Green Processing of Natural Products and Product Safety; China Agriculture Research System; Henan University of Technology High-Level Talents Fund</t>
  </si>
  <si>
    <t>This work was financially supported by the National Natural Science Fundation of China [grant numbers: U21A20270, 31972002 and 31771895], the Key Research and Development Program of Guangdong Province [grant number 2019B020212001], Ministry of Education Engineering Research Center of Starch &amp; Protein Processing, Guangdong Province Laboratory for Green Processing of Natural Products and Product Safety, the China Agriculture Research System [CARS14-1-29] and Henan University of Technology High-Level Talents Fund [2018BS060].</t>
  </si>
  <si>
    <t>0950-5423</t>
  </si>
  <si>
    <t>1365-2621</t>
  </si>
  <si>
    <t>INT J FOOD SCI TECH</t>
  </si>
  <si>
    <t>Int. J. Food Sci. Technol.</t>
  </si>
  <si>
    <t>SI</t>
  </si>
  <si>
    <t>10.1111/ijfs.15588</t>
  </si>
  <si>
    <t>Food Science &amp; Technology</t>
  </si>
  <si>
    <t>0O3BN</t>
  </si>
  <si>
    <t>WOS:000757328300001</t>
  </si>
  <si>
    <t>Kereszturi, A; Aszalos, JM; Heiling, Z; Igneczi, A; Kapui, Z; Kiraly, C; Leel-Ossy, S; Szalai, Z; Nemerkenyi, Z; Pal, B; Skulteti, A; Nagy, B</t>
  </si>
  <si>
    <t>Kereszturi, A.; Aszalos, J. M.; Heiling, Zs; Igneczi, A.; Kapui, Zs; Kiraly, Cs; Leel-Ossy, Sz; Szalai, Z.; Nemerkenyi, Zs; Pal, B.; Skulteti, A.; Nagy, B.</t>
  </si>
  <si>
    <t>Wind-snow interactions at the Ojos del Salado region as a potential Mars analogue site in the Altiplano-Atacama desert region</t>
  </si>
  <si>
    <t>ICARUS</t>
  </si>
  <si>
    <t>Mars; Analogue; Field site; Cryosphere</t>
  </si>
  <si>
    <t>ANTARCTIC DRY VALLEYS; GALE CRATER; LAYERED DEPOSITS; AEOLIAN ACTIVITY; ENDOLITHIC LIFE; HYPERARID CORE; UV-RADIATION; LIQUID WATER; ARID ANDES; CHILE</t>
  </si>
  <si>
    <t>We describe the general characteristics and interactions happening at a unique, potential new Mars analogue site, located in the Altiplano and Atacama Desert region: the Ojos del Salado inactive volcano. The interaction between rare snowing events and strong winds transported large masses of porous volcanic grains there could produce decimeter - meter thick buried snow masses fast, shielded against sublimation for extended periods (years). Subsurface temperature logging suggests that water ice melting is rare and surface modification is dominated by desiccation of the cryosphere and wind activity - just like on Mars. The first analysis of aeolian transported grains in the area points to immature material sized between coarse sand and coarse silt, and indicates the possibility of larger snow occurrence in winter when the site is inaccessible - however further observations are necessary The site contains decameter scale megaripples, which are unusual for Earth and also support the understanding of resemble features on Mars. The shallow subsurface analysis with Mars relevance is supported here by drilled cores of evaporitic sediments presented carbonate, aragonite, anhydrite, talc and clay minerals in the shallow subsurface with Mars relevance. Though the region is generally felsic in composition, basalts can be found at a hillside near Laguna Verde where the effect of extreme conditions (including the strong UV radiation) on rock weathering could be analysed. The temperature, dryness, wind exposure, decreased atmospheric pressure and elevated UV radiation together make Ojos del Salado a unique Mars analogue site, and it is accessible up to 5200 m altitude by regular pick-up trucks via a 5-6 h driving from the Copiapo airport.</t>
  </si>
  <si>
    <t>[Kereszturi, A.; Pal, B.] Konkoly Thege Miklos Astron Inst, Res Ctr Astron &amp; Earth Sci, Konkoly Thege Miklos 15-17, H-1121 Budapest, Hungary; [Aszalos, J. M.] Eotvos Lorand Univ, Dept Microbiol, Pazmany Peter 1-C, H-1117 Budapest, Hungary; [Heiling, Zs] Foldgomb Fdn Res Expedit, Erzsebet Kiralyne Utja 125, H-1142 Budapest, Hungary; [Kapui, Zs] Inst Geol &amp; Geochem Res, Res Ctr Astron &amp; Earth Sci, Budaorsi Ut 45, H-1112 Budapest, Hungary; [Kiraly, Cs; Szalai, Z.; Nemerkenyi, Zs; Skulteti, A.] Res Ctr Astron &amp; Earth Sci, Geog Inst, Budaorsi Ut 45, H-1112 Budapest, Hungary; [Leel-Ossy, Sz] Eotvos Lorand Univ, Dept Phys &amp; Appl Geol, Pazmany Peter 1-C, H-1117 Budapest, Hungary; [Nagy, B.] Eotvos Lorand Univ, Dept Phys Geog, Pazmany Peter 1-C, H-1117 Budapest, Hungary; [Szalai, Z.] Eotvos Lorand Univ, Dept Environm &amp; Landscape Geog, Pazmany Peter 1-C, H-1117 Budapest, Hungary; [Igneczi, A.] Univ Sheffield, Dept Geog, Winter St, Sheffield S3 7ND, S Yorkshire, England; [Kereszturi, A.] European Astrobiol Inst, Strasbourg, France</t>
  </si>
  <si>
    <t>Hungarian Academy of Sciences; Hungarian Research Network; HUN-REN Research Centre for Astronomy &amp; Earth Sciences; Eotvos Lorand University; Hungarian Research Network; Hungarian Academy of Sciences; HUN-REN Research Centre for Astronomy &amp; Earth Sciences; Institute for Geological &amp; Geochemical Research - HAS; Hungarian Academy of Sciences; Hungarian Research Network; HUN-REN Research Centre for Astronomy &amp; Earth Sciences; Eotvos Lorand University; Eotvos Lorand University; Eotvos Lorand University; University of Sheffield</t>
  </si>
  <si>
    <t>Kereszturi, A (corresponding author), Konkoly Thege Miklos Astron Inst, Res Ctr Astron &amp; Earth Sci, Konkoly Thege Miklos 15-17, H-1121 Budapest, Hungary.</t>
  </si>
  <si>
    <t>kereszturi.akos@csfk.org</t>
  </si>
  <si>
    <t>Szalai, Zoltán/AFG-7868-2022</t>
  </si>
  <si>
    <t>Szalai, Zoltán/0000-0001-5267-411X</t>
  </si>
  <si>
    <t>ESA EXODRILTECH project [COOP_NN_116927]; European Research Council (ERC) under the European Unions Horizon 2020 research and innova-tion programme [787263]</t>
  </si>
  <si>
    <t>ESA EXODRILTECH project; European Research Council (ERC) under the European Unions Horizon 2020 research and innova-tion programme(European Research Council (ERC))</t>
  </si>
  <si>
    <t>The research work realized at the Ojos del Salado region was supported by the following projects and funds: The travel to the area was supported by the COOP_NN_116927 project, the drilling was supported by the ESA EXODRILTECH project, and the support from NKFIH for the Size and Shape Laboratory. Part of the field technology and facilities supported by the Hungarian Astronomical Non-profit Ltd. The logistical support is acknowledged from the Foldgomb az Expedicio's Kutatasert Alapitvany, acknowledged from the Foldgomb Foundation, and also from the helpful staff members of the Embassy of Hungary in Santiago, especially from Ambassador Ms. Veronica Chachin (Embassy of Chile in Hungary) and Ambassador Miklos Deak (Embassy of Hungary in San-tiago de Chile) . AI received funding from the European Research Council (ERC) under the European Unions Horizon 2020 research and innova-tion programme (Grant agreement No. 787263) .</t>
  </si>
  <si>
    <t>ACADEMIC PRESS INC ELSEVIER SCIENCE</t>
  </si>
  <si>
    <t>SAN DIEGO</t>
  </si>
  <si>
    <t>525 B ST, STE 1900, SAN DIEGO, CA 92101-4495 USA</t>
  </si>
  <si>
    <t>0019-1035</t>
  </si>
  <si>
    <t>1090-2643</t>
  </si>
  <si>
    <t>Icarus</t>
  </si>
  <si>
    <t>MAY 15</t>
  </si>
  <si>
    <t>10.1016/j.icarus.2022.114941</t>
  </si>
  <si>
    <t>Astronomy &amp; Astrophysics</t>
  </si>
  <si>
    <t>1C7AT</t>
  </si>
  <si>
    <t>Green Accepted, hybrid</t>
  </si>
  <si>
    <t>WOS:000793267900005</t>
  </si>
  <si>
    <t>Barnes, TC; Candy, SG; Morris, S; Johnson, DD</t>
  </si>
  <si>
    <t>Barnes, Thomas C.; Candy, Steven G.; Morris, Stephen; Johnson, Daniel D.</t>
  </si>
  <si>
    <t>Understanding discarding in trawl fisheries: A model based demersal case study with implications for mitigating and assessing impacts</t>
  </si>
  <si>
    <t>PLOS ONE</t>
  </si>
  <si>
    <t>BYCATCH REDUCTION DEVICES; BY-CATCH; MEDITERRANEAN FISHERIES; LANDING OBLIGATION; PRAWN TRAWLERS; AUSTRALIA; QUEENSLAND; MORTALITY; ELASMOBRANCHS; INSIGHTS</t>
  </si>
  <si>
    <t>Despite research and public scrutiny over recent decades, discarding continues to be an issue for trawl fisheries. Previous research demonstrates that environmental, biological, operational, legislative and socioeconomic drivers affect a fisher's decision to discard an organism. Therefore, the reduction of fishery discards requires a better understanding of fishery-specific drivers. Despite considerable research and mitigation, further work is required to reduce discarding to acceptable levels (currently similar to 50% in Australia). To better understand the drivers of discarding, this study used a modelling approach to determine environmental and operational factors that drive discarding in the New South Wales (NSW) ocean prawn trawl fishery (OPT). Further, the study investigated the relationship between the discarded number of individuals from all functional species groups (i.e. elasmobranchs, crustaceans and fish combined) and the retained catch weight. This model was also run on just fish partly due to their disproportionally high contribution to the discard assemblage (e.g. 76% of all species or higher taxon) and importance (e.g. to the ecosystem and fisheries). The results quantified relationships of environmental and operational drivers of discarding and the relationship of fish discarding and retained catch weight was found to be linear. However, the identified relationships appear complicated and, whilst an important first step, more work is required to identify all drivers influencing discarding practices. We, in combination with previous research, suggest implementation of effort quotas may be a suitable management initiative to reduce discarding and its impact; at least whilst more research is conducted to better understand this complex process. Furthering our understanding of discarding is urgent given its global impact and the rate of discarding in the OPT.</t>
  </si>
  <si>
    <t>[Barnes, Thomas C.; Morris, Stephen; Johnson, Daniel D.] Port Stephens Fisheries Inst, New South Wales Dept Primary Ind, Nelson Bay, NSW, Australia; [Barnes, Thomas C.] Univ Tasmania, Inst Marine &amp; Antarctic Studies, Hobart, Tas, Australia; [Candy, Steven G.] Scandy Stat Modelling Pty Ltd, Blackmans Bay, Tas, Australia</t>
  </si>
  <si>
    <t>NSW Department of Primary Industries; University of Tasmania</t>
  </si>
  <si>
    <t>Barnes, TC (corresponding author), Port Stephens Fisheries Inst, New South Wales Dept Primary Ind, Nelson Bay, NSW, Australia.;Barnes, TC (corresponding author), Univ Tasmania, Inst Marine &amp; Antarctic Studies, Hobart, Tas, Australia.</t>
  </si>
  <si>
    <t>tom.barnes@dpi.nsw.gov.au</t>
  </si>
  <si>
    <t>Johnson, Daniel D/N-9305-2016</t>
  </si>
  <si>
    <t>Barnes, Thomas C./0000-0003-1493-1407</t>
  </si>
  <si>
    <t>NSW Commercial Fishing Trust [581-1]; Marine Estate Management Strategy (Initiative 5.5)</t>
  </si>
  <si>
    <t>NSW Commercial Fishing Trust; Marine Estate Management Strategy (Initiative 5.5)</t>
  </si>
  <si>
    <t>Funding was provided by the NSW Commercial Fishing Trust (Trust Fund Project no. 581-1 to Daniel D. Johnson) and the Marine Estate Management Strategy (Initiative 5.5 to Daniel D. Johnson). The funders had no role in study design, data collection and analysis, decision to publish, or preparation of the manuscript. Author Steven G. Candy is the sole trader with SCANDY STATISTICAL MODELLING PTY LTD and provided some statistical advice for a fee. This company had no role in the study design, data collection and analysis, decision to publish, or preparation of the manuscript.</t>
  </si>
  <si>
    <t>PUBLIC LIBRARY SCIENCE</t>
  </si>
  <si>
    <t>SAN FRANCISCO</t>
  </si>
  <si>
    <t>1160 BATTERY STREET, STE 100, SAN FRANCISCO, CA 94111 USA</t>
  </si>
  <si>
    <t>1932-6203</t>
  </si>
  <si>
    <t>PLoS One</t>
  </si>
  <si>
    <t>FEB 17</t>
  </si>
  <si>
    <t>e0264055</t>
  </si>
  <si>
    <t>10.1371/journal.pone.0264055</t>
  </si>
  <si>
    <t>Multidisciplinary Sciences</t>
  </si>
  <si>
    <t>Science &amp; Technology - Other Topics</t>
  </si>
  <si>
    <t>0F6ZJ</t>
  </si>
  <si>
    <t>Green Published, gold</t>
  </si>
  <si>
    <t>WOS:000777505200069</t>
  </si>
  <si>
    <t>Rodrigues, S; Hernandez-Molina, FJ; Larter, RD; Rebesco, M; Hillenbrand, CD; Lucchi, RG; Rodriguez-Tovar, FJ</t>
  </si>
  <si>
    <t>Rodrigues, S.; Hernandez-Molina, F. J.; Larter, R. D.; Rebesco, M.; Hillenbrand, C. D.; Lucchi, R. G.; Rodriguez-Tovar, F. J.</t>
  </si>
  <si>
    <t>Sedimentary model for mixed depositional systems along the Pacific margin of the Antarctic Peninsula: Decoding the interplay of deep-water processes</t>
  </si>
  <si>
    <t>MARINE GEOLOGY</t>
  </si>
  <si>
    <t>Mixed systems; Turbidite; Contourite; Sub-bottom profiles; Quaternary record; Antarctic Peninsula; Glacial-interglacial</t>
  </si>
  <si>
    <t>CONTINENTAL RISE WEST; RIVER MOUTH BASIN; ICE-SHEET; SOUTHERN-OCEAN; TURBIDITE SYSTEMS; CHANNEL SYSTEMS; BOTTOM CURRENTS; SORTABLE SILT; HIGH-LATITUDE; WILKES LAND</t>
  </si>
  <si>
    <t>Mixed (turbidite-contourite) depositional systems are formed by a complex interplay of deep-water processes. An evaluation of their morphological elements and their lateral and spatial distribution is crucial to better under-stand the interplay of transport and depositional processes, involving along-slope bottom currents and down-slope turbidity currents. This work investigates extensive and still active mixed depositional systems devel-oped along the Pacific margin of the Antarctic Peninsula, which comprise large asymmetric mounded drifts, dendritic channel-complex systems and wide trunk channels. These systems offer a unique setting to investigate diverse morphological elements at a high-resolution spatial scale (10-100 m), using multibeam bathymetry and acoustic sub-bottom profiles. Four main seismic units define distinct evolutionary stages for the Pleistocene to present day record: a) 1.3-1 Ma, characterized by aggradational mounded drifts built by a dominant along-slope bottom current; b) 1-0.6 Ma, built by synchronous interactions between a SW-flowing bottom current and NW-directed turbidity currents; c) 0.6-0.2 Ma, characterized by deposition of thick gravitational deposits across the margin under a weak SW-flowing bottom current comprising modified Lower Circumpolar Deep Water (LCDW); and d) 0.2 Ma - present, when synchronous interactions between the bottom current, characterized by flow speed fluctuations, and ephemeral turbidity currents led to intercalations of turbidites, contourites, reworked turbidite deposits and hemipelagites. Alternations in the stratigraphic stacking pattern suggest cyclic spatial and temporal variations of gravity-driven down-slope processes and along-slope bottom currents, which were responsible for the construction of these modern mixed depositional systems and which themselves were controlled by glacial-interglacial changes. The new results are compared with similar mixed depositional systems to decode the main processes involved in their formation, explore their interactions at short-and long-term time scales, and propose a conceptual sedimentary model.</t>
  </si>
  <si>
    <t>[Rodrigues, S.; Hernandez-Molina, F. J.] Royal Holloway Univ London, Dept Earth Sci, Egham TW20 0EX, Surrey, England; [Larter, R. D.; Hillenbrand, C. D.] British Antarctic Survey, High Cross Madingley Rd, Cambridge CB3 0ET, England; [Rebesco, M.; Lucchi, R. G.] Ist Nazl Oceanog &amp; Geofis Sperimentale, Borgo Grotta Gigante 42-C, I-34010 Trieste, Italy; [Rodriguez-Tovar, F. J.] Univ Granada, Dept Estratigrafia &amp; Paleontol, Granada 18002, Spain</t>
  </si>
  <si>
    <t>University of London; Royal Holloway University London; UK Research &amp; Innovation (UKRI); Natural Environment Research Council (NERC); NERC British Antarctic Survey; Istituto Nazionale di Oceanografia e di Geofisica Sperimentale; University of Granada</t>
  </si>
  <si>
    <t>Rodrigues, S (corresponding author), Royal Holloway Univ London, Dept Earth Sci, Egham TW20 0EX, Surrey, England.</t>
  </si>
  <si>
    <t>Sara.Rodrigues.2017@live.rhul.ac.uk</t>
  </si>
  <si>
    <t>Rodrigues, Sara/KCY-5884-2024; Rodrigues, Sara/IWD-9868-2023; Rodrigues, Sara/ABG-5049-2021; Rebesco, Michele/B-7462-2014</t>
  </si>
  <si>
    <t>Rodrigues, Sara/0000-0002-4806-8480; Rodrigues, Sara/0000-0002-4806-8480; Rebesco, Michele/0000-0002-9492-4081; Lucchi, Renata Giulia/0000-0001-5111-6968</t>
  </si>
  <si>
    <t>Joint Industry Project (JIP); BP (United Kingdom); ENI (Italy); TOTAL (France); ExxonMobil (United States); TGS (United Kingdom) [CTM2017-89711-C2-01-P, CTM201789711-C2-02-P]; NERC UK-IODP grant [NE/J006548/1]; Polar Science for Planet Earth Programme of the British Antarctic Survey - PNRA Project [16_00205]; Secretaria de Estado de I + D + I, Spain [PID2019-104625RB-100]; FEDER Andalucia [BRNM-072-UGR18]; Junta de Andalucia [P18-RT-4074]; PNRA SEDANO-II Project; NERC UK-IODP Site Survey Investigation grants [NE/J006548/1, NE/J006513/1]</t>
  </si>
  <si>
    <t>Joint Industry Project (JIP); BP (United Kingdom); ENI (Italy); TOTAL (France)(Total SA); ExxonMobil (United States)(Exxon Mobil Corporation); TGS (United Kingdom); NERC UK-IODP grant(UK Research &amp; Innovation (UKRI)Natural Environment Research Council (NERC)); Polar Science for Planet Earth Programme of the British Antarctic Survey - PNRA Project; Secretaria de Estado de I + D + I, Spain(Spanish Government); FEDER Andalucia; Junta de Andalucia(Junta de Andalucia); PNRA SEDANO-II Project; NERC UK-IODP Site Survey Investigation grants</t>
  </si>
  <si>
    <t>This project was funded through the Joint Industry Project (JIP) supported by BP (United Kingdom), ENI (Italy), TOTAL (France), ExxonMobil (United States), Wintershall Dea (Germany), and TGS (United Kingdom) within the framework of The Drifters Research Group at Royal Holloway, University of London (RHUL), and it is related to the TASDRACC Project CTM2017-89711-C2-01-P &amp; CTM201789711-C2-02-P. Research by R. Larter and C.-D. Hillenbrand was funded by NERC UK-IODP grant NE/J006548/1 and the Polar Science for Planet Earth Programme of the British Antarctic Survey. Research by R. G. Lucchi and M. Rebesco was funded by the PNRA Project 16_00205 (ODYSSEA). Research by F. Rodriguez-Tovar was funded by Project PID2019-104625RB-100 (Secretaria de Estado de I + D + I, Spain), BRNM-072-UGR18 (FEDER Andalucia), and P18-RT-4074 (Junta de Andalucia). This research used data collected through the PNRA SEDANO-II Project and NERC UK-IODP Site Survey Investigation grants NE/J006513/1 and NE/J006548/1. We would like to thank Lara Perez for creating the Kingdom Suite Project with the TOPAS data during cruise JR298, as well as the captain, officers, crew, support staff and scientists who participated in the research cruises that provided data for this study. We are grateful to the Editor-in-Chief Adina Paytan, Guest Editor Rachel Brackenridge, as well as reviewer Lara Perez and another anonymous reviewer for their valuable suggestions, which have greatly improved this manuscript.</t>
  </si>
  <si>
    <t>ELSEVIER</t>
  </si>
  <si>
    <t>AMSTERDAM</t>
  </si>
  <si>
    <t>RADARWEG 29, 1043 NX AMSTERDAM, NETHERLANDS</t>
  </si>
  <si>
    <t>0025-3227</t>
  </si>
  <si>
    <t>1872-6151</t>
  </si>
  <si>
    <t>MAR GEOL</t>
  </si>
  <si>
    <t>Mar. Geol.</t>
  </si>
  <si>
    <t>10.1016/j.margeo.2022.106754</t>
  </si>
  <si>
    <t>Geosciences, Multidisciplinary; Oceanography</t>
  </si>
  <si>
    <t>Geology; Oceanography</t>
  </si>
  <si>
    <t>ZY5CJ</t>
  </si>
  <si>
    <t>WOS:000772604000001</t>
  </si>
  <si>
    <t>Noh, HJ; Turner-Maier, J; Schulberg, SA; Fitzgerald, ML; Johnson, J; Allen, KN; Hückstädt, LA; Batten, AJ; Alfoldi, J; Costa, DP; Karlsson, EK; Zapol, WM; Buys, ES; Lindblad-Toh, K; Hindle, AG</t>
  </si>
  <si>
    <t>Noh, Hyun Ji; Turner-Maier, Jason; Schulberg, S. Anne; Fitzgerald, Michael L.; Johnson, Jeremy; Allen, Kaitlin N.; Huckstadt, Luis A.; Batten, Annabelle J.; Alfoldi, Jessica; Costa, Daniel P.; Karlsson, Elinor K.; Zapol, Warren M.; Buys, Emmanuel S.; Lindblad-Toh, Kerstin; Hindle, Allyson G.</t>
  </si>
  <si>
    <t>The Antarctic Weddell seal genome reveals evidence of selection on cardiovascular phenotype and lipid handling</t>
  </si>
  <si>
    <t>COMMUNICATIONS BIOLOGY</t>
  </si>
  <si>
    <t>HYPOXIA-INDUCIBLE-FACTOR; HEMOGLOBIN CONCENTRATIONS; EVOLUTIONARY GENETICS; PHYLOGENETIC ANALYSIS; CONVERGENT EVOLUTION; DIVING ADAPTATIONS; OXIDATIVE STRESS; GAS TENSIONS; BLOOD-FLOW; HEART-RATE</t>
  </si>
  <si>
    <t>The Weddell seal (Leptonychotes weddellii) thrives in its extreme Antarctic environment. We generated the Weddell seal genome assembly and a high-quality annotation to investigate genome-wide evolutionary pressures that underlie its phenotype and to study genes implicated in hypoxia tolerance and a lipid-based metabolism. Genome-wide analyses included gene family expansion/contraction, positive selection, and diverged sequence (acceleration) compared to other placental mammals, identifying selection in coding and non-coding sequence in five pathways that may shape cardiovascular phenotype. Lipid metabolism as well as hypoxia genes contained more accelerated regions in the Weddell seal compared to genomic background. Top-significant genes were SUMO2 and EP300; both regulate hypoxia inducible factor signaling. Liver expression of four genes with the strongest acceleration signals differ between Weddell seals and a terrestrial mammal, sheep. We also report a high-density lipoprotein-like particle in Weddell seal serum not present in other mammals, including the shallow-diving harbor seal. The Antarctic Weddell inhabits one of the most extreme environments on Earth. Comparative genomics with close relatives reveals the specific genetic adaptations for cardiovascular and fat metabolism that enable it to thrive.</t>
  </si>
  <si>
    <t>[Noh, Hyun Ji; Turner-Maier, Jason; Johnson, Jeremy; Alfoldi, Jessica; Karlsson, Elinor K.; Buys, Emmanuel S.; Lindblad-Toh, Kerstin; Hindle, Allyson G.] Broad Inst MIT &amp; Harvard, 7 Cambridge Ctr, Cambridge, MA 02142 USA; [Schulberg, S. Anne; Allen, Kaitlin N.; Batten, Annabelle J.; Zapol, Warren M.; Buys, Emmanuel S.; Hindle, Allyson G.] Harvard Med Sch, Anesthesia Ctr Crit Care Res, Massachusetts Gen Hosp, Dept Anesthesia Crit Care &amp; Pain Med, 55 Fruit St, Boston, MA 02114 USA; [Fitzgerald, Michael L.] Harvard Med Sch, Ctr Computat &amp; Integrat Biol, Massachusetts Gen Hosp, Lipid Metab Unit, 55 Fruit St, Boston, MA 02114 USA; [Huckstadt, Luis A.; Costa, Daniel P.] Univ Calif Santa Cruz, Inst Marine Sci, Dept Ecol &amp; Evolutionary Biol, 130 McAllister Way, Santa Cruz, CA 95060 USA; [Karlsson, Elinor K.] Univ Massachusetts, Program Bioinformat &amp; Integrat Biol, Med Sch, Worcester, MA 01655 USA; [Lindblad-Toh, Kerstin] Uppsala Univ, Dept Med Biochem &amp; Microbiol, Sci Life Lab, S-75237 Uppsala, Sweden; [Hindle, Allyson G.] Univ Nevada, Sch Life Sci, 4505S Maryland Pkwy, Las Vegas, NV 89154 USA</t>
  </si>
  <si>
    <t>Harvard University; Massachusetts Institute of Technology (MIT); Broad Institute; Harvard University; Massachusetts General Hospital; Harvard Medical School; Harvard University; Harvard Medical School; Massachusetts General Hospital; University of California System; University of California Santa Cruz; University of Massachusetts System; University of Massachusetts Worcester; Uppsala University; Nevada System of Higher Education (NSHE); University of Nevada Las Vegas</t>
  </si>
  <si>
    <t>Hindle, AG (corresponding author), Broad Inst MIT &amp; Harvard, 7 Cambridge Ctr, Cambridge, MA 02142 USA.;Hindle, AG (corresponding author), Harvard Med Sch, Anesthesia Ctr Crit Care Res, Massachusetts Gen Hosp, Dept Anesthesia Crit Care &amp; Pain Med, 55 Fruit St, Boston, MA 02114 USA.;Hindle, AG (corresponding author), Univ Nevada, Sch Life Sci, 4505S Maryland Pkwy, Las Vegas, NV 89154 USA.</t>
  </si>
  <si>
    <t>allyson.hindle@unlv.edu</t>
  </si>
  <si>
    <t>Huckstadt, Luis/JNR-7637-2023; Huckstadt, Luis/A-5838-2018</t>
  </si>
  <si>
    <t>Batten, Annabelle/0000-0003-2771-1366; Allen, Kaitlin/0000-0001-8036-1110; Huckstadt, Luis/0000-0002-2453-7350</t>
  </si>
  <si>
    <t>National Science Foundation [1443554/1921491]; National Institutes of Health [HG008742]</t>
  </si>
  <si>
    <t>National Science Foundation(National Science Foundation (NSF)); National Institutes of Health(United States Department of Health &amp; Human ServicesNational Institutes of Health (NIH) - USA)</t>
  </si>
  <si>
    <t>This project was funded by National Science Foundation grant #1443554/1921491 to A.G.H., D.P.C., E.S.B., and W.M.Z. and by National Institutes of Health grant #HG008742 (NHGRI) to H.J.N., J.T.M., J.J., and E.K.K. K.L.T. is a Distinguished Professor of the Swedish Research Council. We gratefully acknowledge logistical support for tissue acquisition in Antarctica by the U.S. National Science Foundation through the U.S. Antarctic Program. We thank Carolyn Boroughs and Brian Rivera for laboratory assistance.</t>
  </si>
  <si>
    <t>NATURE PORTFOLIO</t>
  </si>
  <si>
    <t>BERLIN</t>
  </si>
  <si>
    <t>HEIDELBERGER PLATZ 3, BERLIN, 14197, GERMANY</t>
  </si>
  <si>
    <t>2399-3642</t>
  </si>
  <si>
    <t>COMMUN BIOL</t>
  </si>
  <si>
    <t>Commun. Biol.</t>
  </si>
  <si>
    <t>10.1038/s42003-022-03089-2</t>
  </si>
  <si>
    <t>Biology; Multidisciplinary Sciences</t>
  </si>
  <si>
    <t>Life Sciences &amp; Biomedicine - Other Topics; Science &amp; Technology - Other Topics</t>
  </si>
  <si>
    <t>ZC4QJ</t>
  </si>
  <si>
    <t>WOS:000757506400003</t>
  </si>
  <si>
    <t>Robinson, BO; Barnes, DKA; Grange, LJ; Morley, SA</t>
  </si>
  <si>
    <t>Robinson, Ben J. O.; Barnes, David K. A.; Grange, Laura J.; Morley, Simon A.</t>
  </si>
  <si>
    <t>The Extremes of Disturbance Reduce Functional Redundancy: Functional Trait Assessment of the Shallow Antarctic Benthos</t>
  </si>
  <si>
    <t>FRONTIERS IN MARINE SCIENCE</t>
  </si>
  <si>
    <t>ecosystem; functional diversity (FD); insurance effect; Antarctica; coastal ecology; iceberg scour; blue carbon and ecosystem services; standard effect size; selective mechanism</t>
  </si>
  <si>
    <t>SEA-ICE; ECOSYSTEM PRODUCTIVITY; FOOD-WEB; DIVERSITY; BIODIVERSITY; COMMUNITIES; FRAMEWORK; RESPONSES; COLONIZATION; SEASONALITY</t>
  </si>
  <si>
    <t>Climate-driven changes in disturbance are a major threat to ecosystem Functional diversity. The selective mechanisms underlying ecosystem response to disturbance are far from universal and remain the subject of scientific debate. Ice scouring of the shallow Antarctic benthos is one of the largest disturbance gradients in the natural environment and thus provides an opportunity to investigate how disturbance gradients influence functional structure of a biological assemblage. The Western Antarctic Peninsula, in particular, is a hotspot of climate-driven environmental change. Addressing how this system might respond to species loss is critical. Previous surveys across the shallowest 100 m of the seabed, detected unimodal changes in diversity and a shift in assemblage composition in response to disturbance gradients. This study investigated how functional traits and associated functional diversity change across the depth gradient. Our results revealed that selective mechanisms, such as disturbance filtering and inter-species competition, reduce functional redundancy at the extremes of the disturbance gradient. Our study highlights areas of potential vulnerability to future environmental change due to low functional redundancy. Threatening the important negative (mitigating) feedbacks on climate change, through blue carbon, currently provided by Antarctic continental shelf benthic assemblages.</t>
  </si>
  <si>
    <t>[Robinson, Ben J. O.] Univ Southampton, Natl Oceanog Ctr, Southampton, Hants, England; [Robinson, Ben J. O.; Barnes, David K. A.; Morley, Simon A.] Natl Environm Res Council, British Antarctic Survey, Cambridge, England; [Grange, Laura J.] Bangor Univ, Sch Ocean Sci, Bangor, Gwynedd, Wales</t>
  </si>
  <si>
    <t>NERC National Oceanography Centre; University of Southampton; UK Research &amp; Innovation (UKRI); Natural Environment Research Council (NERC); NERC British Antarctic Survey; Bangor University</t>
  </si>
  <si>
    <t>Robinson, BO (corresponding author), Univ Southampton, Natl Oceanog Ctr, Southampton, Hants, England.;Robinson, BO (corresponding author), Natl Environm Res Council, British Antarctic Survey, Cambridge, England.</t>
  </si>
  <si>
    <t>benson@bas.ac.uk</t>
  </si>
  <si>
    <t>Robinson, Ben/0000-0002-7450-686X</t>
  </si>
  <si>
    <t>Natural Environmental Research Council (NERC); British Antarctic Survey Wharf Modernisation Project via NERC Doctoral Training Program SPITFIRE , through the University of Southampton [NE/L002531/1]</t>
  </si>
  <si>
    <t>Natural Environmental Research Council (NERC)(UK Research &amp; Innovation (UKRI)Natural Environment Research Council (NERC)); British Antarctic Survey Wharf Modernisation Project via NERC Doctoral Training Program SPITFIRE , through the University of Southampton</t>
  </si>
  <si>
    <t>&amp; nbsp;This study was funded by the Natural Environmental Research Council (NERC) core funding to the Biodiversity and Adaptations Team of the British Antarctic Survey, and BR was also funded by the British Antarctic Survey Wharf Modernisation Project via NERC Doctoral Training Program SPITFIRE (NE/L002531/1), through the University of Southampton.</t>
  </si>
  <si>
    <t>FRONTIERS MEDIA SA</t>
  </si>
  <si>
    <t>LAUSANNE</t>
  </si>
  <si>
    <t>AVENUE DU TRIBUNAL FEDERAL 34, LAUSANNE, CH-1015, SWITZERLAND</t>
  </si>
  <si>
    <t>2296-7745</t>
  </si>
  <si>
    <t>FRONT MAR SCI</t>
  </si>
  <si>
    <t>Front. Mar. Sci.</t>
  </si>
  <si>
    <t>10.3389/fmars.2021.797112</t>
  </si>
  <si>
    <t>ZN5JZ</t>
  </si>
  <si>
    <t>Green Accepted, Green Published, gold</t>
  </si>
  <si>
    <t>WOS:000765071800001</t>
  </si>
  <si>
    <t>Noli, N; Di Franco, D; Schiaparelli, S; Brandt, A</t>
  </si>
  <si>
    <t>Noli, Nicholas; Di Franco, Davide; Schiaparelli, Stefano; Brandt, Angelika</t>
  </si>
  <si>
    <t>Pseudidothea armata sp. n., a new isopod of the genus Pseudidothea (Crustacea, Malacostraca, Isopoda) from the Atlantic sector of the Southern Ocean</t>
  </si>
  <si>
    <t>BIODIVERSITY DATA JOURNAL</t>
  </si>
  <si>
    <t>Southern Ocean; morphology; ecology; distribution</t>
  </si>
  <si>
    <t>Background In the framework of the British Antarctic Survey (BAS) Expedion JR 15005 SO-AntEco, held in February-March 2016, the South Orkney Islands seafloor was sampled in order to investigate the distribution and composition of benthic communities around the area. New information A new species of the genus Pseudidothea Ohlin, 1901 is described from the Burdwood Bank area (South Orkney Islands). It has been collected during the SO-AntEco JR15005 RRS James Clark Ross expedition under the lead of the British Antarctic Survey (BAS). The new species, Pseudidothea armata sp. n., is very similar to P. scutata (Stephensen,1947); however, it is characterised by peculiar supra-ocular spines and a different tubercular pattern. The study of the species of the Pseudidothea helps to better understand the diversity of the Pseudidotheidae in the Southern Ocean.</t>
  </si>
  <si>
    <t>[Noli, Nicholas; Schiaparelli, Stefano] Univ Genoa, Dipartimento Sci Terra Ambiente &amp; Vita DISTAV, Genoa, Italy; [Di Franco, Davide; Brandt, Angelika] Senckenberg Res Inst, Frankfurt, Germany; [Di Franco, Davide; Brandt, Angelika] Nat Hist Museum, Frankfurt, Germany; [Di Franco, Davide; Brandt, Angelika] Goethe Univ Frankfurt, Inst Ecol Divers &amp; Evolut, Frankfurt, Germany</t>
  </si>
  <si>
    <t>University of Genoa; Senckenberg Gesellschaft fur Naturforschung (SGN); Goethe University Frankfurt</t>
  </si>
  <si>
    <t>Noli, N (corresponding author), Univ Genoa, Dipartimento Sci Terra Ambiente &amp; Vita DISTAV, Genoa, Italy.</t>
  </si>
  <si>
    <t>nicholasfrancesco@hotmail.it</t>
  </si>
  <si>
    <t>Brandt, Angelika/0000-0002-5807-1632; Noli, Nicholas/0000-0001-8452-2882</t>
  </si>
  <si>
    <t>PENSOFT PUBLISHERS</t>
  </si>
  <si>
    <t>SOFIA</t>
  </si>
  <si>
    <t>12 PROF GEORGI ZLATARSKI ST, SOFIA, 1700, BULGARIA</t>
  </si>
  <si>
    <t>1314-2836</t>
  </si>
  <si>
    <t>1314-2828</t>
  </si>
  <si>
    <t>BIODIVERS DATA J</t>
  </si>
  <si>
    <t>Biodiver. Data J.</t>
  </si>
  <si>
    <t>e76864</t>
  </si>
  <si>
    <t>10.3897/BDJ.10.e76864</t>
  </si>
  <si>
    <t>Biodiversity Conservation</t>
  </si>
  <si>
    <t>Biodiversity &amp; Conservation</t>
  </si>
  <si>
    <t>ZE7KS</t>
  </si>
  <si>
    <t>WOS:000759057600001</t>
  </si>
  <si>
    <t>Wohl, C; Jones, AE; Sturges, WT; Nightingale, PD; Else, B; Butterworth, BJ; Yang, MX</t>
  </si>
  <si>
    <t>Wohl, Charel; Jones, Anna E.; Sturges, William T.; Nightingale, Philip D.; Else, Brent; Butterworth, Brian J.; Yang, Mingxi</t>
  </si>
  <si>
    <t>Sea ice concentration impacts dissolved organic gases in the Canadian Arctic</t>
  </si>
  <si>
    <t>BIOGEOSCIENCES</t>
  </si>
  <si>
    <t>CARBONYL-COMPOUNDS; DIMETHYL SULFIDE; PHOTOCHEMICAL PRODUCTION; SURFACE SEAWATER; ISOPRENE PRODUCTION; SCALE VARIABILITY; SULFUR-COMPOUNDS; METHANOL UPTAKE; NORTH WATER; MARINE AIR</t>
  </si>
  <si>
    <t>The marginal sea ice zone has been identified as a source of different climate-active gases to the atmosphere due to its unique biogeochemistry. However, it remains highly undersampled, and the impact of summertime changes in sea ice concentration on the distributions of these gases is poorly understood. To address this, we present measurements of dissolved methanol, acetone, acetaldehyde, dimethyl sulfide, and isoprene in the sea ice zone of the Canadian Arctic from the surface down to 60 m. The measurements were made using a segmented flow coil equilibrator coupled to a proton-transfer-reaction mass spectrometer. These gases varied in concentrations with depth, with the highest concentrations generally observed near the surface. Underway (3-4 m) measurements showed higher concentrations in partial sea ice cover compared to ice-free waters for most compounds. The large number of depth profiles at different sea ice concentrations enables the proposition of the likely dominant production processes of these compounds in this area. Methanol concentrations appear to be controlled by specific biological consumption processes. Acetone and acetaldehyde concentrations are influenced by the penetration depth of light and stratification, implying dominant photochemical sources in this area. Dimethyl sulfide and isoprene both display higher surface concentrations in partial sea ice cover compared to ice-free waters due to ice edge blooms. Differences in underway concentrations based on sampling region suggest that water masses moving away from the ice edge influences dissolved gas concentrations. Dimethyl sulfide concentrations sometimes display a subsurface maximum in ice -free conditions, while isoprene more reliably displays a subsurface maximum. Surface gas concentrations were used to estimate their air-sea fluxes. Despite obvious in situ production, we estimate that the sea ice zone is absorbing methanol and acetone from the atmosphere. In contrast, dimethyl sulfide and isoprene are consistently emitted from the ocean, with marked episodes of high emissions during ice-free conditions, suggesting that these gases are produced in ice-covered areas and emitted once the ice has melted. Our measurements show that the seawater concentrations and air-sea fluxes of these gases are clearly impacted by sea ice concentration. These novel measurements and insights will allow us to better constrain the cycling of these gases in the polar regions and their effect on the oxidative capacity and aerosol budget in the Arctic atmosphere.</t>
  </si>
  <si>
    <t>[Wohl, Charel; Nightingale, Philip D.; Yang, Mingxi] Plymouth Marine Lab, Plymouth PL1 3DH, Devon, England; [Wohl, Charel; Sturges, William T.; Nightingale, Philip D.] Univ East Anglia, Ctr Ocean &amp; Atmospher Sci, Sch Environm Sci, Norwich NR4 7TJ, Norfolk, England; [Wohl, Charel; Jones, Anna E.] NERC, British Antarctic Survey, Madingley Rd, Cambridge CB3 0ET, England; [Nightingale, Philip D.] Rothamsted Res, Sustainable Agr Syst, North Wyke EX20 2SB, Devon, England; [Else, Brent] Univ Calgary, Dept Geog, Calgary, AB T2N 1N4, Canada; [Butterworth, Brian J.] Univ Colorado, Cooperat Inst Res Environm Sci, Boulder, CO 80309 USA; [Butterworth, Brian J.] NOAA, Phys Sci Lab, Boulder, CO USA; [Wohl, Charel] Inst Ciencies Mar, Dept Marine Biol &amp; Oceanog, Barcelona 08003, Spain</t>
  </si>
  <si>
    <t>Plymouth Marine Laboratory; University of East Anglia; UK Research &amp; Innovation (UKRI); Natural Environment Research Council (NERC); NERC British Antarctic Survey; UK Research &amp; Innovation (UKRI); Biotechnology and Biological Sciences Research Council (BBSRC); Rothamsted Research; University of Calgary; University of Colorado System; University of Colorado Boulder; National Oceanic Atmospheric Admin (NOAA) - USA; Consejo Superior de Investigaciones Cientificas (CSIC); CSIC - Centro Mediterraneo de Investigaciones Marinas y Ambientales (CMIMA); CSIC - Instituto de Ciencias del Mar (ICM)</t>
  </si>
  <si>
    <t>Wohl, C; Yang, MX (corresponding author), Plymouth Marine Lab, Plymouth PL1 3DH, Devon, England.;Wohl, C (corresponding author), Univ East Anglia, Ctr Ocean &amp; Atmospher Sci, Sch Environm Sci, Norwich NR4 7TJ, Norfolk, England.;Wohl, C (corresponding author), NERC, British Antarctic Survey, Madingley Rd, Cambridge CB3 0ET, England.;Wohl, C (corresponding author), Inst Ciencies Mar, Dept Marine Biol &amp; Oceanog, Barcelona 08003, Spain.</t>
  </si>
  <si>
    <t>charel.wohl@gmail.com; miya@pml.ac.uk</t>
  </si>
  <si>
    <t>Yang, Mingxi/ABC-7118-2020; Nightingale, Philip D/I-4324-2012; Else, Brent G/D-5267-2012</t>
  </si>
  <si>
    <t>Yang, Mingxi/0000-0002-8321-5984; Nightingale, Philip D/0000-0001-7177-5469; Jones, Anna/0000-0002-2040-4841; Butterworth, Brian/0000-0002-8457-5308; Wohl, Charel/0000-0002-6592-6037</t>
  </si>
  <si>
    <t>Natural Environment Research Council through the EnvEast Doctoral Training Partnership [NE/L002582/1]; UK Department for Business, Energy and Industrial Strategy (United Kingdom &amp; Canada Arctic Partnership: 2017 Bursaries Programme); National Sciences and Engineering Research Council of Canada</t>
  </si>
  <si>
    <t>Natural Environment Research Council through the EnvEast Doctoral Training Partnership(UK Research &amp; Innovation (UKRI)Natural Environment Research Council (NERC)); UK Department for Business, Energy and Industrial Strategy (United Kingdom &amp; Canada Arctic Partnership: 2017 Bursaries Programme); National Sciences and Engineering Research Council of Canada(Natural Sciences and Engineering Research Council of Canada (NSERC))</t>
  </si>
  <si>
    <t>This work was supported by the Natural Environment Research Council through the EnvEast Doctoral Training Partnership (grant no. NE/L002582/1) and by the UK Department for Business, Energy and Industrial Strategy (United Kingdom &amp; Canada Arctic Partnership: 2017 Bursaries Programme awarded to MY). Financial support was provided to Brent Else by the National Sciences and Engineering Research Council of Canada. This work is a contribution to ArcticNet, a Network of Centres of Excellence Canada.</t>
  </si>
  <si>
    <t>1726-4170</t>
  </si>
  <si>
    <t>1726-4189</t>
  </si>
  <si>
    <t>Biogeosciences</t>
  </si>
  <si>
    <t>10.5194/bg-19-1021-2022</t>
  </si>
  <si>
    <t>Ecology; Geosciences, Multidisciplinary</t>
  </si>
  <si>
    <t>Environmental Sciences &amp; Ecology; Geology</t>
  </si>
  <si>
    <t>ZG5BL</t>
  </si>
  <si>
    <t>Green Submitted, Green Accepted, gold</t>
  </si>
  <si>
    <t>WOS:000760273000001</t>
  </si>
  <si>
    <t>Lacelle, D; Fisher, DA; Verret, M; Pollard, W</t>
  </si>
  <si>
    <t>Lacelle, Denis; Fisher, David A.; Verret, Marjolaine; Pollard, Wayne</t>
  </si>
  <si>
    <t>Improved prediction of the vertical distribution of ground ice in Arctic-Antarctic permafrost sediments</t>
  </si>
  <si>
    <t>COMMUNICATIONS EARTH &amp; ENVIRONMENT</t>
  </si>
  <si>
    <t>MCMURDO DRY VALLEYS; ACTIVE-LAYER; SURFACE-TEMPERATURE; UNIVERSITY VALLEY; CLIMATE-CHANGE; BEACON VALLEY; THERMAL STATE; FREEZE-THAW; SOIL; WATER</t>
  </si>
  <si>
    <t>Frost susceptibility of permafrost sediments is strongly influenced by unfrozen water content, which is dependent on sediment type, soil water chemistry, and temperature, according to field observations and ensemble modeling prediction of ground ice formation in Arctic-Antarctic sediments. Global warming and permafrost degradation are impacting landscapes, ecosystems and the climate-carbon system. Current ground ice and geohazard maps rely on the frost susceptibility of surficial sediments, and substantial areas underestimate ice abundance. Here we use a soil environmental model to show the importance of considering unfrozen water content (dependent on sediment type, soil water chemistry, and temperature) when assessing the frost susceptibility of sediments. Our ensemble modeling of the vertical structure and evolution of ground ice for fine to coarse-grained sediments matches reasonably well with field measurements at sites from the low Arctic to the cold and hyper-arid Dry Valleys of Antarctica. Our modeling indicates a need to re-evaluate how frost-susceptible sediments are identified when mapping ice-rich permafrost landscapes and provides a framework for the development of quantitative estimates of the vertical distribution of ground ice in permafrost sediments at regional scale.</t>
  </si>
  <si>
    <t>[Lacelle, Denis] Univ Ottawa, Dept Geog Environm &amp; Geomat, Ottawa, ON K1N 6N5, Canada; [Fisher, David A.] Univ Ottawa, Dept Earth Sci, Ottawa, ON, Canada; [Verret, Marjolaine] Victoria Univ Wellington, Antarctic Res Ctr, Wellington 6011, New Zealand; [Pollard, Wayne] McGill Univ, Dept Geog, Montreal, PQ H3A 0G4, Canada</t>
  </si>
  <si>
    <t>University of Ottawa; University of Ottawa; Victoria University Wellington; McGill University</t>
  </si>
  <si>
    <t>Lacelle, D (corresponding author), Univ Ottawa, Dept Geog Environm &amp; Geomat, Ottawa, ON K1N 6N5, Canada.</t>
  </si>
  <si>
    <t>dlacelle@uottawa.ca</t>
  </si>
  <si>
    <t>Lacelle, Denis/0000-0002-6691-8717; Verret, Marjolaine/0000-0002-3857-526X; Pollard, Wayne H./0000-0003-2727-9745</t>
  </si>
  <si>
    <t>Natural Sciences and Engineering Research Council of Canada (NSERC)</t>
  </si>
  <si>
    <t>Natural Sciences and Engineering Research Council of Canada (NSERC)(Natural Sciences and Engineering Research Council of Canada (NSERC))</t>
  </si>
  <si>
    <t>This work was supported by Natural Sciences and Engineering Research Council of Canada (NSERC) Discovery Grant to D.L. and W.P. All samples were collected in accordance with relevant permits. We thank M. Diaz and an anonymous reviewer for their constructive comments on the manuscript.</t>
  </si>
  <si>
    <t>SPRINGERNATURE</t>
  </si>
  <si>
    <t>LONDON</t>
  </si>
  <si>
    <t>CAMPUS, 4 CRINAN ST, LONDON, N1 9XW, ENGLAND</t>
  </si>
  <si>
    <t>2662-4435</t>
  </si>
  <si>
    <t>COMMUN EARTH ENVIRON</t>
  </si>
  <si>
    <t>Commun. Earth Environ.</t>
  </si>
  <si>
    <t>10.1038/s43247-022-00367-z</t>
  </si>
  <si>
    <t>Environmental Sciences; Geosciences, Multidisciplinary; Meteorology &amp; Atmospheric Sciences</t>
  </si>
  <si>
    <t>Environmental Sciences &amp; Ecology; Geology; Meteorology &amp; Atmospheric Sciences</t>
  </si>
  <si>
    <t>ZC3LO</t>
  </si>
  <si>
    <t>gold</t>
  </si>
  <si>
    <t>WOS:000757425800001</t>
  </si>
  <si>
    <t>Vance, TR; Kiem, AS; Jong, LM; Roberts, JL; Plummer, CT; Moy, AD; Curran, MAJ; van Ommen, TD</t>
  </si>
  <si>
    <t>Vance, Tessa R.; Kiem, Anthony S.; Jong, Lenneke M.; Roberts, Jason L.; Plummer, Christopher T.; Moy, Andrew D.; Curran, Mark A. J.; van Ommen, Tas D.</t>
  </si>
  <si>
    <t>Pacific decadal variability over the last 2000 years and implications for climatic risk</t>
  </si>
  <si>
    <t>ICE CORE; LAW DOME; ANTARCTIC ICE; SOUTHERN-OSCILLATION; EAST ANTARCTICA; AUSTRALIA; ENSO; RECORD; STREAMFLOW; RAINFALL</t>
  </si>
  <si>
    <t>The Interdecadal Pacific Oscillation, an index which defines decadal climate variability throughout the Pacific, is generally assumed to have positive and negative phases that each last 20-30 years. Here we present a 2000-year reconstruction of the Interdecadal Pacific Oscillation, obtained using information preserved in Antarctic ice cores, that shows negative phases are short (7 +/- 5 years) and infrequent (occurring 10% of the time) departures from a predominantly neutral-positive state that lasts decades (61 +/- 56 years). These findings suggest that Pacific Basin climate risk is poorly characterised due to over-representation of negative phases in post-1900 observations. We demonstrate the implications of this for eastern Australia, where drought risk is elevated during neutral-positive phases, and highlight the need for a re-evaluation of climate risk for all locations affected by the Interdecadal Pacific Oscillation. The initiation and future frequency of negative phases should also be a research priority given their prevalence in more recent centuries. Negative phases of the Interdecadal Pacific Oscillation, which alters hydroclimatic risk across the Pacific, have been shorter and less frequent than inferred from the instrumental record, suggests a 2,000-year ice core reconstruction.</t>
  </si>
  <si>
    <t>[Vance, Tessa R.; Jong, Lenneke M.; Roberts, Jason L.; Plummer, Christopher T.; Moy, Andrew D.; Curran, Mark A. J.; van Ommen, Tas D.] Univ Tasmania, Inst Marine &amp; Antarctic Studies, Australian Antarctic Program Partnership, Hobart, Tas 7004, Australia; [Kiem, Anthony S.] Univ Newcastle, Ctr Water Climate &amp; Land, Callaghan, NSW 2308, Australia; [Jong, Lenneke M.; Roberts, Jason L.; Moy, Andrew D.; Curran, Mark A. J.; van Ommen, Tas D.] Australian Antarctic Div, Kingston, Tas 7050, Australia</t>
  </si>
  <si>
    <t>University of Tasmania; University of Newcastle; Australian Antarctic Division</t>
  </si>
  <si>
    <t>Vance, TR (corresponding author), Univ Tasmania, Inst Marine &amp; Antarctic Studies, Australian Antarctic Program Partnership, Hobart, Tas 7004, Australia.</t>
  </si>
  <si>
    <t>tessa.vance@utas.edu.au</t>
  </si>
  <si>
    <t>Jong, Lenneke M/AAT-3230-2020; van Ommen, Tas/B-5020-2012; Kiem, Anthony/D-9307-2013</t>
  </si>
  <si>
    <t>Jong, Lenneke M/0000-0001-6707-570X; van Ommen, Tas/0000-0002-2463-1718; Vance, Tessa/0000-0001-6970-8646; Moy, Andrew/0000-0002-7664-9960; Kiem, Anthony/0000-0002-3994-6958; Roberts, Jason/0000-0002-3477-4069</t>
  </si>
  <si>
    <t>Australian Research Council Discovery Project [DP180102522]; Australian Research Council Special Research Initiative for Antarctic Gateway Partnership [SR140300001]; Antarctic Climate &amp; Ecosytems Cooperative Research Centre (ACE CRC); Australian Antarctic Science projects [4061, 4062, 4537, 4414]</t>
  </si>
  <si>
    <t>Australian Research Council Discovery Project(Australian Research Council); Australian Research Council Special Research Initiative for Antarctic Gateway Partnership(Australian Research Council); Antarctic Climate &amp; Ecosytems Cooperative Research Centre (ACE CRC)(Australian GovernmentDepartment of Industry, Innovation and ScienceCooperative Research Centres (CRC) Programme); Australian Antarctic Science projects</t>
  </si>
  <si>
    <t>This work was funded by an Australian Research Council Discovery Project DP180102522, the Australian Research Council Special Research Initiative for Antarctic Gateway Partnership SR140300001 and past funding from the Antarctic Climate &amp; Ecosytems Cooperative Research Centre (ACE CRC, 2010-2019). This work contributes to Australian Antarctic Science projects 4061, 4062, 4537 and 4414. We thank Brendan Buckley for pan-Pacific IPO reconstruction data and Chris Folland and Andrew Colman for IPO index data.</t>
  </si>
  <si>
    <t>10.1038/s43247-022-00359-z</t>
  </si>
  <si>
    <t>WOS:000757425800004</t>
  </si>
  <si>
    <t>Robinson, JPW; Nash, KL; Blanchard, JL; Jacobsen, NS; Maire, E; Graham, NAJ; MacNeil, MA; Zamborain-Mason, J; Allison, EH; Hicks, CC</t>
  </si>
  <si>
    <t>Robinson, James P. W.; Nash, Kirsty L.; Blanchard, Julia L.; Jacobsen, Nis S.; Maire, Eva; Graham, Nicholas A. J.; MacNeil, M. Aaron; Zamborain-Mason, Jessica; Allison, Edward H.; Hicks, Christina C.</t>
  </si>
  <si>
    <t>Managing fisheries for maximum nutrient yield</t>
  </si>
  <si>
    <t>FISH AND FISHERIES</t>
  </si>
  <si>
    <t>fisheries management; food security; nutrition; overfishing; seafood; sustainable fisheries</t>
  </si>
  <si>
    <t>CAPTURE FISHERIES; NUTRITION; MANAGEMENT; INDICATORS; CATCH; SECURITY; EUROPE; TRADE</t>
  </si>
  <si>
    <t>Wild-caught fish are a bioavailable source of nutritious food that, if managed strategically, could enhance diet quality for billions of people. However, optimising nutrient production from the sea has not been a priority, hindering development of nutrition-sensitive policies. With fisheries management increasingly effective at rebuilding stocks and regulating sustainable fishing, we can now begin to integrate nutritional outcomes within existing management frameworks. Here, we develop a conceptual foundation for managing fisheries for multispecies Maximum Nutrient Yield (mMNY). We empirically test our approach using size-based models of North Sea and Baltic Sea fisheries and show that mMNY is predicted by the relative contribution of nutritious species to total catch and their vulnerability to fishing, leading to trade-offs between catch and specific nutrients. Simulated nutrient yield curves suggest that vitamin D, which is deficient in Northern European diets, was underfished at fishing levels that returned maximum catch weights. Analysis of global catch data shows there is scope for nutrient yields from most of the world's marine fisheries to be enhanced through nutrient-sensitive fisheries management. With nutrient composition data now widely available, we expect our mMNY framework to motivate development of nutrient-based reference points in specific contexts, such as data-limited fisheries. Managing for mMNY alongside policies that promote access to fish could help close nutrient gaps for coastal populations, maximising the contribution of wild-caught fish to global food and nutrition security.</t>
  </si>
  <si>
    <t>[Robinson, James P. W.; Maire, Eva; Graham, Nicholas A. J.; Allison, Edward H.; Hicks, Christina C.] Univ Lancaster, Lancaster Environm Ctr, Lancaster LA1 4YQ, England; [Nash, Kirsty L.; Blanchard, Julia L.] Univ Tasmania, Inst Marine &amp; Antarctic Studies, Hobart, Tas, Australia; [Nash, Kirsty L.] Univ Tasmania, Ctr Marine Socioecol, Hobart, Tas, Australia; [Jacobsen, Nis S.] Tech Univ Denmark, Natl Inst Aquat Resources, Lyngby, Denmark; [MacNeil, M. Aaron] Dalhousie Univ, Ocean Frontier Inst, Dept Biol, Halifax, NS, Canada; [Zamborain-Mason, Jessica] James Cook Univ, Coll Sci &amp; Engn, Townsville, Qld, Australia; [Zamborain-Mason, Jessica] James Cook Univ, ARC Ctr Excellence Coral Reef Studies, Townsville, Qld, Australia; [Zamborain-Mason, Jessica] Harvard TH Chan Sch Publ Hlth, Boston, MA USA; [Allison, Edward H.] WorldFish, Jalan Batu Maung, Bayan Lepas, Penang, Malaysia; [Allison, Edward H.] Univ Washington, Sch Marine &amp; Environm Affairs, Seattle, WA 98195 USA</t>
  </si>
  <si>
    <t>Lancaster University; University of Tasmania; University of Tasmania; Technical University of Denmark; Dalhousie University; James Cook University; James Cook University; Harvard University; Harvard T.H. Chan School of Public Health; CGIAR; Worldfish; University of Washington; University of Washington Seattle</t>
  </si>
  <si>
    <t>Robinson, JPW (corresponding author), Univ Lancaster, Lancaster Environm Ctr, Lancaster LA1 4YQ, England.</t>
  </si>
  <si>
    <t>james.robinson@lancaster.ac.uk</t>
  </si>
  <si>
    <t>Graham, Nicholas/C-8360-2014; Hicks, Christina/M-6182-2015; Maire, Eva/T-1934-2019; Nash, Kirsty L/B-5456-2015; MacNeil, M. Aaron/E-8196-2017</t>
  </si>
  <si>
    <t>Graham, Nicholas/0000-0002-0304-7467; Hicks, Christina/0000-0002-7399-4603; Maire, Eva/0000-0002-1032-3394; Nash, Kirsty L/0000-0003-0976-3197; Robinson, James/0000-0002-7614-1112; MacNeil, M. Aaron/0000-0001-8406-325X</t>
  </si>
  <si>
    <t>H2020 European Research Council [759457]; Australian Research Council [DE210100606]; Royal Society [URF/R/201029]; Leverhulme Trust [DE210100606]; Australian Research Council [DE210100606] Funding Source: Australian Research Council</t>
  </si>
  <si>
    <t>H2020 European Research Council(Horizon 2020European Research Council (ERC)); Australian Research Council(Australian Research Council); Royal Society(Royal Society); Leverhulme Trust(Leverhulme Trust); Australian Research Council(Australian Research Council)</t>
  </si>
  <si>
    <t>H2020 European Research Council, Grant/Award Number: 759457; Australian Research Council, Grant/Award Number: DE210100606; Royal Society, Grant/Award Number: URF/R/201029; Leverhulme Trust, Grant/Award Number: DE210100606</t>
  </si>
  <si>
    <t>1467-2960</t>
  </si>
  <si>
    <t>1467-2979</t>
  </si>
  <si>
    <t>FISH FISH</t>
  </si>
  <si>
    <t>Fish. Fish.</t>
  </si>
  <si>
    <t>JUL</t>
  </si>
  <si>
    <t>10.1111/faf.12649</t>
  </si>
  <si>
    <t>Fisheries</t>
  </si>
  <si>
    <t>2T7SB</t>
  </si>
  <si>
    <t>Green Published, Green Accepted, hybrid</t>
  </si>
  <si>
    <t>WOS:000756504500001</t>
  </si>
  <si>
    <t>Perron, MMG; Meyerink, S; Corkill, M; Strzelec, M; Proemse, BC; Gault-Ringold, M; Rodriguez, ES; Chase, Z; Bowie, AR</t>
  </si>
  <si>
    <t>Perron, Morgane M. G.; Meyerink, Scott; Corkill, Matthew; Strzelec, Michal; Proemse, Bernadette C.; Gault-Ringold, Melanie; Rodriguez, Estrella Sanz; Chase, Zanna; Bowie, Andrew R.</t>
  </si>
  <si>
    <t>Trace elements and nutrients in wildfire plumes to the southeast of Australia</t>
  </si>
  <si>
    <t>ATMOSPHERIC RESEARCH</t>
  </si>
  <si>
    <t>Fire emissions; Bioaccessible iron; Nitrate; Ammonium; Southern Hemisphere; Levoglucosan</t>
  </si>
  <si>
    <t>ATMOSPHERIC IRON DEPOSITION; MINERAL DUST; DISSOLVED IRON; SOLUBILITY; EMISSIONS; AEROSOLS; TRANSPORT; IMPACT; GASES; LEVOGLUCOSAN</t>
  </si>
  <si>
    <t>The unprecedented magnitude of the 2019-20 Australian fires have raised interest in the potential for fire emissions to supply vital nutrients to remote ocean regions. Fire emissions are episodic and unpredictable, making them difficult to investigate. Here we present results from continuous monitoring of the atmospheric composition at the kunanyi/Mount Wellington time-series station, in southeastern Tasmania (Australia) between 2016 and 2020. Characterization of aerosols at the station revealed a striking increase in the atmospheric loading of iron (Fe), nitrate (NO3-), ammonium (NH4+) and manganese (Mn) associated with fire events. High concentrations of mineral dust in fire-impacted aerosols evidenced that strong pyro-convective winds resulted in the erosion and entrainment of soil particles into the atmosphere alongside the fire plume. Enrichment factor (EF) analysis in aerosols suggested that soil dominated the atmospheric loading of Fe and Mn in fire emissions. Lead (Pb) enrichment in fire aerosols (EFPb &gt; 10) was attributed to the resuspension of soil historically contaminated by leaded petrol and mining operations. Finally, atmospheric transport was showed to play a key role in decreasing concentrations of total Fe (T-Fe) and mineral dust while increasing the aeolian content of bioaccessible Fe (L-Fe), NO3- and NH4+ in the plume downwind of the fires. As future projections suggest an increase in fire activity worldwide, atmospheric time-series stations such as kunanyi/Mount Wellington are key to better understand future impacts of fire emissions on human health and natural ecosystems.</t>
  </si>
  <si>
    <t>[Perron, Morgane M. G.; Corkill, Matthew; Strzelec, Michal; Proemse, Bernadette C.; Chase, Zanna; Bowie, Andrew R.] Univ Tasmania, Inst Marine &amp; Antarctic Studies, Battery Point, Tas 7004, Australia; [Gault-Ringold, Melanie; Bowie, Andrew R.] Univ Tasmania, Antarctic Climate &amp; Ecosyst CRC, Battery Point, Tas 7004, Australia; [Rodriguez, Estrella Sanz] Univ Tasmania, Australian Ctr Res Separat Sci ACROSS, Sch Nat Sci, GPO Box 252-75, Hobart, Tas 7001, Australia; [Meyerink, Scott; Bowie, Andrew R.] Univ Tasmania, Inst Marine &amp; Antarctic Studies, Australian Antarctic Program Partnership, Battery Point, Tas 7004, Australia</t>
  </si>
  <si>
    <t>University of Tasmania; University of Tasmania; University of Tasmania; University of Tasmania</t>
  </si>
  <si>
    <t>Perron, MMG (corresponding author), Inst Marine &amp; Antarctic Studies, 20 Castray Esplanade, Battery Point, Tas 7004, Australia.</t>
  </si>
  <si>
    <t>morgane.perron@utas.edu.au</t>
  </si>
  <si>
    <t>Perron, Morgane/HHS-1241-2022; Chase, Zanna/E-9232-2013; Bowie, Andrew/C-8677-2013</t>
  </si>
  <si>
    <t>Perron, Morgane/0000-0001-5424-7138; Bowie, Andrew/0000-0002-5144-7799</t>
  </si>
  <si>
    <t>Australian Research Council [FT130100037, DP190103504]; Antarctic Climate and Ecosystems Cooperative Research Centre; Australian Research Council [FT130100037] Funding Source: Australian Research Council</t>
  </si>
  <si>
    <t>Australian Research Council(Australian Research Council); Antarctic Climate and Ecosystems Cooperative Research Centre(Australian GovernmentDepartment of Industry, Innovation and ScienceCooperative Research Centres (CRC) Programme); Australian Research Council(Australian Research Council)</t>
  </si>
  <si>
    <t>I would like to acknowledge the Traditional Custodians of the Lutruwita land and kunanyi/Mount Wellington on which this study was undertaken, and pay my respects to their Elders past, present and emerging. I extend that respect to Aboriginal and Torres Strait Islander peoples here today. Aerosol sampling and analysis at kunanyi/Mount Wellington was supported by the Australian Research Council (FT130100037 to A.R.B. and Discovery Program Grant DP190103504 to ZC and ARB) and the Antarctic Climate and Ecosystems Cooperative Research Centre, and authorised by the Mt. Wellington Park Management Trust.</t>
  </si>
  <si>
    <t>ELSEVIER SCIENCE INC</t>
  </si>
  <si>
    <t>NEW YORK</t>
  </si>
  <si>
    <t>STE 800, 230 PARK AVE, NEW YORK, NY 10169 USA</t>
  </si>
  <si>
    <t>0169-8095</t>
  </si>
  <si>
    <t>1873-2895</t>
  </si>
  <si>
    <t>ATMOS RES</t>
  </si>
  <si>
    <t>Atmos. Res.</t>
  </si>
  <si>
    <t>JUN 1</t>
  </si>
  <si>
    <t>10.1016/j.atmosres.2022.106084</t>
  </si>
  <si>
    <t>Meteorology &amp; Atmospheric Sciences</t>
  </si>
  <si>
    <t>2P6KS</t>
  </si>
  <si>
    <t>WOS:000819848000005</t>
  </si>
  <si>
    <t>Hu, SJ; Lin, SY; Liu, Y; He, XQ; Zhang, SM; Sun, N</t>
  </si>
  <si>
    <t>Hu, Shengjie; Lin, Songyi; Liu, Yao; He, Xueqing; Zhang, Simin; Sun, Na</t>
  </si>
  <si>
    <t>Exploration of iron-binding mode, digestion Kinetics, and iron absorption behavior of Antarctic Krill-derived heptapeptide-iron complex</t>
  </si>
  <si>
    <t>FOOD RESEARCH INTERNATIONAL</t>
  </si>
  <si>
    <t>Iron-binding peptides; Iron delivery; Gastroduodenal digestion; Iron solubility; Iron absorption</t>
  </si>
  <si>
    <t>IN-VITRO DIGESTION; THR-LYS-GLU; GASTROINTESTINAL DIGESTION; ANTIOXIDANT PEPTIDE; CHELATING PEPTIDES; FRACTIONS; CAPACITY; BIOAVAILABILITY; IDENTIFICATION; HYDROLYSATE</t>
  </si>
  <si>
    <t>A novel heptapeptide LVDDHFL derived from Antarctic krill was used to assemble an iron complex, of which the iron-binding mode, in vitro digestion kinetics, and iron absorption behavior were explored. Fe2+ bound to one carboxyl oxygen atom of Asp at position 4 and the imidazole group of His at position 5 on the LVDDHFL peptide at a stoichiometric ratio of 1:2, which induced the folding of LVDDHFL to form a more orderly structure. LVDDHFL-iron significantly enhanced the solubility of iron as compared to FeSO4 in the gastroduodenal tract (P &lt; 0.05), making it up to 80.92 +/- 3.02% at the end of gastroduodenal digestion. Moreover, iron complexation can enhance the digestive stability of LVDDHFL with the peptide retention rate as 62.26 +/- 2.60% and approximately 27.54% of LVDDHFL were degraded to hexapeptide LVDDHF. Nevertheless, the enhancement of LVDDHF - iron on iron absorption was comparable to that of LVDDHFL - iron, but better than that of FeSO4.</t>
  </si>
  <si>
    <t>[Hu, Shengjie; Lin, Songyi; Liu, Yao; He, Xueqing; Zhang, Simin; Sun, Na] Dalian Polytech Univ, Sch Food Sci &amp; Technol, Natl Engn Res Ctr Seafood, 1 Qinggongyuan, Dalian 116034, Peoples R China; [Lin, Songyi; Zhang, Simin; Sun, Na] Dalian Polytech Univ, Collaborat Innovat Ctr Seafood Deep Proc, Dalian 116034, Peoples R China</t>
  </si>
  <si>
    <t>Dalian Polytechnic University; Dalian Polytechnic University</t>
  </si>
  <si>
    <t>Sun, N (corresponding author), Dalian Polytech Univ, Sch Food Sci &amp; Technol, Natl Engn Res Ctr Seafood, 1 Qinggongyuan, Dalian 116034, Peoples R China.</t>
  </si>
  <si>
    <t>sunna1215@126.com</t>
  </si>
  <si>
    <t>Lin, Song-Y i/A-1778-2012; He, Xueqing/AAF-4037-2021; Hu, shengjie/JCP-5531-2023</t>
  </si>
  <si>
    <t>Hu, Shengjie/0000-0002-9374-3131</t>
  </si>
  <si>
    <t>National Natural Science Foundation of China [31972008]; Dalian Innovation Support Program for High-level Talents of China [2019RQ003]; Program for Innovative Talents in Liaoning Higher Education of China [LR2019008]</t>
  </si>
  <si>
    <t>National Natural Science Foundation of China(National Natural Science Foundation of China (NSFC)); Dalian Innovation Support Program for High-level Talents of China; Program for Innovative Talents in Liaoning Higher Education of China</t>
  </si>
  <si>
    <t>Acknowledgments This work was financially supported by the National Natural Science Foundation of China (No. 31972008) , the Dalian Innovation Support Program for High-level Talents of China (No. 2019RQ003) , and the Program for Innovative Talents in Liaoning Higher Education of China (LR2019008) .</t>
  </si>
  <si>
    <t>0963-9969</t>
  </si>
  <si>
    <t>1873-7145</t>
  </si>
  <si>
    <t>FOOD RES INT</t>
  </si>
  <si>
    <t>Food Res. Int.</t>
  </si>
  <si>
    <t>APR</t>
  </si>
  <si>
    <t>10.1016/j.foodres.2022.110996</t>
  </si>
  <si>
    <t>0N8KG</t>
  </si>
  <si>
    <t>WOS:000783080100003</t>
  </si>
  <si>
    <t>Shi, S; Xu, L; Gong, W; Chen, BW; Chen, BW; Qu, FF; Tang, XT; Sun, J; Yang, J</t>
  </si>
  <si>
    <t>Shi, Shuo; Xu, Lu; Gong, Wei; Chen, Bowen; Chen, Biwu; Qu, Fangfang; Tang, Xingtao; Sun, Jia; Yang, Jian</t>
  </si>
  <si>
    <t>A convolution neural network for forest leaf chlorophyll and carotenoid estimation using hyperspectral reflectance</t>
  </si>
  <si>
    <t>INTERNATIONAL JOURNAL OF APPLIED EARTH OBSERVATION AND GEOINFORMATION</t>
  </si>
  <si>
    <t>Convolutional neural network; Hyperspectral reflectance; PROSPECT-5; Leaf chlorophyll content; Leaf carotenoid content</t>
  </si>
  <si>
    <t>PREDICTION; INVERSION</t>
  </si>
  <si>
    <t>Forest leaf chlorophyll (C-ab) and carotenoid (C-xc) are key functional indicators for the state of the forest ecosystem. Current machine learning models based on hyperspectral reflectance are widely applied to estimate leaf C-ab and C-xc contents at leaf scale. However, these models have certain accuracy for non-independent datasets but have poor generalization for independent datasets when they are used to estimate leaf C-ab and C-xc contents. This fact limits that hyperspectral remote sensing completely replaces destructive measurements for leaf C-ab and C-xc contents. Thus, the development of an estimation model with high accuracy and satisfactory generalization is necessary. Convolutional neural networks (CNNs) have certain accuracy and generalization in many domains, and have the potential to solve above-mentioned problem. Therefore, this study developed a CNN using onedimensional hyperspectral reflectance, which aimed to improve the model's accuracy and generalization in leaf C-ab and C-xc content estimation at leaf scale. The proposed CNN was developed by three steps. First, in consideration of the correlation between leaf C-ab and C-xc contents in natural leaves, 2500 physical data with leaf reflectance and corresponding C-ab and C-xc contents were generated by leaf radiative transfer model and multi variable gaussian distribution function. Then, the proposed CNN was built by five strategies based on the architecture of the AlexNet. Finally, five-fold cross validation was performed with 70% of the physical data to determine the best strategy to develop the proposed CNN. These were executed to ensure the proposed CNN with the maximum accuracy and generalization. In addition, the accuracy and generalization of the proposed CNN were tested using a non-independent dataset and an independent dataset, respectively. The proposed CNN was also compared with back propagation neural network (BPNN), support vector regression (SVR) and gaussian process regression (GPR). Results showed that the best CNN could be developed with one input, five convolutional, three max-pooling and three fully-connected layers. Comprehensively considering the model's accuracy and generalization, the proposed CNN was the best model for leaf C-ab and C-xc content estimation compared with BPNN, SVR and GPR. This study provides a development strategy of CNN estimation model using onedimensional hyperspectral reflectance at leaf scale. The proposed CNN could further promote the practical application of hyperspectral remote sensing in leaf C-ab and C-xc content estimation.</t>
  </si>
  <si>
    <t>[Shi, Shuo; Xu, Lu; Gong, Wei; Chen, Bowen; Qu, Fangfang; Tang, Xingtao] Wuhan Univ, State Key Lab Informat Engn Surveying, Mapping &amp; Remote Sensing, Wuhan 430079, Hubei, Peoples R China; [Gong, Wei] Wuhan Univ, Elect Informat Sch, Wuhan 430072, Hubei, Peoples R China; [Chen, Bowen] Wuhan Univ, Chinese Antarctic Ctr Surveying &amp; Mapping, Wuhan 430079, Hubei, Peoples R China; [Chen, Biwu] Shanghai Radio Equipment Res Inst, Shanghai 201109, Peoples R China; [Sun, Jia; Yang, Jian] China Univ Geosci, Sch Geog &amp; Informat Engn, Wuhan 430074, Hubei, Peoples R China</t>
  </si>
  <si>
    <t>Wuhan University; Wuhan University; Wuhan University; China University of Geosciences</t>
  </si>
  <si>
    <t>Xu, L (corresponding author), Wuhan Univ, State Key Lab Informat Engn Surveying, Mapping &amp; Remote Sensing, Wuhan 430079, Hubei, Peoples R China.</t>
  </si>
  <si>
    <t>xuluwh@whu.edu.cn</t>
  </si>
  <si>
    <t>National Key R&amp;D Program of China [2018YFB0504500]; National Natural Science Foundation of China [41971307, 42001314]; China Postdoctoral Science Foundation [2017T100582]; LIESMARS</t>
  </si>
  <si>
    <t>National Key R&amp;D Program of China; National Natural Science Foundation of China(National Natural Science Foundation of China (NSFC)); China Postdoctoral Science Foundation(China Postdoctoral Science Foundation); LIESMARS</t>
  </si>
  <si>
    <t>This work was supported by National Key R&amp;D Program of China (2018YFB0504500) ; National Natural Science Foundation of China (41971307, 42001314) ; China Postdoctoral Science Foundation (2017T100582) ; LIESMARS Special Funding.</t>
  </si>
  <si>
    <t>1569-8432</t>
  </si>
  <si>
    <t>1872-826X</t>
  </si>
  <si>
    <t>INT J APPL EARTH OBS</t>
  </si>
  <si>
    <t>Int. J. Appl. Earth Obs. Geoinf.</t>
  </si>
  <si>
    <t>10.1016/j.jag.2022.102719</t>
  </si>
  <si>
    <t>Remote Sensing</t>
  </si>
  <si>
    <t>ZN8LP</t>
  </si>
  <si>
    <t>WOS:000765280700001</t>
  </si>
  <si>
    <t>Kostova, I; Zdravkov, A; Bechtel, A; Botoucharov, N; Gross, D; Dochev, D; Apostolova, D</t>
  </si>
  <si>
    <t>Kostova, Irena; Zdravkov, Alexander; Bechtel, Achim; Botoucharov, Nikola; Gross, Doris; Dochev, Docho; Apostolova, Denitsa</t>
  </si>
  <si>
    <t>Characterization of organic matter from the Cretaceous sedimentary and volcano-sedimentary strata from Livingston Island, Antarctic Peninsula: Insights from organic petrology, molecular proxies and carbon and hydrogen isotopes</t>
  </si>
  <si>
    <t>INTERNATIONAL JOURNAL OF COAL GEOLOGY</t>
  </si>
  <si>
    <t>Antarctic Peninsula; Livingston Island; Organic petrology; Biomarkers; Carbon and hydrogen isotopic composition</t>
  </si>
  <si>
    <t>SOUTH SHETLAND ISLANDS; POLYCYCLIC AROMATIC-HYDROCARBONS; CERRO-NEGRO FORMATION; FOSSIL WOOD; DITERPENOID HYDROCARBONS; BYERS PENINSULA; 4-METHYL STEROLS; WILLIAMS POINT; TERTIARY WOOD; N-PARAFFINS</t>
  </si>
  <si>
    <t>Rock samples from the Early to Late Cretaceous marine and non-marine strata of Livingston Island, South Shetland Islands, Antarctica, were studied. Organic matter (OM) originates predominantly from terrestrially derived organic particles. Mostly highly fragmented plant remains, and locally vitrinite/semifusinite as part of plant compressions/imprints or thin vitrain/fusain lenses, are present. Bulk geochemical results indicate Type III kerogen with poor hydrocarbon generation potential. T-max and molecular proxies (i.e hopane and sterane isomerization ratios, MPI-1, etc.), together with the local presence of oily droplets, argue for an early oil window maturity, probably caused by regional volcanic activity. In contrast to the results of petrography and Rock-Eval pyrolysis, molecular composition of extractable OM is dominated by short-chain n-alkanes, saturated fatty acids (FAs) and n-alkanols implying a major contribution of autochthonous OM. This contradiction is most likely caused by decomposition of OM from plant tissues, the predominance of wood remains (i.e., xylites) and the low input of FAs from cuticular waxes. The presence of terrestrial OM is indicated by plant wax-derived lipids and resinous compounds. Prominent even carbon number predominance in the short-chain n-alkane range argue for deposition/decomposition under reducing environmental settings, most probably caused by high sedimentation rates and quick burial. Terpenoid biomarker compositions indicate contribution from conifers, whereas input from phytoplankton/algal organic matter is evidenced by C-27 steroids, the presence of 4-methyl steranes and dinosterol. Low concentrations of hopanoids and C-15 and C-17 branched n-FAs argue for limited bacterial input. Only in one sample from Hannah Point, a difference between the delta C-13 values of the short-chain versus long-chain n-alkanes was obtained, arguing for mixed OM sources (i.e., autochthonous input, land plants). The presence of charred organic matter in most of the studied samples, together with the considerable concentrations of combustion-derived PAHs, argue for the common occurrence of wildfires within the terrestrial environments. Despite the active volcanic arc settings, the compound specific carbon and hydrogen isotopes do not record significant changes in climatic/hydrological conditions, although some short-term events cannot be ruled out. Instead, the delta C-13 and delta H-2 isotopic fractionation is most likely caused by the specific biosynthetic mechanisms of the plants and the global carbon and hydrogen cycles.</t>
  </si>
  <si>
    <t>[Kostova, Irena; Botoucharov, Nikola; Dochev, Docho; Apostolova, Denitsa] Sofia Univ St Kliment Ohridski, Dept Geol Paleontol &amp; Fossil Fuels, Sofia 1000, Bulgaria; [Zdravkov, Alexander] Univ Min &amp; Geol St Ivan Rilski, Dept Geol &amp; Explorat Mineral Resources, Sofia 1700, Bulgaria; [Gross, Doris] Univ Leoben, Dept Angew Geowissensch &amp; Geophys, Peter Tunner Str 5, A-8700 Leoben, Austria</t>
  </si>
  <si>
    <t>University of Sofia; University of Mining &amp; Geology - Bulgaria; University of Leoben</t>
  </si>
  <si>
    <t>Zdravkov, A (corresponding author), Univ Min &amp; Geol St Ivan Rilski, Dept Geol &amp; Explorat Mineral Resources, Sofia 1700, Bulgaria.</t>
  </si>
  <si>
    <t>alex_zdravkov@mgu.bg</t>
  </si>
  <si>
    <t>Zdravkov, Alexander/C-6314-2014; Kostova, Irena/AAL-5153-2021; Botoucharov, Nikola/HKF-2704-2023</t>
  </si>
  <si>
    <t>Zdravkov, Alexander/0000-0002-3730-3203;</t>
  </si>
  <si>
    <t>Bulgarian National Science Fund [KP-06-PN-34/9]</t>
  </si>
  <si>
    <t>Bulgarian National Science Fund(National Science Fund of Bulgaria)</t>
  </si>
  <si>
    <t>Financial support from the Bulgarian National Science Fund through project KP-06-PN-34/9 in the framework of Bulgarian-Austrian Cooperation is greatly acknowledged. In addition, we would like to expressour gratitude to Dr. Stefan Velev from the Sofia University St. Kl. Ohridski for his support with sampling and logistic arrangements. The paper benefitted also from the critical reviews of three anonymous reviewers.</t>
  </si>
  <si>
    <t>0166-5162</t>
  </si>
  <si>
    <t>1872-7840</t>
  </si>
  <si>
    <t>INT J COAL GEOL</t>
  </si>
  <si>
    <t>Int. J. Coal Geol.</t>
  </si>
  <si>
    <t>MAR 1</t>
  </si>
  <si>
    <t>10.1016/j.coal.2022.103940</t>
  </si>
  <si>
    <t>Energy &amp; Fuels; Geosciences, Multidisciplinary</t>
  </si>
  <si>
    <t>Energy &amp; Fuels; Geology</t>
  </si>
  <si>
    <t>ZV5OT</t>
  </si>
  <si>
    <t>WOS:000770580200006</t>
  </si>
  <si>
    <t>Ma, Z; Gong, Y; Zhang, SD; Xiao, Q; Xue, JW; Huang, CM; Huang, KM</t>
  </si>
  <si>
    <t>Ma, Zheng; Gong, Yun; Zhang, Shaodong; Xiao, Qiao; Xue, Junwei; Huang, Chunming; Huang, Kaiming</t>
  </si>
  <si>
    <t>Understanding the Excitation of Quasi-6-Day Waves in Both Hemispheres During the September 2019 Antarctic SSW</t>
  </si>
  <si>
    <t>JOURNAL OF GEOPHYSICAL RESEARCH-ATMOSPHERES</t>
  </si>
  <si>
    <t>quasi-6-day waves; 2019 Antarctic SSW</t>
  </si>
  <si>
    <t>MESOSPHERE-LOWER THERMOSPHERE; MIDDLE ATMOSPHERE; PLANETARY-WAVES; MODEL; MLT</t>
  </si>
  <si>
    <t>Responses of quasi-6-day waves (Q6DWs) to the extreme 2019 Antarctic stratospheric sudden warming (SSW) have been widely reported in the ionosphere, while the excitation mechanism of the global Q6DWs is still unclear in the mesosphere and lower thermosphere (MLT) region. According to the Aura satellite measurements, the amplitudes of the Q6DWs in the upper MLT region are found to be higher than their climatological activities from 2005 to 2020 at mid-latitudes in both Northern and Southern Hemispheres. Combined with the Modern-Era Retrospective Analysis for Research and Applications, version 2 data, the trigger mechanisms of the global enhanced Q6DWs are investigated by tracing their sources and propagations. Our analysis indicates that the equatorward propagation induced by the SSW is the main reason for the enhanced Q6DWs in the upper MLT at mid-latitudes in the Southern Hemisphere, and the main source of the Q6DWs in the Northern Hemisphere is the seasonal variability. Besides, interhemispheric propagations also contribute to the amplification of Q6DWs during the 2019 Antarctic SSW.</t>
  </si>
  <si>
    <t>[Ma, Zheng; Gong, Yun; Zhang, Shaodong; Xiao, Qiao; Xue, Junwei; Huang, Chunming; Huang, Kaiming] Wuhan Univ, Sch Elect Informat, Wuhan, Peoples R China; [Ma, Zheng; Gong, Yun; Zhang, Shaodong; Huang, Chunming; Huang, Kaiming] Minist Educ, Key Lab Geospace Environm &amp; Geodesy, Wuhan, Peoples R China; [Zhang, Shaodong] Wuhan Univ, State Key Lab Informat Engn Surveying Mapping &amp; R, Wuhan, Peoples R China</t>
  </si>
  <si>
    <t>Wuhan University; Wuhan University</t>
  </si>
  <si>
    <t>Gong, Y; Zhang, SD (corresponding author), Wuhan Univ, Sch Elect Informat, Wuhan, Peoples R China.;Gong, Y; Zhang, SD (corresponding author), Minist Educ, Key Lab Geospace Environm &amp; Geodesy, Wuhan, Peoples R China.;Zhang, SD (corresponding author), Wuhan Univ, State Key Lab Informat Engn Surveying Mapping &amp; R, Wuhan, Peoples R China.</t>
  </si>
  <si>
    <t>yun.gong@whu.edu.cn; zsd@whu.edu.cn</t>
  </si>
  <si>
    <t>Gong, Yun/K-8259-2019; Zhang, Shaodong/F-9888-2013; Huang, Kai/JVO-5066-2024; wang, hongyuan/JWP-2279-2024</t>
  </si>
  <si>
    <t>Zhang, Shaodong/0000-0003-3345-1927; Ma, Zheng/0000-0002-0857-1970; Huang, Kaiming/0000-0002-8688-5262</t>
  </si>
  <si>
    <t>National Natural Science Foundation of China [42104145, 41574142, 41531070]; National Key R&amp;D Program of China [2018YFC1407305]; China Postdoctoral Science Foundation [2021M692465, 2020TQ0230]</t>
  </si>
  <si>
    <t>National Natural Science Foundation of China(National Natural Science Foundation of China (NSFC)); National Key R&amp;D Program of China; China Postdoctoral Science Foundation(China Postdoctoral Science Foundation)</t>
  </si>
  <si>
    <t>We acknowledge that this study is supported by the National Natural Science Foundation of China (through grants 42104145, 41574142, and 41531070), the National Key R&amp;D Program of China (2018YFC1407305), and the China Postdoctoral Science Foundation (through grants 2021M692465 and 2020TQ0230).</t>
  </si>
  <si>
    <t>AMER GEOPHYSICAL UNION</t>
  </si>
  <si>
    <t>WASHINGTON</t>
  </si>
  <si>
    <t>2000 FLORIDA AVE NW, WASHINGTON, DC 20009 USA</t>
  </si>
  <si>
    <t>2169-897X</t>
  </si>
  <si>
    <t>2169-8996</t>
  </si>
  <si>
    <t>J GEOPHYS RES-ATMOS</t>
  </si>
  <si>
    <t>J. Geophys. Res.-Atmos.</t>
  </si>
  <si>
    <t>FEB 16</t>
  </si>
  <si>
    <t>e2021JD035984</t>
  </si>
  <si>
    <t>10.1029/2021JD035984</t>
  </si>
  <si>
    <t>ZG6RF</t>
  </si>
  <si>
    <t>WOS:000760383000016</t>
  </si>
  <si>
    <t>van der Boog, CG; Dijkstra, HA; Pietrzak, JD; Katsman, CA</t>
  </si>
  <si>
    <t>van der Boog, Carine G.; Dijkstra, Henk A.; Pietrzak, Julie D.; Katsman, Caroline A.</t>
  </si>
  <si>
    <t>Spatial Variations of Antarctic Intermediate Water in the Caribbean Sea Due To Vertical Mixing Along Its Path</t>
  </si>
  <si>
    <t>GEOPHYSICAL RESEARCH LETTERS</t>
  </si>
  <si>
    <t>vertical mixing; double diffusion; background turbulence; water mass</t>
  </si>
  <si>
    <t>THERMOHALINE STAIRCASE; SALT FINGERS; ATLANTIC; OCEAN; CIRCULATION; TRANSFORMATION; THERMOCLINE; MASSES</t>
  </si>
  <si>
    <t>Because of its pronounced fresh signature, the properties of the northward-flowing Antarctic Intermediate Water (AAIW) affect the Atlantic Meridional Overturning Circulation. Hence, understanding modifications of AAIW along its path is important. Here, we analyze AAIW changes along its path in the Caribbean Sea and assess whether vertical fluxes from background turbulence and from double-diffusive mixing in thermohaline staircases can explain these variations. We deduce the occurrence rate of staircases (7%) and estimate the flux ratio (gamma=alpha FT beta FS=0.8) $(\gamma =\frac{\alpha {F}_{T}}{\beta {F}_{S}}=0.8)$ from Argo float profiles. In combination with vertical fluxes from background turbulence, these values are used in a steady-state advection-diffusion model to estimate the effective diffusivity of salt that arises from double diffusion (KSdd=O(10-5m2s-1)) $({K}_{S}&lt;^&gt;{dd}=\mathcal{O}(1{0}&lt;^&gt;{-5}\hspace*{.5em}{\mathrm{m}}&lt;^&gt;{2}\hspace*{.5em}{\mathrm{s}}&lt;^&gt;{-1}))$. This value for KSdd ${K}_{S}&lt;^&gt;{dd}$ is similar to observed values (Schmitt, 2005, ), implying the observed modification of AAIW in the Caribbean Sea may be attributable primarily to vertical mixing in the region itself.</t>
  </si>
  <si>
    <t>[van der Boog, Carine G.; Pietrzak, Julie D.; Katsman, Caroline A.] Delft Univ Technol, Environm Fluid Mech Civil Engn &amp; Geosci, Delft, Netherlands; [van der Boog, Carine G.] CALTECH, Jet Prop Lab, Pasadena, CA USA; [Dijkstra, Henk A.] Univ Utrecht, Inst Marine &amp; Atmospher Res Utrecht, Utrecht, Netherlands</t>
  </si>
  <si>
    <t>Delft University of Technology; National Aeronautics &amp; Space Administration (NASA); NASA Jet Propulsion Laboratory (JPL); California Institute of Technology; Utrecht University</t>
  </si>
  <si>
    <t>van der Boog, CG (corresponding author), Delft Univ Technol, Environm Fluid Mech Civil Engn &amp; Geosci, Delft, Netherlands.;van der Boog, CG (corresponding author), CALTECH, Jet Prop Lab, Pasadena, CA USA.</t>
  </si>
  <si>
    <t>cboog@jpl.nasa.gov</t>
  </si>
  <si>
    <t>Dijkstra, Henk A./H-2559-2016</t>
  </si>
  <si>
    <t>van der Boog, Carine/0000-0003-0896-9134</t>
  </si>
  <si>
    <t>Delft Technology Fellowship; US Government; Netherlands Organisation for Scientific Research (NWO) [858.14.061]</t>
  </si>
  <si>
    <t>Delft Technology Fellowship; US Government; Netherlands Organisation for Scientific Research (NWO)(Netherlands Organization for Scientific Research (NWO))</t>
  </si>
  <si>
    <t>The work of Carine van der Boog is financed by a Delft Technology Fellowship awarded to Caroline Katsman. The research described in this paper was carried out in part at the Jet Propulsion Laboratory, California Institute of Technology, under a contract with NASA. US Government sponsorship is acknowledged This work is part of the research program ALW-Caribbean with project 858.14.061 (SCENES), which is financed by the Netherlands Organisation for Scientific Research (NWO). The authors would like to thank Otto Koetsier for his preliminary study on the thermohaline staircases in the Caribbean Sea. (c) 2021. All rights reserved.</t>
  </si>
  <si>
    <t>0094-8276</t>
  </si>
  <si>
    <t>1944-8007</t>
  </si>
  <si>
    <t>GEOPHYS RES LETT</t>
  </si>
  <si>
    <t>Geophys. Res. Lett.</t>
  </si>
  <si>
    <t>e2021GL095977</t>
  </si>
  <si>
    <t>10.1029/2021GL095977</t>
  </si>
  <si>
    <t>ZF3QO</t>
  </si>
  <si>
    <t>Green Published</t>
  </si>
  <si>
    <t>WOS:000759485200042</t>
  </si>
  <si>
    <t>Woodfield, EE; Glauert, SA; Menietti, JD; Horne, RB; Kavanagh, AJ; Shprits, YY</t>
  </si>
  <si>
    <t>Woodfield, E. E.; Glauert, S. A.; Menietti, J. D.; Horne, R. B.; Kavanagh, A. J.; Shprits, Y. Y.</t>
  </si>
  <si>
    <t>Acceleration of Electrons by Whistler-Mode Hiss Waves at Saturn</t>
  </si>
  <si>
    <t>Saturn; radiation belt; wave-particle interactions</t>
  </si>
  <si>
    <t>PLASMASPHERIC HISS; STATISTICAL PROPERTIES; RADIATION; CHORUS; REGION</t>
  </si>
  <si>
    <t>Plasmaspheric hiss waves at the Earth are well known for causing losses of electrons from the radiation belts through wave particle interactions. At Saturn, however, we show that the different plasma density environment leads to acceleration of the electrons rather than loss. The ratio of plasma frequency to electron gyrofrequency frequently falls below one creating conditions for hiss to accelerate electrons. The location of hiss at high latitudes (&gt;25 degrees) coincides very well with this region of very low density. The interaction between electrons and hiss only occurs at these higher latitudes, therefore the acceleration is limited to mid to low pitch angles leading to butterfly pitch angle distributions. The hiss is typically an order of magnitude stronger than chorus at Saturn and the resulting acceleration is rapid, approaching steady state in one day at 0.4 MeV at L = 7 and the effect is stronger with increasing L-shell.</t>
  </si>
  <si>
    <t>[Woodfield, E. E.; Glauert, S. A.; Horne, R. B.; Kavanagh, A. J.] British Antarctic Survey, Cambridge, England; [Menietti, J. D.] Univ Iowa, Iowa City, IA 52242 USA; [Shprits, Y. Y.] GFZ, Potsdam, Germany; [Shprits, Y. Y.] Univ Calif Los Angeles, Los Angeles, CA USA</t>
  </si>
  <si>
    <t>UK Research &amp; Innovation (UKRI); Natural Environment Research Council (NERC); NERC British Antarctic Survey; University of Iowa; Helmholtz Association; Helmholtz-Center Potsdam GFZ German Research Center for Geosciences; University of California System; University of California Los Angeles</t>
  </si>
  <si>
    <t>Woodfield, EE (corresponding author), British Antarctic Survey, Cambridge, England.</t>
  </si>
  <si>
    <t>emmwoo@bas.ac.uk</t>
  </si>
  <si>
    <t>Horne, Richard B/U-3764-2019; Shprits, Yuri Y/I-2174-2014; Woodfield, Emma/B-5313-2014</t>
  </si>
  <si>
    <t>Horne, Richard B/0000-0002-0412-6407; Shprits, Yuri/0000-0002-9625-0834; Woodfield, Emma/0000-0002-0531-8814</t>
  </si>
  <si>
    <t>STFC [ST/S000496/1]; NERC [NE/R016445/1, NE/R016038/1]; NASA [1415150, NNX11AM36G, NNX16AI47G]; EC grant H2020 [637302]; NASA [903205, NNX16AI47G] Funding Source: Federal RePORTER; NERC [NE/R016038/1, NE/R016445/1] Funding Source: UKRI; STFC [ST/S000496/1] Funding Source: UKRI</t>
  </si>
  <si>
    <t>STFC(UK Research &amp; Innovation (UKRI)Science &amp; Technology Facilities Council (STFC)); NERC(UK Research &amp; Innovation (UKRI)Natural Environment Research Council (NERC)); NASA(National Aeronautics &amp; Space Administration (NASA)); EC grant H2020; NASA(National Aeronautics &amp; Space Administration (NASA)); NERC(UK Research &amp; Innovation (UKRI)Natural Environment Research Council (NERC)); STFC(UK Research &amp; Innovation (UKRI)Science &amp; Technology Facilities Council (STFC))</t>
  </si>
  <si>
    <t>E. E. Woodfield, R. B. Horne, and S. A. Glauert were funded by STFC grant ST/S000496/1. R. B. Horne, S. A. Glauert, and A. J. Kavanagh were funded by NERC grant NE/R016038/1 and R. B. Horne and S. A. Glauert by NERC grant NE/R016445/1. J. D. Menietti and Y. Y. Shprits were supported by NASA grants NNX11AM36G and NNX16AI47G. University of Iowa (J. D. Menietti) was supported by NASA contract 1415150 with JPL. Y. Y. Shprits was supported by EC grant H2020 637302.</t>
  </si>
  <si>
    <t>e2021GL096213</t>
  </si>
  <si>
    <t>10.1029/2021GL096213</t>
  </si>
  <si>
    <t>Green Accepted, Green Published, hybrid</t>
  </si>
  <si>
    <t>WOS:000759485200023</t>
  </si>
  <si>
    <t>Han, HK; Gomez, N; Wan, JXW</t>
  </si>
  <si>
    <t>Han, Holly Kyeore; Gomez, Natalya; Wan, Jeannette Xiu Wen</t>
  </si>
  <si>
    <t>Capturing the interactions between ice sheets, sea level and the solid Earth on a range of timescales: a new time window algorithm</t>
  </si>
  <si>
    <t>RAPID BEDROCK UPLIFT; MODEL; RETREAT; LITHOSPHERE; ANTARCTICA; COLLAPSE; RISE</t>
  </si>
  <si>
    <t>Retreat and advance of ice sheets perturb the gravitational field, solid surface and rotation of the Earth, leading to spatially variable sea-level changes over a range of timescales O(10(0-6) years), which in turn feed back onto ice-sheet dynamics. Coupled ice-sheet-sea-level models have been developed to capture the interactive processes between ice sheets, sea level and the solid Earth, but it is computationally challenging to capture short-term interactions O(10(0-2) years) precisely within longer O(10(3-6) years) simulations. The standard forward sea-level modelling algorithm assigns a uniform temporal resolution in the sea-level model, causing a quadratic increase in total CPU time with the total number of input ice history steps, which increases with either the length or temporal resolution of the simulation. In this study, we introduce a new time window algorithm for 1D pseudo-spectral sea-level models based on the normal mode method that enables users to define the temporal resolution at which the ice loading history is captured during different time intervals before the current simulation time. Utilizing the time window, we assign a fine temporal resolution O(10(0-2) years) for the period of ongoing and recent history of surface ice and ocean loading changes and a coarser temporal resolution O(10(3-6) years) for earlier periods in the simulation. This reduces the total CPU time and memory required per model time step while maintaining the precision of the model results. We explore the sensitivity of sea-level model results to the model temporal resolution and show how this sensitivity feeds back onto ice-sheet dynamics in coupled modelling. We apply the new algorithm to simulate sea-level changes in response to global ice-sheet evolution over two glacial cycles and the rapid collapse of marine sectors of the West Antarctic Ice Sheet in the coming centuries and provide appropriate time window profiles for each application. The time window algorithm reduces the total CPU time by similar to 50 % in each of these examples and changes the trend of the total CPU time increase from quadratic to linear. This improvement would increase with longer simulations than those considered here. Our algorithm also allows for coupling time intervals of annual temporal scale for coupled ice-sheet-sea-level modelling of regions such as West Antarctica that are characterized by rapid solid Earth response to ice changes due to the thin lithosphere and low mantle viscosities.</t>
  </si>
  <si>
    <t>[Han, Holly Kyeore; Gomez, Natalya; Wan, Jeannette Xiu Wen] McGill Univ, Dept Earth &amp; Planetary Sci, Montreal, PQ H3A 0G4, Canada; [Han, Holly Kyeore] Alamos Natl Lab, Div Theoret, Los Alamos, NM 87545 USA</t>
  </si>
  <si>
    <t>McGill University; United States Department of Energy (DOE); Los Alamos National Laboratory</t>
  </si>
  <si>
    <t>Han, HK (corresponding author), McGill Univ, Dept Earth &amp; Planetary Sci, Montreal, PQ H3A 0G4, Canada.;Han, HK (corresponding author), Alamos Natl Lab, Div Theoret, Los Alamos, NM 87545 USA.</t>
  </si>
  <si>
    <t>holly.han@mail.mcgill.ca</t>
  </si>
  <si>
    <t>Natural Sciences and Engineering Research Council (NSERC); Canada Research Chair's programme; Canadian Foundation for Innovation</t>
  </si>
  <si>
    <t>Natural Sciences and Engineering Research Council (NSERC)(Natural Sciences and Engineering Research Council of Canada (NSERC)); Canada Research Chair's programme(Canada Research Chairs); Canadian Foundation for Innovation(Canada Foundation for Innovation)</t>
  </si>
  <si>
    <t>The authors' contributions were supported by the Natural Sciences and Engineering Research Council (NSERC), the Canada Research Chair's programme and the Canadian Foundation for Innovation.</t>
  </si>
  <si>
    <t>10.5194/gmd-15-1355-2022</t>
  </si>
  <si>
    <t>ZG6PA</t>
  </si>
  <si>
    <t>WOS:000760377300001</t>
  </si>
  <si>
    <t>Sun, N; Hu, SJ; Wang, D; Jiang, PF; Zhang, SM; Lin, SY</t>
  </si>
  <si>
    <t>Sun, Na; Hu, Shengjie; Wang, Di; Jiang, Pengfei; Zhang, Simin; Lin, Songyi</t>
  </si>
  <si>
    <t>Calcium Delivery Systems Assembled using Antarctic Krill Derived Heptapeptides: Exploration of the Assembly Mechanism, In Vitro Digestion Profile, and Calcium Absorption Behavior</t>
  </si>
  <si>
    <t>JOURNAL OF AGRICULTURAL AND FOOD CHEMISTRY</t>
  </si>
  <si>
    <t>Antarctic krill; calcium binding peptide; gastrointestinal digestion; stability; calcium absorption</t>
  </si>
  <si>
    <t>CHELATING PEPTIDES; BINDING PEPTIDE; ANTIOXIDANT PEPTIDE; BIOAVAILABILITY; HYDROLYSATE; SOLUBILITY; TRANSPORT; H-1-NMR; CASEIN; CELLS</t>
  </si>
  <si>
    <t>A novel heptapeptide QEELISK derived from Antarctic krill was used to assemble a calcium delivery system, of which the calcium binding mechanism of QEELISK, in vitro digestion kinetics, and calcium absorption behaviors were explored. QEELISK with continuous Glu possessed higher calcium binding capacity than that of QELEISK and QAALISK. Ca2+ bound to the carboxyl oxygen of Glu at position 3 of the QEELISK peptide at a stoichiometric ratio of 1:1 through charge-charge interaction; the formed QEELISK-Ca showed superior stability. Moreover, QEELISK-Ca underwent disaggregation and self-assembly during in vitro digestion reflected by visualization of calcium ions and circular dichroism spectra. QELEISK was partially stable during gastrointestinal digestion, and calcium chelation improved the digestive stability of QELEISK. In addition, a significant enhancement of calcium absorption with QELEISK-Ca occurred in the duodenum and ileum when compared to CaCl2 absorption, which indicated that QEELISK might carry calcium ions through the gastrointestinal tract.</t>
  </si>
  <si>
    <t>[Sun, Na; Hu, Shengjie; Wang, Di; Jiang, Pengfei; Zhang, Simin; Lin, Songyi] Dalian Polytech Univ, Natl Engn Res Ctr Seafood, Sch Food Sci &amp; Technol, Dalian 116034, Peoples R China; [Sun, Na; Jiang, Pengfei; Zhang, Simin; Lin, Songyi] Dalian Polytech Univ, Collaborat Innovat Ctr Seafood Deep Proc, Dalian 116034, Peoples R China</t>
  </si>
  <si>
    <t>Lin, SY (corresponding author), Dalian Polytech Univ, Natl Engn Res Ctr Seafood, Sch Food Sci &amp; Technol, Dalian 116034, Peoples R China.;Lin, SY (corresponding author), Dalian Polytech Univ, Collaborat Innovat Ctr Seafood Deep Proc, Dalian 116034, Peoples R China.</t>
  </si>
  <si>
    <t>linsongyi730@163.com</t>
  </si>
  <si>
    <t>Hu, shengjie/JCP-5531-2023; Lin, Song-Y i/A-1778-2012</t>
  </si>
  <si>
    <t>Natural Science Foundation of Liaoning Province of China [2019-ZD-0130]; Dalian High-level Talent Innovation Support Program of China [2019RQ003]</t>
  </si>
  <si>
    <t>Natural Science Foundation of Liaoning Province of China(Natural Science Foundation of Liaoning Province); Dalian High-level Talent Innovation Support Program of China</t>
  </si>
  <si>
    <t>This work was financially supported by the Natural Science Foundation of Liaoning Province of China (2019-ZD-0130) and the Dalian High-level Talent Innovation Support Program of China (2019RQ003) .</t>
  </si>
  <si>
    <t>AMER CHEMICAL SOC</t>
  </si>
  <si>
    <t>1155 16TH ST, NW, WASHINGTON, DC 20036 USA</t>
  </si>
  <si>
    <t>0021-8561</t>
  </si>
  <si>
    <t>1520-5118</t>
  </si>
  <si>
    <t>J AGR FOOD CHEM</t>
  </si>
  <si>
    <t>J. Agric. Food Chem.</t>
  </si>
  <si>
    <t>10.1021/acs.jafc.1c06951</t>
  </si>
  <si>
    <t>Agriculture, Multidisciplinary; Chemistry, Applied; Food Science &amp; Technology</t>
  </si>
  <si>
    <t>Agriculture; Chemistry; Food Science &amp; Technology</t>
  </si>
  <si>
    <t>ZB2UI</t>
  </si>
  <si>
    <t>WOS:000756703000025</t>
  </si>
  <si>
    <t>Harlock, M; Quinn, S; Turnbull, AR</t>
  </si>
  <si>
    <t>Harlock, Michelle; Quinn, Stewart; Turnbull, Alison R.</t>
  </si>
  <si>
    <t>Emergence of non-choleragenic Vibrio infections in Australia</t>
  </si>
  <si>
    <t>COMMUNICABLE DISEASES INTELLIGENCE</t>
  </si>
  <si>
    <t>PARAHAEMOLYTICUS</t>
  </si>
  <si>
    <t>Vibrio infection was rarely reported in Tasmania prior to 2016, when a multistate outbreak of Vibrio parahaemolyticus associated with Tasmanian oysters was identified and 11 people reported ill. Since then, sporadic foodborne cases have been identified following consumption of commercially-and recreationally-harvested oysters. The increases in both foodborne and non-foodborne Vibrio infec-tions in Tasmania are likely associated with increased sea water temperatures. As oyster production increases and climate change raises the sea surface temperature of our coastline, Tasmania expects to see more vibriosis cases. Vibriosis due to oyster consumption has been reported in other Australian states, but the variability in notification requirements between jurisdictions makes case and outbreak detection difficult and potentially hampers any public health response to prevent further illness.</t>
  </si>
  <si>
    <t>[Harlock, Michelle; Quinn, Stewart] Dept Hlth, Publ Hlth Serv, Hobart, Tas, Australia; [Turnbull, Alison R.] Univ Tasmania, Inst Marine &amp; Antarctic Studies, Hobart, Tas, Australia; [Turnbull, Alison R.] South Australian Res &amp; Dev Inst, Food Safety Res Program, Adelaide, SA, Australia</t>
  </si>
  <si>
    <t>University of Tasmania; South Australian Research &amp; Development Institute (SARDI)</t>
  </si>
  <si>
    <t>Harlock, M (corresponding author), Dept Hlth, Publ Hlth Serv, Hobart, Tas, Australia.</t>
  </si>
  <si>
    <t>michelle.harlock@health.tas.gov.au</t>
  </si>
  <si>
    <t>Turnbull, Alison/0000-0001-5701-8728</t>
  </si>
  <si>
    <t>Fisheries Research and Development Corporation [2018-004]; Australian Government Department of Health</t>
  </si>
  <si>
    <t>Fisheries Research and Development Corporation; Australian Government Department of Health(Australian GovernmentDepartment of Health &amp; Ageing)</t>
  </si>
  <si>
    <t>The authors would like to acknowledge the Fisheries Research and Development Corporation Grant 2018-004 for funding SafeFish; the epidemiologists of the OzFoodNet network and their respective state and territory Health Departments for their contributions of data and review of the manuscript; in particular Emily Fearnley, Ben Witham, Barry Combs, Keira Glasgow, Kimberley McMahon and Stacey Kane and the Australian Government Department of Health, which funds the OzFoodNet Network.</t>
  </si>
  <si>
    <t>AUSTRALIAN GOVERNMENT, DEPT HEALTH &amp; AGEING</t>
  </si>
  <si>
    <t>CANBERRA</t>
  </si>
  <si>
    <t>OFFICE HEALTH PROTECTION SURVEILLANCE BRANCH, GPO BOX 9848, CANBERRA, ACT 2601, AUSTRALIA</t>
  </si>
  <si>
    <t>0725-3141</t>
  </si>
  <si>
    <t>1445-4866</t>
  </si>
  <si>
    <t>COMMUN DIS INTELL</t>
  </si>
  <si>
    <t>Commun. Dis. Intell.</t>
  </si>
  <si>
    <t>10.33321/cdi.2022.46.8</t>
  </si>
  <si>
    <t>Infectious Diseases</t>
  </si>
  <si>
    <t>Emerging Sources Citation Index (ESCI)</t>
  </si>
  <si>
    <t>ZC4FR</t>
  </si>
  <si>
    <t>WOS:000757478600001</t>
  </si>
  <si>
    <t>Sow, SLS; Brown, M; Clarke, LJ; Bissett, A; van de Kamp, J; Trull, TW; Raes, EJ; Seymour, JR; Bramucci, AR; Ostrowski, M; Boyd, PW; Deagle, BE; Pardo, PC; Sloyan, BM; Bodrossy, L</t>
  </si>
  <si>
    <t>Sow, Swan L. S.; Brown, Mark, V; Clarke, Laurence J.; Bissett, Andrew; van de Kamp, Jodie; Trull, Thomas W.; Raes, Eric J.; Seymour, Justin R.; Bramucci, Anna R.; Ostrowski, Martin; Boyd, Philip W.; Deagle, Bruce E.; Pardo, Paula C.; Sloyan, Bernadette M.; Bodrossy, Levente</t>
  </si>
  <si>
    <t>Biogeography of Southern Ocean prokaryotes: a comparison of the Indian and Pacific sectors</t>
  </si>
  <si>
    <t>ENVIRONMENTAL MICROBIOLOGY</t>
  </si>
  <si>
    <t>AMMONIA-OXIDIZING ARCHAEA; MICROBIAL COMMUNITY; WATER MASSES; BACTERIAL COMMUNITIES; CLASS FLAVOBACTERIA; MARINE; DIVERSITY; VARIABILITY; DYNAMICS; BACTERIOPLANKTON</t>
  </si>
  <si>
    <t>We investigated the Southern Ocean (SO) prokaryote community structure via zero-radius operational taxonomic unit (zOTU) libraries generated from 16S rRNA gene sequencing of 223 full water column profiles. Samples reveal the prokaryote diversity trend between discrete water masses across multiple depths and latitudes in Indian (71-99 degrees E, summer) and Pacific (170-174 degrees W, autumn-winter) sectors of the SO. At higher taxonomic levels (phylum-family) we observed water masses to harbour distinct communities across both sectors, but observed sectorial variations at lower taxonomic levels (genus-zOTU) and relative abundance shifts for key taxa such as Flavobacteria, SAR324/Marinimicrobia, Nitrosopumilus and Nitrosopelagicus at both epi- and bathy-abyssopelagic water masses. Common surface bacteria were abundant in several deep-water masses and vice-versa suggesting connectivity between surface and deep-water microbial assemblages. Bacteria from same-sector Antarctic Bottom Water samples showed patchy, high beta-diversity which did not correlate well with measured environmental parameters or geographical distance. Unconventional depth distribution patterns were observed for key archaeal groups: Crenarchaeota was found across all depths in the water column and persistent high relative abundances of common epipelagic archaeon Nitrosopelagicus was observed in deep-water masses. Our findings reveal substantial regional variability of SO prokaryote assemblages that we argue should be considered in wide-scale SO ecosystem microbial modelling.</t>
  </si>
  <si>
    <t>[Sow, Swan L. S.; Clarke, Laurence J.; Boyd, Philip W.] Univ Tasmania, Inst Marine &amp; Antarctic Studies, Hobart, Tas 7000, Australia; [Sow, Swan L. S.; Bissett, Andrew; van de Kamp, Jodie; Trull, Thomas W.; Raes, Eric J.; Pardo, Paula C.; Sloyan, Bernadette M.; Bodrossy, Levente] Commonwealth Sci &amp; Ind Res Org, Oceans &amp; Atmosphere, Hobart, Tas 7000, Australia; [Brown, Mark, V] Univ Newcastle, Sch Environm &amp; Life Sci, Callaghan, NSW 2308, Australia; [Clarke, Laurence J.; Deagle, Bruce E.] Australian Antarctic Div, Channel Highway, Kingston, Tas 7050, Australia; [Trull, Thomas W.; Pardo, Paula C.] Antarctic Climate &amp; Ecosyst Cooperat Res Ctr ACE, Hobart, Tas 7000, Australia; [Raes, Eric J.] Minderoo Fdn, Flourishing Oceans, Nedlands, WA 6009, Australia; [Seymour, Justin R.; Bramucci, Anna R.; Ostrowski, Martin] Univ Technol Sydney, Climate Change Cluster, Ultimo, NSW 2007, Australia; [Deagle, Bruce E.] Commonwealth Sci &amp; Ind Res Org, Natl Collect &amp; Marine Infrastruct, Hobart, Tas 7000, Australia; [Pardo, Paula C.] Inst Invest Marinas IIM CSIC, Dept Oceanog, Vigo 36208, Pontevedra, Spain; [Sow, Swan L. S.] NIOZ Royal Netherlands Inst Sea Res, Dept Marine Microbiol &amp; Biogeochem, POB 59, NL-1790 AB Den Burg, Netherlands</t>
  </si>
  <si>
    <t>University of Tasmania; Commonwealth Scientific &amp; Industrial Research Organisation (CSIRO); University of Newcastle; Australian Antarctic Division; Antarctic Climate &amp; Ecosystems Cooperative Research Centre (ACE CRC); Minderoo Foundation; University of Technology Sydney; Commonwealth Scientific &amp; Industrial Research Organisation (CSIRO); Consejo Superior de Investigaciones Cientificas (CSIC); CSIC - Instituto de Investigaciones Marinas (IIM); Utrecht University; Royal Netherlands Institute for Sea Research (NIOZ)</t>
  </si>
  <si>
    <t>Sow, SLS (corresponding author), Univ Tasmania, Inst Marine &amp; Antarctic Studies, Hobart, Tas 7000, Australia.;Sow, SLS (corresponding author), Commonwealth Sci &amp; Ind Res Org, Oceans &amp; Atmosphere, Hobart, Tas 7000, Australia.;Sow, SLS (corresponding author), NIOZ Royal Netherlands Inst Sea Res, Dept Marine Microbiol &amp; Biogeochem, POB 59, NL-1790 AB Den Burg, Netherlands.</t>
  </si>
  <si>
    <t>swan.lisan@gmail.com</t>
  </si>
  <si>
    <t>Boyd, Philip W/J-7624-2014; Bodrossy, Levente/B-8054-2009; C. Pardo, Paula/A-8217-2019; Sloyan, Bernadette/N-8989-2014; San Sow, Swan Li/AAB-9703-2019; van de Kamp, Jodie L/E-9423-2015; Bissett, Andrew/AFR-3887-2022; Sow, Swan Li San/C-3454-2016; Ostrowski, Martin/A-7118-2010</t>
  </si>
  <si>
    <t>C. Pardo, Paula/0000-0001-6348-2332; Sloyan, Bernadette/0000-0003-0250-0167; van de Kamp, Jodie L/0000-0003-2167-0938; Bissett, Andrew/0000-0001-7396-1484; Sow, Swan Li San/0000-0001-5887-7049; Ostrowski, Martin/0000-0002-4357-3023; Deagle, Bruce/0000-0001-7651-3687; Bramucci, Anna/0000-0002-0682-5316</t>
  </si>
  <si>
    <t>CSIRO Office of the Chief Executive Science Leader Fellowship [R-04202]; Antarctic Science International Bursary; Bioplatforms Australia; Integrated Marine Observing System (IMOS) through the Australian Government National Collaborative Research Infrastructure Strategy (NCRIS); Education Investment Fund (EIF) Super Science Initiative; Australian research community; Australian Government Department of the Environment; CSIRO through the Australian Climate Change Science Programme; National Environmental Science Program</t>
  </si>
  <si>
    <t>CSIRO Office of the Chief Executive Science Leader Fellowship; Antarctic Science International Bursary; Bioplatforms Australia; Integrated Marine Observing System (IMOS) through the Australian Government National Collaborative Research Infrastructure Strategy (NCRIS); Education Investment Fund (EIF) Super Science Initiative; Australian research community; Australian Government Department of the Environment(Australian Government); CSIRO through the Australian Climate Change Science Programme; National Environmental Science Program</t>
  </si>
  <si>
    <t>The authors would like to thank members of field teams, shipboard crews and logistics support personnel from the CSIRO, Australian Marine National Facility, R/V Investigator and Australian Antarctic Division involved in sample collection. This work was funded by a CSIRO Office of the Chief Executive Science Leader Fellowship (R-04202) to L.B. as well as the Antarctic Science International Bursary 2017 to S.L.S.S. We would like to acknowledge the contribution of the Marine Microbes Project consortium (https://data.bioplatforms.com) in the generation of data used in this publication. The Marine Microbes Project is supported by funding from Bioplatforms Australia and the Integrated Marine Observing System (IMOS) through the Australian Government National Collaborative Research Infrastructure Strategy (NCRIS) and the Education Investment Fund (EIF) Super Science Initiative in partnership with the Australian research community. B.M.S. was funded by the Australian Government Department of the Environment and CSIRO through the Australian Climate Change Science Programme and by the National Environmental Science Program. Hydrographic data were collected and made publicly available by the International Global Ship-based Hydrographic Investigations Program (GO-SHIP; http://www.go-ship.org/) and the national programs that contribute to it. We thank Drs. Bernadette M. Sloyan and Susan Wijffels for giving us the opportunity to sample on the GO-SHIP P15S voyage, and Dr. Nicole Hellessey for her sampling assistance.</t>
  </si>
  <si>
    <t>1462-2912</t>
  </si>
  <si>
    <t>1462-2920</t>
  </si>
  <si>
    <t>ENVIRON MICROBIOL</t>
  </si>
  <si>
    <t>Environ. Microbiol.</t>
  </si>
  <si>
    <t>10.1111/1462-2920.15906</t>
  </si>
  <si>
    <t>Microbiology</t>
  </si>
  <si>
    <t>1P9DB</t>
  </si>
  <si>
    <t>Green Published, hybrid</t>
  </si>
  <si>
    <t>WOS:000755949500001</t>
  </si>
  <si>
    <t>Joy-Warren, HL; Alderkamp, AC; van Dijken, GL; Jabre, L; Bertrand, EM; Baldonado, EN; Glickman, MW; Lewis, KM; Middag, R; Seyitmuhammedov, K; Lowry, KE; van de Poll, W; Arrigo, KR</t>
  </si>
  <si>
    <t>Joy-Warren, Hannah L.; Alderkamp, Anne-Carlijn; van Dijken, Gert L.; Jabre, Loay; Bertrand, Erin M.; Baldonado, Evan N.; Glickman, Molly W.; Lewis, Kate M.; Middag, Rob; Seyitmuhammedov, Kyyas; Lowry, Kate E.; van de Poll, Willem; Arrigo, Kevin R.</t>
  </si>
  <si>
    <t>Springtime phytoplankton responses to light and iron availability along the western Antarctic Peninsula</t>
  </si>
  <si>
    <t>LIMNOLOGY AND OCEANOGRAPHY</t>
  </si>
  <si>
    <t>SOUTHERN-OCEAN PHYTOPLANKTON; PHAEOCYSTIS-ANTARCTICA; FRAGILARIOPSIS-CYLINDRUS; SUPEROXIDE DISMUTASES; TAXA PHOTOSYNTHESIS; COMMUNITY STRUCTURE; GROWTH; SEA; MANGANESE; PHOTOPHYSIOLOGY</t>
  </si>
  <si>
    <t>Light and iron availability are intertwined in controlling Southern Ocean primary production because several photosynthetic proteins require iron. Changes in light and iron availability can also affect phytoplankton species composition, which impacts nutrient cycling, carbon drawdown, and food web structure. To investigate the interactive effects of light and iron on phytoplankton growth, photosynthesis, photoacclimation strategy, micronutrient stress-induced protein expression, and species composition, we conducted five bioassay experiments during spring in waters along the western Antarctic Peninsula with four treatments: low light (LL) or high light (HL) combined with or without iron addition. This region has rarely been studied in spring. We found that light limits growth while iron does not, despite overall low iron concentrations. Our results demonstrate that phytoplankton were LL acclimated in situ but photosynthetically optimized for higher light than they were experiencing, likely due to a highly dynamic light regime. Expression patterns of micronutrient stress-induced proteins were consistent with iron stress in off-shelf regions, but remarkably this iron stress did not result in lower carbon fixation and growth rates. Notably, manganese drawdown was highest under elevated light, suggesting a possible role in managing HL, although high flavodoxin expression indicated that Phaeocystis antarctica may not have been manganese-limited. Although light and iron treatments did not impact species composition, high methionine synthase indicated that diatoms could have experienced stress induced by low vitamin B-12, potentially contributing to P. antarctica's general dominance throughout the experiments. Our results indicate that P. antarctica may be better adapted to spring conditions than diatoms.</t>
  </si>
  <si>
    <t>[Joy-Warren, Hannah L.; Alderkamp, Anne-Carlijn; van Dijken, Gert L.; Baldonado, Evan N.; Glickman, Molly W.; Lewis, Kate M.; Lowry, Kate E.; Arrigo, Kevin R.] Stanford Univ, Dept Earth Syst Sci, Stanford, CA 94305 USA; [Jabre, Loay; Bertrand, Erin M.] Dalhousie Univ, Dept Biol, Halifax, NS, Canada; [Middag, Rob] NIOZ Royal Netherlands Inst Sea Res, Dept Ocean Syst OCS, Texel, Netherlands; [Middag, Rob; Seyitmuhammedov, Kyyas] Univ Otago, Dept Chem, Dunedin, New Zealand; [Lowry, Kate E.] Woods Hole Oceanog Inst, Dept Biol, Woods Hole, MA 02543 USA; [van de Poll, Willem] Univ Groningen, Dept Ocean Ecosyst, Energy &amp; Sustainabil Res Inst Groningen, Groningen, Netherlands; [Joy-Warren, Hannah L.] Univ Washington, Cooperat Inst Climate Ocean &amp; Ecosyst Studies CIC, Seattle, WA 98195 USA; [Alderkamp, Anne-Carlijn] Foothill Coll, Biol Dept, Los Altos Hills, CA USA; [Seyitmuhammedov, Kyyas] Norwegian Univ Sci &amp; Technol NTNU, Dept Chem, POB 8900, N-7491 Trondheim, Norway</t>
  </si>
  <si>
    <t>Stanford University; Dalhousie University; Utrecht University; Royal Netherlands Institute for Sea Research (NIOZ); University of Otago; Woods Hole Oceanographic Institution; University of Groningen; University of Washington; University of Washington Seattle; Norwegian University of Science &amp; Technology (NTNU)</t>
  </si>
  <si>
    <t>Joy-Warren, HL (corresponding author), Stanford Univ, Dept Earth Syst Sci, Stanford, CA 94305 USA.;Joy-Warren, HL (corresponding author), Univ Washington, Cooperat Inst Climate Ocean &amp; Ecosyst Studies CIC, Seattle, WA 98195 USA.</t>
  </si>
  <si>
    <t>hjoyw@uw.edu</t>
  </si>
  <si>
    <t>Van Dijken, Gert L/C-5276-2011; Joy-Warren, Hannah L./HJP-5929-2023; Middag, Rob/D-6423-2013</t>
  </si>
  <si>
    <t>Joy-Warren, Hannah L./0000-0003-4127-7367; Middag, Rob/0000-0002-3326-530X; Bertrand, Erin/0000-0002-5950-6810; Lewis, Kate/0000-0003-2909-2570; van de Poll, Willem/0000-0003-4095-4338; Baldonado, Evan/0000-0001-8302-5219; Jabre, Loay/0000-0003-3177-6824; Arrigo, Kevin/0000-0002-7364-876X; Van Dijken, Gert/0000-0002-9587-6317</t>
  </si>
  <si>
    <t>National Science Foundation Office of Polar Programs [ANT-1063592]; U.S. Environmental Protection Agency (EPA) [FP-91770101-1]; NSERC [RGPIN-2015-05009]; Simons Foundation [504183]; Nova Scotia Graduate Scholarship; Royal Netherlands Institute for Sea Research Ocean Systems Department funding; University of Otago Doctoral Scholarship</t>
  </si>
  <si>
    <t>National Science Foundation Office of Polar Programs(National Science Foundation (NSF)NSF - Directorate for Geosciences (GEO)); U.S. Environmental Protection Agency (EPA)(United States Environmental Protection Agency); NSERC(Natural Sciences and Engineering Research Council of Canada (NSERC)); Simons Foundation; Nova Scotia Graduate Scholarship; Royal Netherlands Institute for Sea Research Ocean Systems Department funding; University of Otago Doctoral Scholarship</t>
  </si>
  <si>
    <t>The authors would like to thank the captain, crew, ASC technicians, and scientists on the R/VIB N. B. Palmer (NBP 14-09) for the valuable help and support. We would also like to thank John Butterfield, Erin Dillon, Caroline Ferguson, Ella Patterson, and Alessandra Santiago for help collecting samples, Marc Picheral for developing EcoTaxa for use with FlowCam images, and Elden Rowland for help with protein measurements. This research was funded by a grant from the National Science Foundation Office of Polar Programs to K.R.A. (ANT-1063592) and was developed under the STAR Fellowship Assistance agreement FP-91770101-1 awarded to H.J.W. by the U.S. Environmental Protection Agency (EPA; It has not been formally reviewed by EPA and views expressed are solely those of the authors). This research was also funded by an NSERC Discovery Grant RGPIN-2015-05009 and Simons Foundation Grant 504183 to E.M.B; Nova Scotia Graduate Scholarship to L.J.J.; Royal Netherlands Institute for Sea Research Ocean Systems Department funding to R.M.; and the University of Otago Doctoral Scholarship to K.S. Data presented in this paper are available in the Stanford Digital Depository: https://doi.org/10.25740/hd938dh1291.</t>
  </si>
  <si>
    <t>0024-3590</t>
  </si>
  <si>
    <t>1939-5590</t>
  </si>
  <si>
    <t>LIMNOL OCEANOGR</t>
  </si>
  <si>
    <t>Limnol. Oceanogr.</t>
  </si>
  <si>
    <t>10.1002/lno.12035</t>
  </si>
  <si>
    <t>Limnology; Oceanography</t>
  </si>
  <si>
    <t>Marine &amp; Freshwater Biology; Oceanography</t>
  </si>
  <si>
    <t>0J4RP</t>
  </si>
  <si>
    <t>WOS:000755549000001</t>
  </si>
  <si>
    <t>Greve, M; Pertierra, LR</t>
  </si>
  <si>
    <t>Greve, Michelle; Pertierra, Luis R.</t>
  </si>
  <si>
    <t>Opportunities for studying propagule pressure using gene flow reveal its role in accelerating biological invasions</t>
  </si>
  <si>
    <t>MOLECULAR ECOLOGY</t>
  </si>
  <si>
    <t>Editorial Material</t>
  </si>
  <si>
    <t>When an alien species establishes at a new location, it must spread to become an invader. The extent to which propagule pressure promotes the spread of invaders, especially at local scales, is often difficult to quantify because it requires a reliable measure of, and variation in, rate of spread, and of propagule pressure across similar areas. In this issue of Molecular Ecology, Mairal et al. (2022) make use an unique system of paired sub-Antarctic islands, one with very infrequent human activities, and another inhabited by scientists, to assess the role of propagule pressure and anthropogenic disturbance in the introduction and spread of a major global invader, Poa annua L., to and on the islands. Genetic admixture between different genetic clusters is virtually absent from the little-visited island, while the inhabited island experienced more introduction events, but also significant admixture between genetic clusters. Detailed distribution maps of P. annua spanning more than 50 years allowed the authors to link genetic diversity to residence time. The nature of the system, and the multifaceted approach used by the authors, allows for new insights into the mechanism by which propagule pressure results in the spread of invasive species.</t>
  </si>
  <si>
    <t>[Greve, Michelle; Pertierra, Luis R.] Univ Pretoria, Dept Plant &amp; Soil Sci, Private Bag X20, Hatfield, South Africa</t>
  </si>
  <si>
    <t>University of Pretoria</t>
  </si>
  <si>
    <t>Greve, M (corresponding author), Univ Pretoria, Dept Plant &amp; Soil Sci, Private Bag X20, Hatfield, South Africa.</t>
  </si>
  <si>
    <t>michelle.greve@up.ac.za</t>
  </si>
  <si>
    <t>Pertierra, Luis R./K-3727-2017</t>
  </si>
  <si>
    <t>Pertierra, Luis R./0000-0002-2232-428X; Greve, Michelle/0000-0002-6229-8506</t>
  </si>
  <si>
    <t>Biodiversa ASICS</t>
  </si>
  <si>
    <t>0962-1083</t>
  </si>
  <si>
    <t>1365-294X</t>
  </si>
  <si>
    <t>MOL ECOL</t>
  </si>
  <si>
    <t>Mol. Ecol.</t>
  </si>
  <si>
    <t>10.1111/mec.16385</t>
  </si>
  <si>
    <t>Biochemistry &amp; Molecular Biology; Ecology; Evolutionary Biology</t>
  </si>
  <si>
    <t>Biochemistry &amp; Molecular Biology; Environmental Sciences &amp; Ecology; Evolutionary Biology</t>
  </si>
  <si>
    <t>ZN2SM</t>
  </si>
  <si>
    <t>Green Submitted</t>
  </si>
  <si>
    <t>WOS:000755662300001</t>
  </si>
  <si>
    <t>Sajjad, W; Ilahi, N; Kang, SC; Bahadur, A; Zada, S; Iqbal, A</t>
  </si>
  <si>
    <t>Sajjad, Wasim; Ilahi, Nikhat; Kang, Shichang; Bahadur, Ali; Zada, Sahib; Iqbal, Awais</t>
  </si>
  <si>
    <t>Endolithic microbes of rocks, their community, function and survival strategies</t>
  </si>
  <si>
    <t>INTERNATIONAL BIODETERIORATION &amp; BIODEGRADATION</t>
  </si>
  <si>
    <t>Endolithic microbes; Rocks; Astrobiology; Oligotrophic environment; Geobiology</t>
  </si>
  <si>
    <t>ATACAMA DESERT IMPLICATIONS; AMMONIA-OXIDIZING ARCHAEA; BLUE-GREEN-ALGAE; HYPER-ARID ZONE; BACTERIAL COMMUNITIES; DRY VALLEYS; ROSS DESERT; HYPOLITHIC COMMUNITIES; RAMAN-SPECTROSCOPY; MERIDIANI-PLANUM</t>
  </si>
  <si>
    <t>Endolithic micro-environments of rock are unique, ranging from high mountains and deep-sea floors to deserts and the Arctic and Antarctic regions colonized by high diversity of microbes. Endolithic microorganisms survive the extreme environmental conditions of rock pores and fissures with their survival strategies. In addition, the bulk rock provides mineral nutrients and protects the inhabitants from drastic ecological stresses from changes in the local conditions. Thus, endolithic microbes are at pivotal interface between geology and biology that offers a model system for unique microbial ecology, astrobiology, and geomicrobiology. This review provides comprehensive information on the diversity of endolithic microbial communities in cold, arid, aquatic, and terrestrial ecosystems and their survival strategies under ecological stresses. Furthermore, rock architecture for the colonization of endoliths, their biochemical functions and potential applications are discussed. It is clear that integrating modern molecular methods with physical and chemical analytical instrumentation will further advance our knowledge about endolithic microbial ecology, diversity, unique adaptive mechanisms, ecological functioning, and biochemical processes that shape the past, current, and future biosphere.</t>
  </si>
  <si>
    <t>[Sajjad, Wasim; Kang, Shichang; Bahadur, Ali] Chinese Acad Sci, Northwest Inst Ecoenvironm &amp; Resources, State Key Lab Cryospher Sci, Lanzhou 730000, Peoples R China; [Ilahi, Nikhat] Lanzhou Univ, Sch Life Sci, State Key Lab Grassland Agroecosyst, Lanzhou, Peoples R China; [Bahadur, Ali; Iqbal, Awais] Chinese Acad Sci, Northwest Inst Ecoenvironm &amp; Resources, Key Lab Extreme Environm Microbial Resources &amp; En, Lanzhou 730000, Gansu, Peoples R China; [Zada, Sahib] Guangdong Technion Israel Inst Technol, Dept Environm Engn, 241 Daxue Rd, Shantou 515063, Guangdong, Peoples R China</t>
  </si>
  <si>
    <t>Chinese Academy of Sciences; Lanzhou University; Chinese Academy of Sciences; Guangdong Technion Israel Institute of Technology</t>
  </si>
  <si>
    <t>Zada, S (corresponding author), Guangdong Technion Israel Inst Technol, Dept Environm Engn, 241 Daxue Rd, Shantou 515063, Guangdong, Peoples R China.;Sajjad, W (corresponding author), Chinese Acad Sci, Univ Chinese Acad Sci UCAS, Northwest Inst Ecoenvironm &amp; Resources, State Key Lab Cryosphere Sci, Donggang West Rd 320, Lanzhou 730000, Peoples R China.</t>
  </si>
  <si>
    <t>wasim.sajjad71@yahoo.com; sahib.zada@gtiit.edu.cn</t>
  </si>
  <si>
    <t>SAJJAD, WASIM/B-5677-2019; Iqbal, Awais/GQP-7929-2022; Shichang, Kang/AAB-5341-2020; Iqbal, Awais/IAO-4733-2023; Kang, Shichang/I-6830-2018; Bahadur, Ali/D-6868-2016</t>
  </si>
  <si>
    <t>SAJJAD, WASIM/0000-0002-1622-0484; Shichang, Kang/0000-0002-2344-9519; Kang, Shichang/0000-0003-2115-9005; Bahadur, Ali/0000-0002-7176-9832</t>
  </si>
  <si>
    <t>second Tibetan Plateau Scientific Expedition and Research Program (STEP) [2019QZKK0605]; State Key Laboratory of Cryospheric Science [SKLCS-ZZ-2020]; Chinese Academy of Sciences [2020PC0052]</t>
  </si>
  <si>
    <t>second Tibetan Plateau Scientific Expedition and Research Program (STEP); State Key Laboratory of Cryospheric Science; Chinese Academy of Sciences(Chinese Academy of Sciences)</t>
  </si>
  <si>
    <t>We acknowledge the support provided by the second Tibetan Plateau Scientific Expedition and Research Program (STEP) (2019QZKK0605) and the State Key Laboratory of Cryospheric Science (SKLCS-ZZ-2020). In addition, a PIFI Fellowship supports Wasim Sajjad from the Chinese Academy of Sciences (2020PC0052).</t>
  </si>
  <si>
    <t>ELSEVIER SCI LTD</t>
  </si>
  <si>
    <t>THE BOULEVARD, LANGFORD LANE, KIDLINGTON, OXFORD OX5 1GB, OXON, ENGLAND</t>
  </si>
  <si>
    <t>0964-8305</t>
  </si>
  <si>
    <t>1879-0208</t>
  </si>
  <si>
    <t>INT BIODETER BIODEGR</t>
  </si>
  <si>
    <t>Int. Biodeterior. Biodegrad.</t>
  </si>
  <si>
    <t>10.1016/j.ibiod.2022.105387</t>
  </si>
  <si>
    <t>Biotechnology &amp; Applied Microbiology; Environmental Sciences</t>
  </si>
  <si>
    <t>Biotechnology &amp; Applied Microbiology; Environmental Sciences &amp; Ecology</t>
  </si>
  <si>
    <t>2R7FS</t>
  </si>
  <si>
    <t>WOS:000821274600006</t>
  </si>
  <si>
    <t>Alurralde, G; Isla, E; Fuentes, V; Olariaga, A; Maggioni, T; Rimondino, G; Tatián, M</t>
  </si>
  <si>
    <t>Alurralde, Gaston; Isla, Enrique; Fuentes, Veronica; Olariaga, Alejandro; Maggioni, Tamara; Rimondino, Guido; Tatian, Marcos</t>
  </si>
  <si>
    <t>Anthropogenic microfibres flux in an Antarctic coastal ecosystem: The tip of an iceberg?</t>
  </si>
  <si>
    <t>Western Atarctic Peninsula; Sediment trap; Microfibres; Particle fluxes, anthropogenic pollution</t>
  </si>
  <si>
    <t>DOWNWARD PARTICLE FLUXES; MICROPLASTIC POLLUTION; SEA; ACCUMULATION; SEDIMENTS; FIBERS; ISLAND; BAY; ENVIRONMENT; STATION</t>
  </si>
  <si>
    <t>This study describes the occurrence of anthropogenic microfibres (AMFs) found in sediment trap samples collected at 25 m water depth in an Antarctic fjord (Potter Cove, King George/25 de Mayo Island) from 2012 to 2015. During visual sorting of samples, AMFs were detected and described, and a subset was confirmed, via FTIR (Fourier transform infrared) spectroscopy, as semi-synthetic cellulosic and polyacrylonitrile polymers. Estimated flux of AMF varied from 115 to 152,750 microfibres m(-2) throughout the studied period, with sizes ranging from 10 to 450 mu m in length. Maximum AMFs fluxes occurred in summer months. Sediment traps allowed detecting temporal patterns of small (mu m) AMFs, usually undersampled with nets or sieves, providing a new insight into microplastic pollution in Antarctica and its relation to environmental conditions.</t>
  </si>
  <si>
    <t>[Alurralde, Gaston; Maggioni, Tamara; Tatian, Marcos] Univ Nacl Cordoba, Dept Diversidad Biol &amp; Ecol, Fac Ciencias Exactas Fis &amp; Nat, Cordoba, Argentina; [Alurralde, Gaston; Maggioni, Tamara; Tatian, Marcos] Consejo Nacl Invest Cient &amp; Tecn CONICET, Inst Diversidad &amp; Ecol Anim IDEA, Cordoba, Argentina; [Isla, Enrique; Fuentes, Veronica; Olariaga, Alejandro] Inst Ciencies Mar CSIC, Barcelona, Spain; [Rimondino, Guido] Univ Nacl Cordoba, Fac Ciencias Quim, Inst Invest Fisicoquim Cordoba INFIQC, Dept Fisicoquim, Ciudad Univ,X5000HUA, Cordoba, Argentina</t>
  </si>
  <si>
    <t>National University of Cordoba; Consejo Nacional de Investigaciones Cientificas y Tecnicas (CONICET); Consejo Superior de Investigaciones Cientificas (CSIC); CSIC - Centro Mediterraneo de Investigaciones Marinas y Ambientales (CMIMA); CSIC - Instituto de Ciencias del Mar (ICM); National University of Cordoba</t>
  </si>
  <si>
    <t>Alurralde, G (corresponding author), Univ Nacl Cordoba, Dept Diversidad Biol &amp; Ecol, Fac Ciencias Exactas Fis &amp; Nat, Cordoba, Argentina.</t>
  </si>
  <si>
    <t>mitocondriarevelde@gmail.com</t>
  </si>
  <si>
    <t>Alurralde, Gastón/IVV-4732-2023</t>
  </si>
  <si>
    <t>Alurralde, Gastón/0000-0002-0332-3978</t>
  </si>
  <si>
    <t>Total Foundation (ECLIPSE Project); Argentinean funds through PICT-Raices [2011-1320, 119]; European Commission [319718]; (CONICET) at the Universidad Nacional de Cordoba</t>
  </si>
  <si>
    <t>Total Foundation (ECLIPSE Project); Argentinean funds through PICT-Raices; European Commission(European Union (EU)European Commission Joint Research Centre); (CONICET) at the Universidad Nacional de Cordoba</t>
  </si>
  <si>
    <t>The research was supported by the Total Foundation (ECLIPSE Project); Argentinean funds through PICT-Raices 2011-1320 to IS, PICTO-DNA N. 119; the European Commission under the 7th Framework Programme through the Action -IMCONet (FP7 IRSES, action no. 319718). It contributes to the Coastal Ecology Monitoring programme of Instituto Antartico Argentino/Direcci ' on Nacional del Antartico in Carlini Station, and the research program PACES II (topic 1, work package 5) of the Alfred Wegener Institute. GA received a PhD scholarship (CONICET) at the Universidad Nacional de Cordoba. We are grateful to the scientific, logistic, and diving groups of Carlini Station-Dallmann Laboratory for their technical assistance during the Antarctic expeditions. Also, to Oscar Gonzales, Alejandro Ullrich, and Silvia Rodriguez from the Instituto Antartico Argentino (IAA). Finally, to Silvia Diago y Neus Maestro for their help during lab working, preparing and analysing sediment trap samples at the ICM.</t>
  </si>
  <si>
    <t>FEB</t>
  </si>
  <si>
    <t>10.1016/j.marpolbul.2022.113388</t>
  </si>
  <si>
    <t>1I0JK</t>
  </si>
  <si>
    <t>WOS:000796923900003</t>
  </si>
  <si>
    <t>Condie, CM; Vince, J; Alexander, KA</t>
  </si>
  <si>
    <t>Condie, Corrine M.; Vince, Joanna; Alexander, Karen A.</t>
  </si>
  <si>
    <t>The long-term evolution of news media in defining socio-ecological conflict: A case study of expanding aquaculture</t>
  </si>
  <si>
    <t>MARINE POLICY</t>
  </si>
  <si>
    <t>Aquaculture; Media; Conflict; Turning-point; Fish; Farm</t>
  </si>
  <si>
    <t>ENVIRONMENTAL CONFLICT; SOCIAL LICENSE; POWER; RISK; COVERAGE; TASMANIA; LESSONS</t>
  </si>
  <si>
    <t>Community conflict is increasingly associated with commercial uses of the marine environment. This research investigates the evolution of newspaper coverage of finfish aquaculture over a 25-year period and how it has reflected growing levels of community conflict common to much of the world's salmon aquaculture production. A detailed case study suggests that by actively constraining debate to positive associations throughout the introduction and early growth stage of the industry lifecycle, companies and regulating agencies may have inadvertently: (i) eroded public trust by contributing to reader ambiguity and uncertainty relating to industry's environmental credentials and publicised partnerships with transnational environmental groups; (ii) failed to promote an open dialogue and a more informed community regarding the real benefits and risks of production; and (iii) created a situation in which negative influences on public opinion post-turning point were magnified.</t>
  </si>
  <si>
    <t>[Condie, Corrine M.; Alexander, Karen A.] Univ Tasmania, Inst Marine &amp; Antarctic Studies, Hobart, Tas, Australia; [Vince, Joanna] Univ Tasmania, Sch Social Sci, Hobart, Tas, Australia; [Condie, Corrine M.; Vince, Joanna; Alexander, Karen A.] Univ Tasmania, Ctr Marine Socioecol, Hobart, Tas, Australia</t>
  </si>
  <si>
    <t>University of Tasmania; University of Tasmania; University of Tasmania</t>
  </si>
  <si>
    <t>Condie, CM (corresponding author), Univ Tasmania, Inst Marine &amp; Antarctic Studies, Hobart, Tas, Australia.</t>
  </si>
  <si>
    <t>cm.condie@utas.edu.au</t>
  </si>
  <si>
    <t>Vince, Joanna Zofia/J-7465-2014; Alexander, Karen/O-7042-2017</t>
  </si>
  <si>
    <t>Vince, Joanna Zofia/0000-0002-4469-7634; Alexander, Karen/0000-0001-8801-413X</t>
  </si>
  <si>
    <t>0308-597X</t>
  </si>
  <si>
    <t>1872-9460</t>
  </si>
  <si>
    <t>MAR POLICY</t>
  </si>
  <si>
    <t>Mar. Pol.</t>
  </si>
  <si>
    <t>10.1016/j.marpol.2022.104988</t>
  </si>
  <si>
    <t>Environmental Studies; International Relations</t>
  </si>
  <si>
    <t>Social Science Citation Index (SSCI)</t>
  </si>
  <si>
    <t>Environmental Sciences &amp; Ecology; International Relations</t>
  </si>
  <si>
    <t>0I3QY</t>
  </si>
  <si>
    <t>WOS:000779339000013</t>
  </si>
  <si>
    <t>Cuevas, CA; Fernandez, RP; Kinnison, DE; Li, QY; Lamarque, JF; Trabelsi, T; Francisco, JS; Solomon, S; Saiz-Lopez, A</t>
  </si>
  <si>
    <t>Cuevas, Carlos A.; Fernandez, Rafael P.; Kinnison, Douglas E.; Li, Qinyi; Lamarque, Jean-Francois; Trabelsi, Tarek; Francisco, Joseph S.; Solomon, Susan; Saiz-Lopez, Alfonso</t>
  </si>
  <si>
    <t>The influence of iodine on the Antarctic stratospheric ozone hole</t>
  </si>
  <si>
    <t>PROCEEDINGS OF THE NATIONAL ACADEMY OF SCIENCES OF THE UNITED STATES OF AMERICA</t>
  </si>
  <si>
    <t>iodine; ozone depletion; Antarctic ozone hole</t>
  </si>
  <si>
    <t>GASEOUS IODINE; EMISSIONS; BROMINE; DEPLETION; CLIMATE; CHEMISTRY; CHLORINE; PARAMETERIZATION; TROPOSPHERE; SIMULATION</t>
  </si>
  <si>
    <t>The catalytic depletion of Antarctic stratospheric ozone is linked to anthropogenic emissions of chlorine and bromine. Despite its larger ozone-depleting efficiency, the contribution of oceanemitted iodine to ozone hole chemistry has not been evaluated, due to the negligible iodine levels previously reported to reach the stratosphere. Based on the recently observed range (0.77 +/- 0.1 parts per trillion by volume [pptv]) of stratospheric iodine injection, we use the Whole Atmosphere Community Climate Model to assess the role of iodine in the formation and recent past evolution of the Antarctic ozone hole. Our 1980-2015 simulations indicate that iodine can significantly impact the lower part of the Antarctic ozone hole, contributing, on average, 10% of the lower stratospheric ozone loss during spring (up to 4.2% of the total stratospheric column). We find that the inclusion of iodine advances the beginning and delays the closure stages of the ozone hole by 3 d to 5 d, increasing its area and mass deficit by 11% and 20%, respectively. Despite being present in much smaller amounts, and due to faster gas-phase photochemical reactivation, iodine can dominate (similar to 73%) the halogen-mediated lower stratospheric ozone loss during summer and early fall, when the heterogeneous reactivation of inorganic chlorine and bromine reservoirs is reduced. The stratospheric ozone destruction caused by 0.77 pptv of iodine over Antarctica is equivalent to that of 3.1 (4.6) pptv of biogenic very short-lived bromocarbons during spring (rest of sunlit period). The relative contribution of iodine to future stratospheric ozone loss is likely to increase as anthropogenic chlorine and bromine emissions decline following the Montreal Protocol.</t>
  </si>
  <si>
    <t>[Cuevas, Carlos A.; Li, Qinyi; Saiz-Lopez, Alfonso] Spanish Natl Res Council, Inst Phys Chem Rocasolano, Dept Atmospher Chem &amp; Climate, Madrid 28006, Spain; [Fernandez, Rafael P.] CNR, Inst Interdisciplinary Sci, RA-5501 Mendoza, Argentina; [Fernandez, Rafael P.] Natl Univ Cuyo, Sch Nat Sci, RA-5501 Mendoza, Argentina; [Kinnison, Douglas E.] Natl Ctr Atmospher Res, Atmospher Chem Observat &amp; Modeling, Boulder, CO 80305 USA; [Lamarque, Jean-Francois] Natl Ctr Atmospher Res, Climate &amp; Global Dynam Lab, Boulder, CO 80305 USA; [Trabelsi, Tarek; Francisco, Joseph S.] Univ Penn, Dept Chem, Philadelphia, PA 19104 USA; [Solomon, Susan] MIT, Dept Earth Atmospher &amp; Planetary Sci, Cambridge, MA 02139 USA</t>
  </si>
  <si>
    <t>Consejo Superior de Investigaciones Cientificas (CSIC); CSIC - Instituto de Quimica Fisica Rocasolano (IQFR); University Nacional Cuyo Mendoza; National Center Atmospheric Research (NCAR) - USA; National Center Atmospheric Research (NCAR) - USA; University of Pennsylvania; Massachusetts Institute of Technology (MIT)</t>
  </si>
  <si>
    <t>Cuevas, CA; Saiz-Lopez, A (corresponding author), Spanish Natl Res Council, Inst Phys Chem Rocasolano, Dept Atmospher Chem &amp; Climate, Madrid 28006, Spain.</t>
  </si>
  <si>
    <t>cuevas@iqfr.csic.es; a.saiz@csic.es</t>
  </si>
  <si>
    <t>Saiz-Lopez, Alfonso/B-3759-2015; Li, Qinyi/F-4348-2010; Francisco, Joseph/JMC-1122-2023; Fernandez, Rafael Pedro/ABF-2323-2020; Trabelsi, Tarek/AAD-4936-2019; Lamarque, Jean-Francois/L-2313-2014</t>
  </si>
  <si>
    <t>Saiz-Lopez, Alfonso/0000-0002-0060-1581; Li, Qinyi/0000-0002-5146-5831; Fernandez, Rafael Pedro/0000-0002-4114-5500; Trabelsi, Tarek/0000-0001-6258-7191; Kinnison, Douglas/0000-0002-3418-0834; Lamarque, Jean-Francois/0000-0002-4225-5074</t>
  </si>
  <si>
    <t>European Research Council Executive Agency under the European Union's Horizon 2020 Research and Innovation Programme [ERC-2016-COG 726349 CLIMAHAL]; NASA [80NSSC19K0952]; NSF-Atmospheric and Geospace Sciences Grant [1906719]; NSF [1852977]; Argentine Ministry of Science; National Research Council [PICT 2019-02187, SIIP M032/3853]; Directorate For Geosciences; Div Atmospheric &amp; Geospace Sciences [1906719] Funding Source: National Science Foundation</t>
  </si>
  <si>
    <t>European Research Council Executive Agency under the European Union's Horizon 2020 Research and Innovation Programme; NASA(National Aeronautics &amp; Space Administration (NASA)); NSF-Atmospheric and Geospace Sciences Grant; NSF(National Science Foundation (NSF)); Argentine Ministry of Science; National Research Council; Directorate For Geosciences; Div Atmospheric &amp; Geospace Sciences(National Science Foundation (NSF)NSF - Directorate for Geosciences (GEO))</t>
  </si>
  <si>
    <t>This study received funding from the European Research Council Executive Agency under the European Union's Horizon 2020 Research and Innovation Programme (Project ERC-2016-COG 726349 CLIMAHAL) . D.E.K. is partly supported by NASA Grant 80NSSC19K0952. S.S. is partly supported by NSF-Atmospheric and Geospace Sciences Grant 1906719. The CESM project, which is supported primarily by the NSF, is led by the National Center for Atmospheric Research (NCAR) , which is a major facility sponsored by the NSF under Cooperative Agreement 1852977. Computing resources, support, and data storage were provided by the Climate Simulation Laboratory at NCAR's Computational and Information Systems Laboratory, sponsored by the NSF. R.P.F thanks the Argentine Ministry of Science and the National Research Council for financial support (grants PICT 2019-02187 and SIIP M032/3853) .</t>
  </si>
  <si>
    <t>NATL ACAD SCIENCES</t>
  </si>
  <si>
    <t>2101 CONSTITUTION AVE NW, WASHINGTON, DC 20418 USA</t>
  </si>
  <si>
    <t>0027-8424</t>
  </si>
  <si>
    <t>1091-6490</t>
  </si>
  <si>
    <t>P NATL ACAD SCI USA</t>
  </si>
  <si>
    <t>Proc. Natl. Acad. Sci. U. S. A.</t>
  </si>
  <si>
    <t>FEB 15</t>
  </si>
  <si>
    <t>e2110864119</t>
  </si>
  <si>
    <t>10.1073/pnas.2110864119</t>
  </si>
  <si>
    <t>ZQ2CZ</t>
  </si>
  <si>
    <t>Green Submitted, hybrid, Green Published</t>
  </si>
  <si>
    <t>WOS:000766919700009</t>
  </si>
  <si>
    <t>Lang, FC; Ackermann, L; Huang, Y; Truong, SCH; Siems, ST; Manton, MJ</t>
  </si>
  <si>
    <t>Lang, Francisco; Ackermann, Luis; Huang, Yi; Truong, Son C. H.; Siems, Steven T.; Manton, Michael J.</t>
  </si>
  <si>
    <t>A climatology of open and closed mesoscale cellular convection over the Southern Ocean derived from Himawari-8 observations</t>
  </si>
  <si>
    <t>COLD-AIR OUTBREAKS; MARINE LOW-CLOUD; ANTARCTIC POLAR FRONT; EXPERIMENT ACE 1; RADIATION BUDGET; PART II; PRECIPITATION; SURFACE; STRATOCUMULUS; DYNAMICS</t>
  </si>
  <si>
    <t>Marine atmospheric boundary layer clouds cover vast areas of the Southern Ocean (SO), where they are commonly organized into mesoscale cellular convection (MCC). Using 3 years of Himawari-8 geostationary satellite observations, open and closed MCC structures are identified using a hybrid convolutional neural network. The results of the climatology show that open MCC clouds are roughly uniformly distributed over the SO storm track across midlatitudes, while closed MCC clouds are most predominant in the southeast Indian Ocean, with a second maximum along the storm track. The ocean polar front, derived from ECMWF-ERA5 sea surface temperature gradients, is found to be aligned with the southern boundaries for both MCC types. Along the storm track, both closed and open MCCs are commonly located in post-frontal, cold air masses. The hourly classification of closed MCC reveals a pronounced daily cycle, with a peak occurring late night/early morning. Seasonally, the diurnal cycle of closed MCC is most intense during the summer months (December-February; DJF). Conversely, almost no diurnal cycle is evident for open MCC.</t>
  </si>
  <si>
    <t>[Lang, Francisco; Ackermann, Luis; Truong, Son C. H.; Siems, Steven T.; Manton, Michael J.] Monash Univ, Sch Earth Atmosphere &amp; Environm, Melbourne, Vic, Australia; [Ackermann, Luis; Huang, Yi; Truong, Son C. H.; Siems, Steven T.] Australian Res Council, Ctr Excellence Climate Extremes CLEX, Melbourne, Vic, Australia; [Huang, Yi] Univ Melbourne, Sch Earth Sci, Melbourne, Vic, Australia</t>
  </si>
  <si>
    <t>Monash University; Melbourne Genomics Health Alliance; Melbourne Genomics Health Alliance; University of Melbourne; Melbourne Bioinformatics</t>
  </si>
  <si>
    <t>Lang, FC (corresponding author), Monash Univ, Sch Earth Atmosphere &amp; Environm, Melbourne, Vic, Australia.</t>
  </si>
  <si>
    <t>francisco.lang@monash.edu</t>
  </si>
  <si>
    <t>Siems, Steven T/C-8339-2013; Truong, Son C. H./HKW-5107-2023</t>
  </si>
  <si>
    <t>Siems, Steven T/0000-0002-8478-533X; Truong, Son C. H./0000-0001-6498-5214; Ackermann, Luis/0000-0002-5311-2570; Lang, Francisco/0000-0002-8595-4836; Huang, Yi/0000-0001-8144-1227</t>
  </si>
  <si>
    <t>Australian Research Council Discovery Projects [DP190101362]</t>
  </si>
  <si>
    <t>Australian Research Council Discovery Projects(Australian Research Council)</t>
  </si>
  <si>
    <t>This research has been supported by the Australian Research Council Discovery Projects (grant no. DP190101362).</t>
  </si>
  <si>
    <t>10.5194/acp-22-2135-2022</t>
  </si>
  <si>
    <t>ZF1JO</t>
  </si>
  <si>
    <t>WOS:000759330400001</t>
  </si>
  <si>
    <t>Ruiz, DJ; Prather, MJ</t>
  </si>
  <si>
    <t>Ruiz, Daniel J.; Prather, Michael J.</t>
  </si>
  <si>
    <t>From the middle stratosphere to the surface, using nitrous oxide to constrain the stratosphere-troposphere exchange of ozone</t>
  </si>
  <si>
    <t>GLOBAL QBO; MASS; CIRCULATION; TRANSPORT; CHEMISTRY; FLUXES; N2O</t>
  </si>
  <si>
    <t>Stratosphere-troposphere exchange (STE) is an important source of tropospheric ozone, affecting all of atmospheric chemistry, climate, and air quality. The study of impacts needs STE fluxes to be resolved by latitude and month, and for this, we rely on global chemistry models, whose results diverge greatly. Overall, we lack guidance from model-measurement metrics that inform us about processes and patterns related to the STE flux of ozone (O-3). In this work, we use modeled tracers (N2O and CFCl3), whose distributions and budgets can be constrained by satellite and surface observations, allowing us to follow stratospheric signals across the tropopause. The satellite-derived photochemical loss of N2O on annual and quasi-biennial cycles can be matched by the models. The STE flux of N2O-depleted air in our chemistry transport model drives surface variability that closely matches observed fluctuations on both annual and quasi-biennial cycles, confirming the modeled flux. The observed tracer correlations between N2O and O-3 in the lowermost stratosphere provide a hemispheric scaling of the N2O STE flux to that of O-3. For N2O and CFCl3, we model greater southern hemispheric STE fluxes, a result supported by some metrics, but counter to the prevailing theory of wave-driven stratospheric circulation. The STE flux of O-3, however, is predominantly northern hemispheric, but evidence shows that this is caused by the Antarctic ozone hole reducing southern hemispheric O-3 STE by 14 %. Our best estimate of the current STE O-3 flux based on a range of constraints is 400 Tg(O-3) yr(-1), with a 1 sigma uncertainty of +/- 15 % and with a NH : SH ratio ranging from 50:50 to 60:40. We identify a range of observational metrics that can better constrain the modeled STE O-3 flux in future assessments.</t>
  </si>
  <si>
    <t>[Ruiz, Daniel J.; Prather, Michael J.] Univ Calif Irvine, Dept Earth Syst Sci, Irvine, CA 92697 USA</t>
  </si>
  <si>
    <t>University of California System; University of California Irvine</t>
  </si>
  <si>
    <t>Ruiz, DJ (corresponding author), Univ Calif Irvine, Dept Earth Syst Sci, Irvine, CA 92697 USA.</t>
  </si>
  <si>
    <t>djruiz@uci.edu</t>
  </si>
  <si>
    <t>Ruiz, Daniel/0000-0002-5082-1726; Prather, Michael/0000-0002-9442-8109</t>
  </si>
  <si>
    <t>National Aeronautics and Space Administration's Modeling, Analysis, and Prediction (MAP) Program [NNX13AL12G, 80NSSC20K1237, NNX15AE35G]; National Science Foundation</t>
  </si>
  <si>
    <t>National Aeronautics and Space Administration's Modeling, Analysis, and Prediction (MAP) Program; National Science Foundation(National Science Foundation (NSF))</t>
  </si>
  <si>
    <t>The research at UCI has been supported by grants from the National Aeronautics and Space Administration's Modeling, Analysis, and Prediction (MAP) Program (grant no. NNX13AL12G), the Atmospheric Chemistry Modeling and Analysis Program (ACMAP; grant nos. 80NSSC20K1237 and NNX15AE35G), and the National Science Foundation (grant no. NRT-1633631).</t>
  </si>
  <si>
    <t>10.5194/acp-22-2079-2022</t>
  </si>
  <si>
    <t>ZF1HC</t>
  </si>
  <si>
    <t>WOS:000759323900001</t>
  </si>
  <si>
    <t>Xi, Y; Mercier, A; Kuang, C; Yun, JW; Christy, A; Melo, L; Maldonado, MT; Raymond, JA; Bertram, AK</t>
  </si>
  <si>
    <t>Xi, Yu; Mercier, Alexia; Kuang, Cheng; Yun, Jingwei; Christy, Ashton; Melo, Luke; Maldonado, Maria T.; Raymond, James A.; Bertram, Allan K.</t>
  </si>
  <si>
    <t>Concentrations and properties of ice nucleating substances in exudates from Antarctic sea-ice diatoms (vol 23, pg 323, 2021)</t>
  </si>
  <si>
    <t>ENVIRONMENTAL SCIENCE-PROCESSES &amp; IMPACTS</t>
  </si>
  <si>
    <t>Correction</t>
  </si>
  <si>
    <t>PARTICLES</t>
  </si>
  <si>
    <t>[Xi, Yu; Yun, Jingwei; Christy, Ashton; Melo, Luke; Bertram, Allan K.] Univ British Columbia, Dept Chem, Vancouver, BC V6T 1Z1, Canada; Sorbonne Univ, Dept Chem, 4 Pl Jussieu, F-75005 Paris, France; [Kuang, Cheng; Maldonado, Maria T.] Univ British Columbia, Dept Earth Ocean &amp; Atmospher Sci, 2020-2207 Main Mall, Vancouver, BC V6T 1Z4, Canada; [Raymond, James A.] Univ Nevada, Sch Life Sci, 4505 S Maryland Pkwy, Las Vegas, NV 89154 USA</t>
  </si>
  <si>
    <t>University of British Columbia; Sorbonne Universite; University of British Columbia; Nevada System of Higher Education (NSHE); University of Nevada Las Vegas</t>
  </si>
  <si>
    <t>Bertram, AK (corresponding author), Univ British Columbia, Dept Chem, Vancouver, BC V6T 1Z1, Canada.</t>
  </si>
  <si>
    <t>ROYAL SOC CHEMISTRY</t>
  </si>
  <si>
    <t>THOMAS GRAHAM HOUSE, SCIENCE PARK, MILTON RD, CAMBRIDGE CB4 0WF, CAMBS, ENGLAND</t>
  </si>
  <si>
    <t>2050-7887</t>
  </si>
  <si>
    <t>2050-7895</t>
  </si>
  <si>
    <t>ENVIRON SCI-PROC IMP</t>
  </si>
  <si>
    <t>Environ. Sci.-Process Impacts</t>
  </si>
  <si>
    <t>MAR 23</t>
  </si>
  <si>
    <t>10.1039/d2em90004a</t>
  </si>
  <si>
    <t>Chemistry, Analytical; Environmental Sciences</t>
  </si>
  <si>
    <t>Chemistry; Environmental Sciences &amp; Ecology</t>
  </si>
  <si>
    <t>ZX8EB</t>
  </si>
  <si>
    <t>hybrid</t>
  </si>
  <si>
    <t>WOS:000755197900001</t>
  </si>
  <si>
    <t>Dong, YT; Zhao, J; Li, CY; Liao, MS</t>
  </si>
  <si>
    <t>Dong, Yuting; Zhao, Ji; Li, Caiyong; Liao, Mingsheng</t>
  </si>
  <si>
    <t>Gapless-REMA100: A gapless 100-m reference elevation model of Antarctica with voids filled by multi-source DEMs</t>
  </si>
  <si>
    <t>ISPRS JOURNAL OF PHOTOGRAMMETRY AND REMOTE SENSING</t>
  </si>
  <si>
    <t>Reference Elevation Model of Antarctica; (REMA); Digital Elevation Model (DEM); Gapless; Void-fill; Delta surface method</t>
  </si>
  <si>
    <t>LASER DATA; ICE FLOW; PENINSULA; RADAR; SURFACE; ASTER; INTERPOLATION; GENERATION; GLACIERS</t>
  </si>
  <si>
    <t>The digital elevation model (DEM) of Antarctica is a fundamental dataset for a wide range of glaciological ap-plications, from fieldwork planning to ice sheet dynamics analysis. The DEM data at high spatial resolution provides a more detailed depiction of the topography. The reference elevation model of Antarctica (REMA) mosaic is a recently released high-resolution Antarctic DEM product with a high absolute vertical accuracy of 1 m or less. The REMA mosaic was generated using an optical photogrammetry technique and can reflect the surface elevation of the ice sheet. However, the REMA mosaic has a large number of data voids of various spatial sizes, which affects its wide glaciological application. Therefore, we propose the generation of a gapless 100-m reference elevation model of Antarctica (Gapless-REMA100) with the voids filled by combining multi-source DEMs. In this study, the best-fit fill DEMs were automatically selected between almost all available circum-Antarctica or regional DEMs. Targeting numerous voids in large areas of the 100-m REMA mosaic, we pro -pose a novel hierarchical delta surface method for interpolating the created delta surface to achieve an efficient, unbiased, and continuous filled surface. High-precision laser altimetry data were used to evaluate the vertical accuracy of the REMA mosaic. To eliminate the influence of the temporal surface elevation change and pene-tration depth between the DEM and laser altimetry data, we developed a new local contrast evaluation method by calculating the vertical accuracy of the equal-area buffer as a control to that of the center void. The exper-imental results with the Ice, Cloud and Land elevation Satellite-2 (ICESat-2) laser altimetry data validate that the filled 100-m REMA mosaic of voids can reach an elevation accuracy similar to that of the original REMA dataset for the west and east Antarctic ice sheet as well as the entire continent. In the Antarctic Peninsula area, the vertical accuracy of the filled REMA mosaic by the proposed method is superior to that of the officially released version of the Polar Geospatial Center. This is the first time that a gapless, seamless, and accurate 100-m REMA mosaic has been released which has the potential to be extensively used in glaciological applications. The proposed methods can also be used in void-filling of different types of DEM products and their elevation accuracy evaluations.</t>
  </si>
  <si>
    <t>[Dong, Yuting] China Univ Geosci, Sch Geog &amp; Informat Engn, Wuhan 430074, Peoples R China; [Zhao, Ji; Li, Caiyong] China Univ Geosci, Sch Comp Sci, Wuhan 430074, Peoples R China; [Liao, Mingsheng] Wuhan Univ, State Key Lab Informat Engn Surveying, Mapping &amp; Remote Sensing, Wuhan 430079, Peoples R China</t>
  </si>
  <si>
    <t>China University of Geosciences; China University of Geosciences; Wuhan University</t>
  </si>
  <si>
    <t>Zhao, J (corresponding author), China Univ Geosci, Sch Comp Sci, Wuhan 430074, Peoples R China.</t>
  </si>
  <si>
    <t>zhaoji@cug.edu.cn</t>
  </si>
  <si>
    <t>Wang, Jinguo/JED-9233-2023</t>
  </si>
  <si>
    <t>Dong, Yuting/0000-0002-8894-4318</t>
  </si>
  <si>
    <t>National Natural Science Foundation of China [41901413]; Open Research Project of the Hubei Key Laboratory of Intelligent Geo-information Processing [KLIGIP-2019A01]</t>
  </si>
  <si>
    <t>National Natural Science Foundation of China(National Natural Science Foundation of China (NSFC)); Open Research Project of the Hubei Key Laboratory of Intelligent Geo-information Processing</t>
  </si>
  <si>
    <t>We highly appreciate the editor, associate editor, and anonymous reviewers for their constructive comments and suggestions, which significantly improved the quality of this paper. This work was supported by the National Natural Science Foundation of China (grant no. 41901413) and by the Open Research Project of the Hubei Key Laboratory of Intelligent Geo-information Processing (KLIGIP-2019A01). REMA data were downloaded from University of Minnesota, Polar Geospatial Center. The TanDEM-X PolarDEM data were downloaded via the EOC Geoservice of the Earth Observation Center (EOC) of the German Aerospace Center (DLR). The CryoSat-2 DEM was made available by the Center for Polar Observation and Modeling, UK. The Bed-map2, surface DEM was provided from British Antarctic Survey (BAS), Cambridge, UK. The GLAS/ICESat DEM, Antarctic DEM from combined ERS-1 radar and ICESat laser data, edited 100-m ASTER GDEM of Ant-arctic Peninsula, ICESat-2 laser altimeter data (ATL06) were down-loaded from US National Snow and Ice Data Center (NSIDC), Boulder, Colorado. The Zwally Antarctic Drainage Basins were provided by IMBIE 2016.</t>
  </si>
  <si>
    <t>0924-2716</t>
  </si>
  <si>
    <t>1872-8235</t>
  </si>
  <si>
    <t>ISPRS J PHOTOGRAMM</t>
  </si>
  <si>
    <t>ISPRS-J. Photogramm. Remote Sens.</t>
  </si>
  <si>
    <t>10.1016/j.isprsjprs.2022.01.024</t>
  </si>
  <si>
    <t>Geography, Physical; Geosciences, Multidisciplinary; Remote Sensing; Imaging Science &amp; Photographic Technology</t>
  </si>
  <si>
    <t>Physical Geography; Geology; Remote Sensing; Imaging Science &amp; Photographic Technology</t>
  </si>
  <si>
    <t>0N1BA</t>
  </si>
  <si>
    <t>WOS:000782580600001</t>
  </si>
  <si>
    <t>Sousa, C; Fernandes, SA; Cardoso, JCR; Wang, Y; Zhai, WY; Guerreiro, PM; Chen, LB; Canario, AVM; Power, DM</t>
  </si>
  <si>
    <t>Sousa, Carmen; Fernandes, Stefan A.; Cardoso, Joao C. R.; Wang, Ying; Zhai, Wanying; Guerreiro, Pedro M.; Chen, Liangbiao; Canario, Adelino V. M.; Power, Deborah M.</t>
  </si>
  <si>
    <t>Toll-Like Receptor Evolution: Does Temperature Matter?</t>
  </si>
  <si>
    <t>FRONTIERS IN IMMUNOLOGY</t>
  </si>
  <si>
    <t>TLR; Antarctic fish; innate immunity; immune challenge; cold temperature; evolution</t>
  </si>
  <si>
    <t>MOLECULAR CHARACTERIZATION; EXPRESSION ANALYSIS; FUNCTIONAL-CHARACTERIZATION; PHYLOGENETIC ANALYSIS; BACTERIAL FLAGELLIN; TELEOST FISH; ATLANTIC COD; INNATE; IMMUNE; IDENTIFICATION</t>
  </si>
  <si>
    <t>Toll-like receptors (TLRs) recognize conserved pathogen-associated molecular patterns (PAMPs) and are an ancient and well-conserved group of pattern recognition receptors (PRRs). The isolation of the Antarctic continent and its unique teleost fish and microbiota prompted the present investigation into Tlr evolution. Gene homologues of tlr members in teleosts from temperate regions were present in the genome of Antarctic Nototheniidae and the non-Antarctic sister lineage Bovichtidae. Overall, in Nototheniidae apart from D. mawsoni, no major tlr gene family expansion or contraction occurred. Instead, lineage and species-specific changes in the ectodomain and LRR of Tlrs occurred, particularly in the Tlr11 superfamily that is well represented in fish. Positive selective pressure and associated sequence modifications in the TLR ectodomain and within the leucine-rich repeats (LRR), important for pathogen recognition, occurred in Tlr5, Tlr8, Tlr13, Tlr21, Tlr22, and Tlr23 presumably associated with the unique Antarctic microbiota. Exposure to lipopolysaccharide (Escherichia coli O111:B4) Gram negative bacteria did not modify tlr gene expression in N. rossii head-kidney or anterior intestine, although increased water temperature (+4 degrees C) had a significant effect.</t>
  </si>
  <si>
    <t>[Sousa, Carmen; Fernandes, Stefan A.; Cardoso, Joao C. R.; Guerreiro, Pedro M.; Canario, Adelino V. M.; Power, Deborah M.] Univ Algarve, Ctr Ciencias Mar CCMAR, Faro, Portugal; [Wang, Ying; Zhai, Wanying; Chen, Liangbiao; Canario, Adelino V. M.; Power, Deborah M.] Shanghai Ocean Univ SHOU, Int Res Ctr Marine Biosci, Minist Sci &amp; Technol, Shanghai, Peoples R China</t>
  </si>
  <si>
    <t>Universidade do Algarve</t>
  </si>
  <si>
    <t>Power, DM (corresponding author), Univ Algarve, Ctr Ciencias Mar CCMAR, Faro, Portugal.;Power, DM (corresponding author), Shanghai Ocean Univ SHOU, Int Res Ctr Marine Biosci, Minist Sci &amp; Technol, Shanghai, Peoples R China.</t>
  </si>
  <si>
    <t>dpower@ualg.pt</t>
  </si>
  <si>
    <t>Canario, Adelino/C-7942-2009; Guerreiro, Pedro Miguel Mendes/L-1826-2017; Cardoso, Joao/M-4151-2013</t>
  </si>
  <si>
    <t>Canario, Adelino/0000-0002-6244-6468; Guerreiro, Pedro Miguel Mendes/0000-0001-7272-2000; Sousa, Carmen/0000-0002-3483-1932; Cardoso, Joao/0000-0001-7890-0170</t>
  </si>
  <si>
    <t>1664-3224</t>
  </si>
  <si>
    <t>FRONT IMMUNOL</t>
  </si>
  <si>
    <t>Front. Immunol.</t>
  </si>
  <si>
    <t>FEB 14</t>
  </si>
  <si>
    <t>10.3389/fimmu.2022.812890</t>
  </si>
  <si>
    <t>Immunology</t>
  </si>
  <si>
    <t>ZJ0CR</t>
  </si>
  <si>
    <t>WOS:000761980600001</t>
  </si>
  <si>
    <t>Baranov, A; Morelli, A</t>
  </si>
  <si>
    <t>Baranov, A.; Morelli, A.</t>
  </si>
  <si>
    <t>The structure of sedimentary basins of Antarctica and a new three-layer sediment model</t>
  </si>
  <si>
    <t>TECTONOPHYSICS</t>
  </si>
  <si>
    <t>Sediment structure; Antarctica; Gondwana; Beacon supergroup; GlobSed; ANTASed</t>
  </si>
  <si>
    <t>GEORGE-VI SOUND; GEOPHYSICAL INVESTIGATIONS; CRUSTAL STRUCTURE; RIFT SYSTEM; EAST; THICKNESS; GRAVITY; MANTLE; LITHOSPHERE; BOUNDARY</t>
  </si>
  <si>
    <t>We use geophysical data together with a recent subglacial bedrock map (BEDMACHINE model) to obtain and investigate a new three-layer sediment model for Antarctica that locally improves the global sediment model. We provide a combined, continuous, sediment model for Antarctica and surrounding oceans by joining such improved continental sedimentary model with an existing global one (GlobSed). Our results reveal large dif-ferences between sedimentary basins for Antarctica due to their age and origin. The maximum thickness of sediments is reached under Filchner-Ronne Ice Shelf and off the Weddell Sea coast (10-12 km); further offshore, towards the ocean, the thickness of sediments drops to 4-5 km. We divide the sediment cover into three layers to distinguish material with different velocities. The lower sediment layer (deeper than 7 km) with high P-wave velocities (4.0-4.9 km/s) is found only for Lambert Rift and Filchner-Ronne basin. The middle layer (2-7 km) has large variations for different sedimentary basins: 3.5-3.7 km/s for Lambert Basin; 4.0-4.3 km/s for Ross, Byrd and Bentley basins; 3.3-4.0 km/s for Filchner-Ronne Basin. The upper sediment layer (0-2 km) has large velocity variations, from 2.0 km/s for Ross and Lambert basins (young sediments) to 4.7 km/s for Dronning Maud Land basins. We suggest that P-wave velocities larger than 4 km/s represent old, compacted sediments which belong to the Beacon Supergroup; about 3 km/s refer to Mesozoic (rifted?) sediments; and less than 3 km/s relate to young Cenozoic sediments. According to this criterion, Dronning Maud Land, Bentley and Byrd basins belong to the Beacon Supergroup, while more complex and thicker Ross, Lambert and Filchner-Ronne basins contain sediments from Beacon Supergroup in the middle or lower layer, respectively. Other sedimentary basins with more mod-erate velocities possibly belong to the East Antarctic Rift System which formed later during Gondwana breakup.</t>
  </si>
  <si>
    <t>[Baranov, A.] Russian Acad Sci, Schmidt Inst Phys Earth, Moscow, Russia; [Morelli, A.] Ist Nazl Geofis &amp; Vulcanol, Sez Bologna, Via Donato Creti 12, I-40128 Bologna, Italy</t>
  </si>
  <si>
    <t>Russian Academy of Sciences; Schmidt Institute of Physics of the Earth of the Russian Academy of Sciences; Istituto Nazionale Geofisica e Vulcanologia (INGV)</t>
  </si>
  <si>
    <t>Baranov, A (corresponding author), Russian Acad Sci, Schmidt Inst Phys Earth, Moscow, Russia.</t>
  </si>
  <si>
    <t>aabaranov@gmail.com</t>
  </si>
  <si>
    <t>Baranov, Alexey/ABF-0062-2022; MORELLI, ANDREA/D-1515-2018</t>
  </si>
  <si>
    <t>Baranov, Alexey/0000-0002-7793-5555; MORELLI, ANDREA/0000-0001-6065-1006</t>
  </si>
  <si>
    <t>0040-1951</t>
  </si>
  <si>
    <t>1879-3266</t>
  </si>
  <si>
    <t>Tectonophysics</t>
  </si>
  <si>
    <t>JAN 5</t>
  </si>
  <si>
    <t>10.1016/j.tecto.2022.229662</t>
  </si>
  <si>
    <t>Geochemistry &amp; Geophysics</t>
  </si>
  <si>
    <t>G8DQ1</t>
  </si>
  <si>
    <t>WOS:000991402900001</t>
  </si>
  <si>
    <t>Mosto, MC; Hospitaleche, CA; Mosto, MC</t>
  </si>
  <si>
    <t>Mosto, Maria C.; Hospitaleche, Carolina Acosta; Mosto, Maria C.</t>
  </si>
  <si>
    <t>An overview and update of South American and Antarctic fossil rheidae and putative ratitae (Aves, Palaeognathae)</t>
  </si>
  <si>
    <t>JOURNAL OF SOUTH AMERICAN EARTH SCIENCES</t>
  </si>
  <si>
    <t>Rhea americana; Rhea pennata; Opistodactylus; Paleogene; Neogene; Quaternary; Rheidae</t>
  </si>
  <si>
    <t>PATAGONIA ARGENTINA; PENNATA AVES; LATE MIOCENE; PLEISTOCENE; BIRDS; PALEOGENE; PHYLOGENY; DNA</t>
  </si>
  <si>
    <t>A comprehensive overview of all the South American and Antarctic fossil records of Rheiformes and close relatives, accompanied by updated stratigraphic data, is provided here. Fossil rheas are represented by fragmentary remains of hindlimb bones and several footprints that include paleospecies, extinct representatives of the living species as well as putative ratites. To date, the oldest record corresponds to the early Eocene of Argentina, Brazil and maybe Antarctica, thus the Palaeocene antiquity of several fossil sites with rheas is no longer valid. Neogene sediments present records of the exclusively fossil taxon Opisthodactylus as well as 'Pterocnemia'. Most of the Quaternary records come from late Pleistocene-Holocene sediments from Argentina, Chile, Uruguay, Bolivia, and Brazil and are represented by extinct representatives of living species. Finally, Argentina is the country with the highest number of fossil records and taxa.</t>
  </si>
  <si>
    <t>[Mosto, Maria C.; Hospitaleche, Carolina Acosta; Mosto, Maria C.] UNLP, Museo PlataFacultad Ciencias Natur Museo, Div Paleontol Vertebrados, CONICET, Paseo Bosque S-N Plata, La Plata, Buenos Aires, Argentina</t>
  </si>
  <si>
    <t>Consejo Nacional de Investigaciones Cientificas y Tecnicas (CONICET); National University of La Plata</t>
  </si>
  <si>
    <t>Mosto, MC (corresponding author), UNLP, Museo PlataFacultad Ciencias Natur Museo, Div Paleontol Vertebrados, CONICET, Paseo Bosque S-N Plata, La Plata, Buenos Aires, Argentina.</t>
  </si>
  <si>
    <t>mpicasso@fcnym.unlp.edu.ar</t>
  </si>
  <si>
    <t>Acosta Hospitaleche, Carolina/0000-0002-2614-1448</t>
  </si>
  <si>
    <t>0895-9811</t>
  </si>
  <si>
    <t>1873-0647</t>
  </si>
  <si>
    <t>J S AM EARTH SCI</t>
  </si>
  <si>
    <t>J. South Am. Earth Sci.</t>
  </si>
  <si>
    <t>10.1016/j.jsames.2022.103731</t>
  </si>
  <si>
    <t>Science Citation Index Expanded (SCI-EXPANDED); Social Science Citation Index (SSCI)</t>
  </si>
  <si>
    <t>0M7AI</t>
  </si>
  <si>
    <t>WOS:000782301900003</t>
  </si>
  <si>
    <t>Arvapalli, SR; Bajish, CC; Kurian, PJ</t>
  </si>
  <si>
    <t>Arvapalli, Srinivas Rao; Bajish, C. C.; Kurian, John P.</t>
  </si>
  <si>
    <t>Hydrographic observations in the rift valley of Southwest Indian Ridge from 63°E-69°E</t>
  </si>
  <si>
    <t>DYNAMICS OF ATMOSPHERES AND OCEANS</t>
  </si>
  <si>
    <t>AABW; Water mass; South Indian Ocean; Topography; Density driven flow</t>
  </si>
  <si>
    <t>MID-ATLANTIC RIDGE; DEEP-WATER; BOTTOM-WATER; SPREADING CENTER; CIRCULATION; OCEAN; FLOW; TEMPERATURES; TRANSPORT; SECTION</t>
  </si>
  <si>
    <t>The Southwest Indian Ridge (SWIR) is poorly understood in terms of local variability in hydro graphical characteristics because of a relative lack of data. Furthermore, previous hydrographic studies in SWIR were restricted to the west of 60 degrees E region. We present a new set of hydrographic data which were collected during a survey for the search of hydrothermal plume/activity in between Mt. Jourdanne and Rodrigues Triple Junction (RTJ) over SWIR. The primary goal of our study is to understand the segment-scale hydrography in and above the SWIR rift valley between 63 degrees E to 69 degrees E, with emphasis on water mass propagation and variability of their physical properties. CTD/Oxygen profiles were examined along a similar to 650 km distance of SWIR axial valley segments. The properties of Antarctic Bottom Water (AABW) were identified in the rift valley section which passes through deep sills from the Crozet basin. Along the ridge, the physical parameters especially at deep and bottom layer depths have observed gradients formed by the obstruction of flow at sills in the valley, along with a unidirectional density driven flow.</t>
  </si>
  <si>
    <t>[Arvapalli, Srinivas Rao; Bajish, C. C.; Kurian, John P.] Natl Ctr Polar &amp; Ocean Res, Minist Earth Sci, Vasco Da Gama 403804, Goa, India</t>
  </si>
  <si>
    <t>Ministry of Earth Sciences (MoES) - India; National Centre for Polar and Ocean Research (NCPOR)</t>
  </si>
  <si>
    <t>Kurian, PJ (corresponding author), Natl Ctr Polar &amp; Ocean Res, Minist Earth Sci, Vasco Da Gama 403804, Goa, India.</t>
  </si>
  <si>
    <t>john@ncpor.res.in</t>
  </si>
  <si>
    <t>, Bajish/0000-0002-5909-094X</t>
  </si>
  <si>
    <t>Ministry of Earth Sciences, Govt. of India [SK325, J-76/2021-22]</t>
  </si>
  <si>
    <t>Ministry of Earth Sciences, Govt. of India</t>
  </si>
  <si>
    <t>Authors are thankful to the Director, NCPOR for granting permission to undertake this study. This work was funded by the Ministry of Earth Sciences, Govt. of India under hydrothermal sulphides exploration program. We sincerely thank the anynonymous reviewers whose comments and suggestions helped us to improve the manuscript. We are also thankful to the captain and crew of ORV Sagar Kanya cruise (SK325) for their support in the collection of data. This is NCPOR contribution number J-76/2021-22.</t>
  </si>
  <si>
    <t>0377-0265</t>
  </si>
  <si>
    <t>1872-6879</t>
  </si>
  <si>
    <t>DYNAM ATMOS OCEANS</t>
  </si>
  <si>
    <t>Dyn. Atmos. Oceans</t>
  </si>
  <si>
    <t>10.1016/j.dynatmoce.2022.101284</t>
  </si>
  <si>
    <t>Geochemistry &amp; Geophysics; Meteorology &amp; Atmospheric Sciences; Oceanography</t>
  </si>
  <si>
    <t>0G1IB</t>
  </si>
  <si>
    <t>WOS:000777805300002</t>
  </si>
  <si>
    <t>Ulises, B; Marcela, L; Lida, P; Ignacio, FN; Silvia, CB; Francisco, Z; Ignacio, D; Soraya, A; Rodrigo, I; Joaquin, C; Andrea, RR</t>
  </si>
  <si>
    <t>Ulises, Balza; Marcela, Liljesthrom; Lida, Pimper; Ignacio, Franco-Navarro; Silvia, Canas-Barrovecchio; Francisco, Zunino; Ignacio, Domato; Soraya, Acardi; Rodrigo, Iturraspe; Joaquin, Cano; Andrea, Raya-Rey</t>
  </si>
  <si>
    <t>Status of breeding birds at Observatorio and Goffre Islands, Argentina</t>
  </si>
  <si>
    <t>POLAR BIOLOGY</t>
  </si>
  <si>
    <t>Population assessment; Vegetation classification; Point-centred quarter method; Continental islands</t>
  </si>
  <si>
    <t>TIERRA-DEL-FUEGO; PHALCOBOENUS-AUSTRALIS; STRIATED CARACARAS; BEAGLE CHANNEL; POPULATION; ABUNDANCE; SEABIRDS; DENSITY; TRENDS</t>
  </si>
  <si>
    <t>Continental islands are often sites of low diversity and endemism, as well as important areas for the protection of bird populations, especially seabirds. On Isla Observatorio and the Ano Nuevo Islands, in the Southwestern Atlantic, the latest assessment of avifauna dates from more than 20 years ago. In this study, we use a combination of methods to update the status of the main seabird colonies and the most abundant avian terrestrial predator at Observatorio and Goffre Islands during the breeding season. In only 4.5 km(2), the islands would harbour similar to 90,000 breeding seabirds. Seabird colonies occupied different areas of the islands and varied in their population status, with Imperial Shags (Leucocarbo atriceps) showing an increase and Southern Giant Petrels (Macronectes giganteus) a decrease according to the last surveys. Magellanic Penguin (Spheniscus magellanicus) population estimations also suggest a decrease but the last survey was based on total, and not on occupied nest sites. We recorded and assessed one new breeding species: The globally near-threatened Striated Caracara (Phalcoboenus australis), which has an important breeding population of around 15 territorial pairs at Observatorio Island. These islands appear to be an important regional bird site and future studies would determine their trends and threats, especially those related with invasive species.</t>
  </si>
  <si>
    <t>[Ulises, Balza; Marcela, Liljesthrom; Andrea, Raya-Rey] Ctr Austral Invest Cient CADIC CONICET, Lab Ecol &amp; Conservac Vida Silvestre, Bernardo Houssay 200, Ushuaia, Argentina; [Lida, Pimper; Francisco, Zunino; Ignacio, Domato] Adm Parques Nacl, Direcc Reg Patagonia Austral, San Martin 1395, Ushuaia, Argentina; [Ignacio, Franco-Navarro] Inst Espanol Oceanog, C Varadero 1, Murcia 30740, Spain; [Silvia, Canas-Barrovecchio] Pilar Horadada, Alicante, Spain; [Soraya, Acardi] Fdn HA Barcelo, Inst Univ Ciencias Salud, Fac Med, Centeno 710, Santo Tome, Argentina; [Rodrigo, Iturraspe] Secretaria Ambiente Prov Tierra Fuego Antartida &amp;, Direcc Gen Recursos Hidr, Ushuaia, Argentina; [Joaquin, Cano; Andrea, Raya-Rey] Univ Nacl Tierra Fuego UNTdF, Inst Ciencias Polares Ambiente &amp; Recursos Nat ICP, Alem 1036, Ushuaia, Argentina; [Andrea, Raya-Rey] Wildlife Conservat Soc, Amenabar 1595,Off 19,C1426AKC CABA, Buenos Aires, DF, Argentina</t>
  </si>
  <si>
    <t>Consejo Nacional de Investigaciones Cientificas y Tecnicas (CONICET); Spanish Institute of Oceanography</t>
  </si>
  <si>
    <t>Ulises, B (corresponding author), Ctr Austral Invest Cient CADIC CONICET, Lab Ecol &amp; Conservac Vida Silvestre, Bernardo Houssay 200, Ushuaia, Argentina.</t>
  </si>
  <si>
    <t>ulisesbalza@conicet.gov.ar</t>
  </si>
  <si>
    <t>Agencia Nacional de Promocion Cientifica y Tecnologica [1870, 897]; Antarctic Research Trust; Wildlife Conservation Society</t>
  </si>
  <si>
    <t>Agencia Nacional de Promocion Cientifica y Tecnologica(ANPCyTSpanish Government); Antarctic Research Trust; Wildlife Conservation Society</t>
  </si>
  <si>
    <t>This study was possible due to fellowships from the Agencia Nacional de Promocion Cientifica y Tecnologica (PICT 2014 N degrees 1870, PICT 2017 N degrees 897), the Antarctic Research Trust and the Wildlife Conservation Society.</t>
  </si>
  <si>
    <t>SPRINGER</t>
  </si>
  <si>
    <t>ONE NEW YORK PLAZA, SUITE 4600, NEW YORK, NY, UNITED STATES</t>
  </si>
  <si>
    <t>0722-4060</t>
  </si>
  <si>
    <t>1432-2056</t>
  </si>
  <si>
    <t>POLAR BIOL</t>
  </si>
  <si>
    <t>Polar Biol.</t>
  </si>
  <si>
    <t>10.1007/s00300-022-03019-2</t>
  </si>
  <si>
    <t>Biodiversity Conservation; Ecology</t>
  </si>
  <si>
    <t>Biodiversity &amp; Conservation; Environmental Sciences &amp; Ecology</t>
  </si>
  <si>
    <t>0A5MI</t>
  </si>
  <si>
    <t>WOS:000754127200001</t>
  </si>
  <si>
    <t>Morris, LR; Sibanda, N</t>
  </si>
  <si>
    <t>Morris, Lindsay R.; Sibanda, Nokuthaba</t>
  </si>
  <si>
    <t>Pivotal discrepancy measures for Bayesian modelling of spatio-temporal data</t>
  </si>
  <si>
    <t>ENVIRONMENTAL AND ECOLOGICAL STATISTICS</t>
  </si>
  <si>
    <t>Bayesian models; Goodness-of-fit; Pivotal discrepancy measure; Spatio-temporal models</t>
  </si>
  <si>
    <t>CROSS-VALIDATION; ORDER-STATISTICS; DIAGNOSTICS; POINT; FIT</t>
  </si>
  <si>
    <t>Within the field of geostatistics, Gaussian processes are a staple for modelling spatial and spatio-temporal data. Statistical literature is rich with estimation methods for the mean and covariance of such processes (in both frequentist and Bayesian contexts). Considerably less attention has been paid to developing goodness-of-fit tests for assessment of model adequacy. Jun et al. (Environmetrics 25(8):584-595, 2014) introduced a statistical test that uses pivotal discrepancy measures to assess goodness-of-fit in the Bayesian context. We present a modification and generalization of their statistical test. The initial method involves spatial partitioning of the data, followed by evaluation of a pivotal discrepancy measure at each posterior draw to obtain a posterior distribution of pivotal statistics. Order statistics from this distribution are used to obtain approximate p-values. Jun et al. (Environmetrics 25(8):584-595, 2014) use arbitrary partitions based on pre-existing spatial boundaries. The partitions are made to be of equal size. Our contribution is two-fold. We use K-means clustering to create the spatial partitions and we generalise Jun et al.'s approach to incorporate unequal partition sizes. Observations from a spatial or spatio-temporal process are partitioned using an appropriate feature vector that incorporates the geographic location of the observations into subsets (not necessarily of the same size). The method's viability is illustrated in a simulation study, and in an application to hoki (Macruronus novaezelandiae) catch data from a survey of the sub-Antarctic region.</t>
  </si>
  <si>
    <t>[Morris, Lindsay R.; Sibanda, Nokuthaba] Victoria Univ Wellington, Sch Math &amp; Stat, Wellington, New Zealand</t>
  </si>
  <si>
    <t>Victoria University Wellington</t>
  </si>
  <si>
    <t>Sibanda, N (corresponding author), Victoria Univ Wellington, Sch Math &amp; Stat, Wellington, New Zealand.</t>
  </si>
  <si>
    <t>nokuthaba.sibanda@vuw.ac.nz</t>
  </si>
  <si>
    <t>CAUL</t>
  </si>
  <si>
    <t>Open Access funding enabled and organized by CAUL and its Member Institutions.</t>
  </si>
  <si>
    <t>DORDRECHT</t>
  </si>
  <si>
    <t>VAN GODEWIJCKSTRAAT 30, 3311 GZ DORDRECHT, NETHERLANDS</t>
  </si>
  <si>
    <t>1352-8505</t>
  </si>
  <si>
    <t>1573-3009</t>
  </si>
  <si>
    <t>ENVIRON ECOL STAT</t>
  </si>
  <si>
    <t>Environ. Ecol. Stat.</t>
  </si>
  <si>
    <t>10.1007/s10651-022-00529-4</t>
  </si>
  <si>
    <t>Environmental Sciences; Mathematics, Interdisciplinary Applications; Statistics &amp; Probability</t>
  </si>
  <si>
    <t>Environmental Sciences &amp; Ecology; Mathematics</t>
  </si>
  <si>
    <t>ZO5VV</t>
  </si>
  <si>
    <t>WOS:000754344400001</t>
  </si>
  <si>
    <t>Zhang, MM; Booge, D; Yan, JP; Xu, SQ; Liang, C; Wu, YF; Yang, B; Wang, JJ; Zhao, J; Li, D; Pan, JM; Park, K</t>
  </si>
  <si>
    <t>Zhang, Miming; Booge, Dennis; Yan, Jinpei; Xu, Suqing; Liang, Chen; Wu, Yanfang; Yang, Bo; Wang, Jianjun; Zhao, Jun; Li, Dong; Pan, Jianming; Park, Keyhong</t>
  </si>
  <si>
    <t>Abundant microzooplankton possibly cause ultrahigh seawater dimethylsulfide during Southern Ocean algal blooms</t>
  </si>
  <si>
    <t>PROGRESS IN OCEANOGRAPHY</t>
  </si>
  <si>
    <t>Review</t>
  </si>
  <si>
    <t>Seawater dimethylsulfide; The Southern Ocean; Mircozooplankton; Algal bloom; Ultrahigh values; Abundant</t>
  </si>
  <si>
    <t>DIMETHYLSULFONIOPROPIONATE DMSP; AMUNDSEN SEA; PHYTOPLANKTON; SULFIDE; SULFUR; DISTRIBUTIONS; PATHWAYS; WATERS; IRON; DIMETHYLSULPHONIOPROPIONATE</t>
  </si>
  <si>
    <t>Oceanic dimethylsulfide (DMS) is hypothesized to impact cloud formation and consequently the solar radiation budget of Earth's surface. Ultrahigh seawater DMS concentrations, up to hundreds of nM, have been observed in the Southern Ocean, attributing to concurrent high phytoplankton biomass. However, phytoplankton biomass cannot fully explain the mechanism leading to those extreme values. Herein, measurements, including seawater DMS concentrations and other biological and environmental parameters, were collected in the water column during the austral summer of 2015-2016 at the tip of the Antarctic Peninsula. Notably, large-scale ultrahigh seawater DMS concentrations (up to 85.2 nM and generally above 40 nM in the upper layer) was observed only in areas with co-existing phytoplankton blooms and abundant microzooplankton (indicated by ciliates, whose abundance and biomass were above 1000 ind L-1 and 2 mu g L-1, respectively), implying that the grazing of abundant microzooplankton possibly causes the ultrahigh seawater DMS concentrations during the bloom sea -sons in the Southern Ocean.</t>
  </si>
  <si>
    <t>[Zhang, Miming; Yan, Jinpei; Xu, Suqing; Wang, Jianjun] Minist Nat Resources MNR, Inst Oceanog 3, MNR, Key Lab Global Change &amp; Marine Atmospher Chem, Xiamen 361005, Fujian, Peoples R China; [Booge, Dennis] GEOMAR Helmholtz Ctr Ocean Res Kiel, Forsch Bereich Marine Biogeochem, Dusternbrooker Weg 20, D-24105 Kiel, Germany; [Liang, Chen] Minjiang Univ, Inst Oceanog, Fuzhou 350108, Fujian, Peoples R China; [Liang, Chen] Chinese Acad Sci, Inst Oceanol, CAS Key Lab Marine Ecol &amp; Environm Sci, Qingdao 266071, Peoples R China; [Wu, Yanfang] Univ New South Wales, Australian Ctr NanoMed, Sch Chem, Sydney, NSW 2052, Australia; [Wu, Yanfang] Univ New South Wales, Australian Res Council ARC Ctr Excellence Converg, Sydney, NSW 2052, Australia; [Yang, Bo] Univ Virginia, Dept Environm Sci, Charlottesville, VA 22904 USA; [Zhao, Jun; Li, Dong; Pan, Jianming] MNR, Inst Oceanog 2, Key Lab Marine Ecosyst Dynam, Hangzhou 310012, Zhejiang, Peoples R China; [Park, Keyhong] Korea Polar Res Inst, Div Polar Ocean Sci, Incheon 21990, South Korea</t>
  </si>
  <si>
    <t>Third Institute of Oceanography, Ministry of Natural Resources; Ministry of Natural Resources of the People's Republic of China; Helmholtz Association; GEOMAR Helmholtz Center for Ocean Research Kiel; Minjiang University; Chinese Academy of Sciences; Institute of Oceanology, CAS; University of New South Wales Sydney; University of New South Wales Sydney; University of Virginia; Korea Polar Research Institute (KOPRI)</t>
  </si>
  <si>
    <t>Zhang, MM (corresponding author), Minist Nat Resources MNR, Inst Oceanog 3, MNR, Key Lab Global Change &amp; Marine Atmospher Chem, Xiamen 361005, Fujian, Peoples R China.</t>
  </si>
  <si>
    <t>zhangmiming@tio.org.cn</t>
  </si>
  <si>
    <t>Liang, Chen/HNP-5916-2023; Wu, Yanfang/D-9918-2015</t>
  </si>
  <si>
    <t>Yang, Bo/0000-0001-5617-5748; Zhang, Miming/0000-0001-5848-3672; Xu, Suqing/0000-0002-8198-0631; Wu, Yanfang/0000-0003-4201-2061</t>
  </si>
  <si>
    <t>Chinese Arctic and Antarctic Administration (CAA) of the Ministry of Natural Resources; National Natural Science Foundation of China (NSFC) [42076226, 41911540471]; Scientific Research Foundation of Third Institute of Oceanography, at the Ministry of Natural Resources [2019009, 2018014]; Chinese Projects for Investigations and Assessments of the Arctic and Antarctic [CHI-NARE2017-2020]; International Organizations and Conference and Bilateral Cooperation of Maritime Affairs</t>
  </si>
  <si>
    <t>Chinese Arctic and Antarctic Administration (CAA) of the Ministry of Natural Resources; National Natural Science Foundation of China (NSFC)(National Natural Science Foundation of China (NSFC)); Scientific Research Foundation of Third Institute of Oceanography, at the Ministry of Natural Resources; Chinese Projects for Investigations and Assessments of the Arctic and Antarctic; International Organizations and Conference and Bilateral Cooperation of Maritime Affairs</t>
  </si>
  <si>
    <t>We thank the Chinese Arctic and Antarctic Administration (CAA) of the Ministry of Natural Resources and the crew of R/V Xue Long for their support with field operations. We thank the Dr Christa. A. Marandino for her kindness in giving useful comments and revising the manuscript. We thank Dr Qiang Hao who measured and provided the Chl a data during the expedition. We thank the Institute of Environmental Physics, Uni-versity of Bremen for the provision of the merged MODIS-AMSR2 sea-ice concentration data at https://seaice.uni-bremen.de/data/modis_amsr2. We want to thank Mrs. Na Li for her kind help with plotting. This work was supported by the National Natural Science Foundation of China (NSFC) (42076226, 41911540471) , Scientific Research Foundation of Third Institute of Oceanography, at the Ministry of Natural Resources (under contract No. 2019009, No. 2018014) , the Chinese Projects for Investigations and Assessments of the Arctic and Antarctic (CHI-NARE2017-2020) , the International Organizations and Conference and Bilateral Cooperation of Maritime Affairs.</t>
  </si>
  <si>
    <t>0079-6611</t>
  </si>
  <si>
    <t>1873-4472</t>
  </si>
  <si>
    <t>PROG OCEANOGR</t>
  </si>
  <si>
    <t>Prog. Oceanogr.</t>
  </si>
  <si>
    <t>10.1016/j.pocean.2022.102744</t>
  </si>
  <si>
    <t>Oceanography</t>
  </si>
  <si>
    <t>0K4JU</t>
  </si>
  <si>
    <t>WOS:000780757300003</t>
  </si>
  <si>
    <t>White, DA; Fink, D; Lilly, K; O'Brien, P; Dorschel, B; Berg, S; Bennike, O; Gore, DB; Fabel, D; Blaxell, M; Jeromson, M; Codilean, AT; Wilken, KM; Galton-Fenzi, B; Wagner, B</t>
  </si>
  <si>
    <t>White, Duanne A.; Fink, David; Lilly, Kat; O'Brien, Phil; Dorschel, Boris; Berg, Sonja; Bennike, Ole; Gore, Damian B.; Fabel, Derek; Blaxell, Marcello; Jeromson, Matt; Codilean, Alexandru T.; Wilken, Klaus M.; Galton-Fenzi, Ben; Wagner, Bernd</t>
  </si>
  <si>
    <t>Rapid ice sheet response to deglacial and Holocene paleoenvironmental changes in eastern Prydz Bay, East Antarctica</t>
  </si>
  <si>
    <t>QUATERNARY SCIENCE REVIEWS</t>
  </si>
  <si>
    <t>SCALE GLACIAL LINEATIONS; VESTFOLD-HILLS; SEA-LEVEL; LARSEMANN HILLS; EXPOSURE AGES; CLIMATE; EVOLUTION; HISTORY; COLLAPSE; MAXIMUM</t>
  </si>
  <si>
    <t>Prydz Bay lies at the terminus of one of East Antarctica's largest glacial systems and is a key region for understanding the response of the ice sheet to past and future environmental changes. In this study, we explore the dynamics and paleo-geometry of the ice sheet in eastern Prydz Bay, using a combination of bathymetric features on the seafloor to delineate past flow patterns, and cosmogenic nuclide dating of glacial deposits on land to constrain ice sheet terminus chronologies. Large streamlined bedforms on the sea floor record the existence of a primary ice stream in Svenner Channel, collecting ice from multiple tributary ice streams and discharging into the main trunk stream of the Lambert Glacier-Amery Ice Shelf system in Prydz Channel. The location and orientation of the north-eastern tributary to this ice stream also provide evidence for a substantial independent ice dome on the outer shelf at Four Ladies Bank. Exposure of ice-free areas at outer Rauer Group and Vestfold Hills indicates that grounding line retreat across eastern Prydz Bay was largely complete by similar to 14 ka BP, and the ice margin had retreated to within similar to 1 km of its present position by similar to 10 ka BP. Onshore moraines record periods of ice margin retreat during the middle (similar to 6 ka BP) and very late (similar to 0.5 ka BP) Holocene coinciding with local warm periods. Subsidence recorded in modern Global Navigation Satellite System (GNSS) observations suggests the regional ice sheet was smaller than at present in the period between the middle and very late Holocene advances. The unusually dynamic ice sheet behaviour in this area is attributed to the smooth, reverse-slope bed characteristics of eastern Prydz Bay, which enabled rapid retreat of the ice sheet margin several hundred kilometres during deglacial events. Crown Copyright (C) 2022 Published by Elsevier Ltd. All rights reserved.</t>
  </si>
  <si>
    <t>[White, Duanne A.; Blaxell, Marcello; Jeromson, Matt] Univ Canberra, Inst Appl Ecol, Canberra, ACT 2601, Australia; [White, Duanne A.] ARC Australian Ctr Excellence Antarctic Sci, Private Bag 129, Hobart, Tas 7001, Australia; [Fink, David; Wilken, Klaus M.] Australian Nucl Sci &amp; Technol Org ANSTO, PMB 1, Sydney, NSW 2234, Australia; [Lilly, Kat] Univ Otago, Dept Geol, 360 Leith Walk, Dunedin 9016, New Zealand; [O'Brien, Phil; Gore, Damian B.] Macquarie Univ, Earth &amp; Environm Sci, N Ryde, NSW 2109, Australia; [Dorschel, Boris] Alfred Wegener Inst, Helmholtz Ctr Polar &amp; Marine Res, D-27568 Bremerhaven, Germany; [Berg, Sonja; Wagner, Bernd] Univ Cologne, Inst Geol &amp; Mineral, D-50674 Cologne, Germany; [Bennike, Ole] Geol Survey Denmark &amp; Greenland, Copenhagen, Denmark; [Fabel, Derek] Scottish Univ Environm Res Ctr SUERC, E Kilbride, Lanark, Scotland; [Codilean, Alexandru T.] Univ Wollongong, Sch Earth Atmospher &amp; Life Sci, Wollongong, NSW 2522, Australia; [Codilean, Alexandru T.] Univ Wollongong, ARC Ctr Excellence Australian Biodivers &amp; Heritag, Wollongong, NSW 2522, Australia; [Galton-Fenzi, Ben] Australian Antarctic Div, Kingston, Tas 7050, Australia; [Galton-Fenzi, Ben] Univ Tasmania, Inst Marine &amp; Antarctic Studies, Australian Antarctic Program Partnership, Hobart, Tas, Australia</t>
  </si>
  <si>
    <t>University of Canberra; Australian Nuclear Science &amp; Technology Organisation; University of Otago; Macquarie University; Helmholtz Association; Alfred Wegener Institute, Helmholtz Centre for Polar &amp; Marine Research; University of Cologne; Geological Survey Of Denmark &amp; Greenland; Scottish Universities Research &amp; Reactor Center; University of Wollongong; University of Wollongong; Australian Antarctic Division; University of Tasmania</t>
  </si>
  <si>
    <t>White, DA (corresponding author), Univ Canberra, Inst Appl Ecol, Canberra, ACT 2601, Australia.</t>
  </si>
  <si>
    <t>duanne.white@canberra.edu.au</t>
  </si>
  <si>
    <t>fink, David/A-9518-2012; Codilean, Alexandru T/F-5285-2010; White, Duanne A/E-6919-2012; Berg, Sonja/AAW-3817-2021; Wagner, Bernd/J-4682-2012; Fabel, Derek/A-2999-2010</t>
  </si>
  <si>
    <t>fink, David/0000-0001-7156-4602; Wagner, Bernd/0000-0002-1369-7893; O'Brien, Philip/0000-0003-3446-3292; Fabel, Derek/0000-0003-2859-3293; Jeromson, Matthew/0000-0002-6814-5340; White, Duanne/0000-0003-0740-2072; Dorschel, Boris/0000-0002-3495-5927; Berg, Sonja/0000-0002-9629-6007</t>
  </si>
  <si>
    <t>Alfred Wegner Institute during Polarstern Voyage [ANTXXIII/9]; Australian Antarctic Division [AAS4318]; Australian Research Council [DP0342704]; Australian Institute for Nuclear Science and Engineering [AINGRA08069]; AINSE PGRA [AINSTU1204, ALNSTU12516]; ANSTO Portal [AP11403]; Australian Research Council [DP0342704] Funding Source: Australian Research Council</t>
  </si>
  <si>
    <t>Alfred Wegner Institute during Polarstern Voyage; Australian Antarctic Division; Australian Research Council(Australian Research Council); Australian Institute for Nuclear Science and Engineering; AINSE PGRA; ANSTO Portal; Australian Research Council(Australian Research Council)</t>
  </si>
  <si>
    <t>Field work was supported by the AlfredWegner Institute during Polarstern Voyage ANTXXIII/9, and the Australian Antarctic Division through AAS4318 and Australian Research Council Discovery Grant DP0342704. Cosmogenic dating was supported by the Australian Institute for Nuclear Science and Engineering AINGRA08069 and ANSTO Portal AP11403 and AINSE PGRA AINSTU1204. Marcello Blaxell is supported by AINSE PGRA ALNSTU12516. Charles Mifsud, Tim Keighley, Kat Brougham and Maria Miguens-Rodriguez assisted sample processing.</t>
  </si>
  <si>
    <t>0277-3791</t>
  </si>
  <si>
    <t>1873-457X</t>
  </si>
  <si>
    <t>QUATERNARY SCI REV</t>
  </si>
  <si>
    <t>Quat. Sci. Rev.</t>
  </si>
  <si>
    <t>MAR 15</t>
  </si>
  <si>
    <t>10.1016/j.quascirev.2022.107401</t>
  </si>
  <si>
    <t>ZQ2DK</t>
  </si>
  <si>
    <t>WOS:000766920800003</t>
  </si>
  <si>
    <t>Tang, JW; Caniza, MA; Dinn, M; Dwyer, DE; Heraud, JM; Jennings, LC; Kok, J; Kwok, KO; Li, YG; Loh, TP; Marr, LC; Nara, EM; Perera, N; Saito, R; Santillan-Salas, C; Sullivan, S; Warner, M; Watanabe, A; Zaidi, SK</t>
  </si>
  <si>
    <t>Tang, Julian W.; Caniza, Miguela A.; Dinn, Mike; Dwyer, Dominic E.; Heraud, Jean-Michel; Jennings, Lance C.; Kok, Jen; Kwok, Kin On; Li, Yuguo; Loh, Tze Ping; Marr, Linsey C.; Nara, Eva Megumi; Perera, Nelun; Saito, Reiko; Santillan-Salas, Carlos; Sullivan, Sheena; Warner, Matt; Watanabe, Aripuana; Zaidi, Sabeen Khurshid</t>
  </si>
  <si>
    <t>An exploration of the political, social, economic and cultural factors affecting how different global regions initially reacted to the COVID-19 pandemic</t>
  </si>
  <si>
    <t>INTERFACE FOCUS</t>
  </si>
  <si>
    <t>COVID-19; SARS-CoV-2; pandemic response; lockdown; government; guidance</t>
  </si>
  <si>
    <t>AIRBORNE TRANSMISSION; CORONAVIRUS RESPONSE; SARS-COV-2 INFECTION; HERD-IMMUNITY; OUTBREAK; PREVALENCE; EPIDEMIC; VACCINES; SCIENCE; MASKS</t>
  </si>
  <si>
    <t>Responses to the early (February-July 2020) COVID-19 pandemic varied widely, globally. Reasons for this are multiple but likely relate to the healthcare and financial resources then available, and the degree of trust in, and economic support provided by, national governments. Cultural factors also affected how different populations reacted to the various pandemic restrictions, like masking, social distancing and self-isolation or self-quarantine. The degree of compliance with these measures depended on how much individuals valued their needs and liberties over those of their society. Thus, several themes may be relevant when comparing pandemic responses across different regions. East and Southeast Asian populations tended to be more collectivist and self-sacrificing, responding quickly to early signs of the pandemic and readily complied with most restrictions to control its spread. Australasian, Eastern European, Scandinavian, some Middle Eastern, African and South American countries also responded promptly by imposing restrictions of varying severity, due to concerns for their wider society, including for some, the fragility of their healthcare systems. Western European and North American countries, with well-resourced healthcare systems, initially reacted more slowly, partly in an effort to maintain their economies but also to delay imposing pandemic restrictions that limited the personal freedoms of their citizens.</t>
  </si>
  <si>
    <t>[Tang, Julian W.] Univ Leicester, Resp Sci, Leicester, Leics, England; [Caniza, Miguela A.] St Jude Childrens Res Hosp, 332 N Lauderdale St, Memphis, TN 38105 USA; [Dinn, Mike; Warner, Matt] Univ Hosp Plymouth NHS Trust, Emergency Dept, British Antarctic Survey Med Unit, Plymouth, Devon, England; [Dwyer, Dominic E.; Kok, Jen] NSW Hlth Pathol, Inst Clin Pathol &amp; Med Res, Westmead, NSW, Australia; [Dwyer, Dominic E.; Kok, Jen] Univ Sydney, Westmead, NSW, Australia; [Heraud, Jean-Michel] Inst Pasteur, Virol Dept, Dakar, Senegal; [Jennings, Lance C.] Univ Otago, Dept Pathol &amp; Biomed Sci, Christchurch, New Zealand; [Jennings, Lance C.] Canterbury Hlth Labs, Christchurch, New Zealand; [Kwok, Kin On] Chinese Univ Hong Kong, JC Sch Publ Hlth &amp; Primary Care, Hong Kong, Peoples R China; [Kwok, Kin On] Chinese Univ Hong Kong, Stanley Ho Ctr Emerging Infect Dis, Hong Kong, Peoples R China; [Kwok, Kin On] Chinese Univ Hong Kong, Hong Kong Inst Asia Pacific Studies, Hong Kong, Peoples R China; [Kwok, Kin On] Chinese Univ Hong Kong, Shenzhen Res Inst, Shenzhen, Peoples R China; [Li, Yuguo] Univ Hong Kong, Dept Mech Engn, Hong Kong, Peoples R China; [Loh, Tze Ping] Natl Univ Singapore Hosp, Lab Med, Singapore, Singapore; [Marr, Linsey C.] Virginia Tech, Civil &amp; Environm Engn, Blacksburg, VA USA; [Nara, Eva Megumi] Univ Nacl Asuncion, Inst Invest Ciencias Salud, San Lorenzo, Paraguay; [Perera, Nelun] Univ Hosp Leicester NHS Trust, Clin Microbiol, Leicester, Leics, England; [Saito, Reiko] Niigata Univ, Div Int Hlth, Niigata, Japan; [Santillan-Salas, Carlos] Hosp Nino San Borja, Lima, Peru; [Sullivan, Sheena] Royal Melbourne Hosp, WHO Collaborating Ctr Reference &amp; Res Influenza, Melbourne, Vic, Australia; [Sullivan, Sheena] Univ Melbourne, Dept Infect Dis, Peter Doherty Inst Infect &amp; Immun, Melbourne, Vic, Australia; [Watanabe, Aripuana] Univ Fed Juiz de Fora, Dept Parasitol Microbiol &amp; Immunol, Juiz De Fora, Brazil; [Zaidi, Sabeen Khurshid] Natl Univ Med Sci, Karachi Inst Med Sci, Karachi, Pakistan</t>
  </si>
  <si>
    <t>University of Leicester; St Jude Children's Research Hospital; University of Sydney; Pasteur Network; Institut Pasteur Dakar; University of Otago; Canterbury Health Laboratories; Chinese University of Hong Kong; Chinese University of Hong Kong; Chinese University of Hong Kong; CUHK Shenzhen Research Institute; The Chinese University of Hong Kong, Shenzhen; University of Hong Kong; National University of Singapore; Virginia Polytechnic Institute &amp; State University; Research Institute for Health Sciences (IICS); Universidad Nacional de Asuncion; University of Leicester; University Hospitals of Leicester NHS Trust; Niigata University; Melbourne Health; Royal Melbourne Hospital; Melbourne Genomics Health Alliance; World Health Organization; University of Melbourne; Peter Doherty Institute; Melbourne Genomics Health Alliance; Universidade Federal de Juiz de Fora</t>
  </si>
  <si>
    <t>Tang, JW (corresponding author), Univ Leicester, Resp Sci, Leicester, Leics, England.</t>
  </si>
  <si>
    <t>jwtang49@hotmail.com</t>
  </si>
  <si>
    <t>Marr, Linsey/C-9698-2010; HERAUD, Jean-Michel/O-1464-2013; Nara, Eva/GNP-2080-2022; Nara, Eva/JCY-9922-2023; , Julian W Tang/H-2348-2014; Kwok, Kin On/A-5074-2018</t>
  </si>
  <si>
    <t>Marr, Linsey/0000-0003-3628-6891; HERAUD, Jean-Michel/0000-0003-1107-0859; Nara, Eva/0000-0002-8575-325X; Tang, Julian/0000-0002-4963-1028; Santillan Salas, Carlos/0000-0001-6651-618X; Kwok, Kin On/0000-0002-2804-5433; Li, Yuguo/0000-0002-2281-4529; Kok, Jen/0000-0002-8796-283X; Loh, Tze Ping/0000-0002-4272-0001</t>
  </si>
  <si>
    <t>ROYAL SOC</t>
  </si>
  <si>
    <t>6-9 CARLTON HOUSE TERRACE, LONDON SW1Y 5AG, ENGLAND</t>
  </si>
  <si>
    <t>2042-8898</t>
  </si>
  <si>
    <t>2042-8901</t>
  </si>
  <si>
    <t>Interface Focus</t>
  </si>
  <si>
    <t>FEB 11</t>
  </si>
  <si>
    <t>10.1098/rsfs.2021.0079</t>
  </si>
  <si>
    <t>Biology</t>
  </si>
  <si>
    <t>Life Sciences &amp; Biomedicine - Other Topics</t>
  </si>
  <si>
    <t>YW7KB</t>
  </si>
  <si>
    <t>WOS:000753592800002</t>
  </si>
  <si>
    <t>Extier, T; Six, KD; Liu, B; Paulsen, H; Ilyina, T</t>
  </si>
  <si>
    <t>Extier, Thomas; Six, Katharina D.; Liu, Bo; Paulsen, Hanna; Ilyina, Tatiana</t>
  </si>
  <si>
    <t>Local oceanic CO2 outgassing triggered by terrestrial carbon fluxes during deglacial flooding</t>
  </si>
  <si>
    <t>CLIMATE OF THE PAST</t>
  </si>
  <si>
    <t>LAST GLACIAL MAXIMUM; EARTH SYSTEM MODEL; ANTARCTIC ICE-SHEET; SEA-LEVEL; ATMOSPHERIC CO2; REDFIELD RATIO; CLIMATE-CHANGE; VEGETATION; CYCLE; VARIABILITY</t>
  </si>
  <si>
    <t>Exchange of carbon between the ocean and the atmosphere is a key process that influences past climates via glacial-interglacial variations of the CO2 concentration. The melting of ice sheets during deglaciations induces a sea level rise which leads to the flooding of coastal land areas, resulting in the transfer of terrestrial organic matter to the ocean. However, the consequences of such fluxes on the ocean biogeochemical cycle and on the uptake and release of CO2 are poorly constrained. Moreover, this potentially important exchange of carbon at the land-sea interface is not represented in most Earth system models. We present here the implementation of terrestrial organic matter fluxes into the ocean at the transiently changing land-sea interface in the Max Planck Institute for Meteorology Earth System Model (MPI-ESM) and investigate their effect on the biogeochemistry during the last deglaciation. Our results show that during the deglaciation, most of the terrestrial organic matter inputs to the ocean occurs during Meltwater Pulse 1a (between 15-14 ka) which leads to the transfer of 21.2 GtC of terrestrial carbon (mostly originating from wood and humus) to the ocean. Although this additional organic matter input is relatively small in comparison to the global ocean inventory (0.06 %) and thus does not have an impact on the global CO2 flux, the terrestrial organic matter fluxes initiate oceanic outgassing in regional hotspots like in Indonesia for a few hundred years. Finally, sensitivity experiments highlight that terrestrial organic matter fluxes are the drivers of oceanic outgassing in flooded coastal regions during Meltwater Pulse 1a. Furthermore, the magnitude of outgassing is rather insensitive to higher carbon-to-nutrient ratios of the terrestrial organic matter. Our results provide a first estimate of the importance of terrestrial organic matter fluxes in a transient deglaciation simulation. Moreover, our model development is an important step towards a fully coupled carbon cycle in an Earth system model applicable to simulations at glacial-interglacial cycles.</t>
  </si>
  <si>
    <t>[Extier, Thomas; Six, Katharina D.; Liu, Bo; Paulsen, Hanna; Ilyina, Tatiana] Max Planck Inst Meteorol, Hamburg, Germany; [Extier, Thomas] Univ Bordeaux, CNRS, EPOC, UMR 5805, Pessac, France</t>
  </si>
  <si>
    <t>Max Planck Society; Centre National de la Recherche Scientifique (CNRS); CNRS - National Institute for Earth Sciences &amp; Astronomy (INSU); Universite de Bordeaux</t>
  </si>
  <si>
    <t>Extier, T (corresponding author), Max Planck Inst Meteorol, Hamburg, Germany.;Extier, T (corresponding author), Univ Bordeaux, CNRS, EPOC, UMR 5805, Pessac, France.</t>
  </si>
  <si>
    <t>thomas.extier@mpimet.mpg.de</t>
  </si>
  <si>
    <t>Ilyina, Tatiana/ABE-9164-2020</t>
  </si>
  <si>
    <t>Ilyina, Tatiana/0000-0002-3475-4842; Six, Katharina/0000-0002-4594-2793; Liu, Bo/0000-0002-0219-7682; Extier, Thomas/0000-0002-9531-8753</t>
  </si>
  <si>
    <t>Bundesministerium fur Bildung und Forschung [FKZ 01LP1925C]</t>
  </si>
  <si>
    <t>Bundesministerium fur Bildung und Forschung(Federal Ministry of Education &amp; Research (BMBF))</t>
  </si>
  <si>
    <t>This research has been supported by the Bundesministerium fur Bildung und Forschung (grant no. FKZ 01LP1925C).</t>
  </si>
  <si>
    <t>1814-9324</t>
  </si>
  <si>
    <t>1814-9332</t>
  </si>
  <si>
    <t>CLIM PAST</t>
  </si>
  <si>
    <t>Clim. Past.</t>
  </si>
  <si>
    <t>10.5194/cp-18-273-2022</t>
  </si>
  <si>
    <t>Geosciences, Multidisciplinary; Meteorology &amp; Atmospheric Sciences</t>
  </si>
  <si>
    <t>Geology; Meteorology &amp; Atmospheric Sciences</t>
  </si>
  <si>
    <t>ZD5EL</t>
  </si>
  <si>
    <t>Green Accepted, gold</t>
  </si>
  <si>
    <t>WOS:000758221700001</t>
  </si>
  <si>
    <t>Guillen, AC; Borges, ME; Herrerias, T; Kandalski, PK; de Souza, MRDP; Donatti, L</t>
  </si>
  <si>
    <t>Guillen, Angela Carolina; Borges, Marcelo Eduardo; Herrerias, Tatiana; Kandalski, Priscila Krebsbach; Dmengeon Pedreiro de Souza, Maria Rosa; Donatti, Lucelia</t>
  </si>
  <si>
    <t>Gradual increase of temperature trigger metabolic and oxidative responses in plasma and body tissues in the Antarctic fish Notothenia rossii</t>
  </si>
  <si>
    <t>FISH PHYSIOLOGY AND BIOCHEMISTRY</t>
  </si>
  <si>
    <t>Notothenia; Oxidative stress; Temperature; Admiralty Bay</t>
  </si>
  <si>
    <t>ANTIOXIDANT DEFENSE SYSTEM; TROUT ONCORHYNCHUS-MYKISS; WARM-ACCLIMATION; GLUTATHIONE TRANSFERASES; BIOCHEMICAL PARAMETERS; STRESS PARAMETERS; ATPASE ACTIVITY; CLIMATE-CHANGE; HEAT; GILL</t>
  </si>
  <si>
    <t>Antarctica is considered a thermally stable ecosystem; however, climate studies point to increases in water temperatures in this region. These thermal changes may affect the biological processes and promote metabolic changes in the adapted organisms that live in this region, rendering the animals more vulnerable to oxidative damage. This study assessed the effect of acclimation temperature on the levels of stress response markers in plasma, kidney, gill, liver, and brain tissues of Notothenia rossii subjected to gradual temperature changes of 0.5 degrees C/day until reaching temperatures of 2, 4, 6, and 8 degrees C. Under the effect of the 0.5 degrees C/day acclimation rate, gill tissue showed increased glutathione-S-transferase (GST) activity; kidney tissue showed increased H+-ATPase activity. In the liver, there was also an increase in GSH. In plasma, gradual decreases in the concentrations of total proteins and globulins were observed. These responses indicate a higher production of reactive oxygen species ROS, an imbalance in energy demand, and a lack in protein synthesis. Gradual increase in temperature may cause opposite responses to the thermal shock model in N. rossii.</t>
  </si>
  <si>
    <t>[Guillen, Angela Carolina; Kandalski, Priscila Krebsbach; Dmengeon Pedreiro de Souza, Maria Rosa; Donatti, Lucelia] Univ Fed Parana, Dept Cell Biol, Curitiba, Parana, Brazil; [Borges, Marcelo Eduardo] Univ Fed Parana, Dept Ecol, Curitiba, Parana, Brazil; [Herrerias, Tatiana] Fac Guairaca, Guarapuava, Brazil</t>
  </si>
  <si>
    <t>Universidade Federal do Parana; Universidade Federal do Parana</t>
  </si>
  <si>
    <t>Guillen, AC (corresponding author), Univ Fed Parana, Dept Cell Biol, Curitiba, Parana, Brazil.</t>
  </si>
  <si>
    <t>angelacguillen@gmail.com; meb.biologia@gmail.com; tatianaherrerias@hotmail.com; pkrebsbio@gmail.com; maria_rosadp@hotmail.com; donatti@ufpr.br</t>
  </si>
  <si>
    <t>Donatti, Lucelia/E-1930-2013</t>
  </si>
  <si>
    <t>Donatti, Lucelia/0000-0002-9023-2483; Guillen, Angela/0000-0002-4147-3985</t>
  </si>
  <si>
    <t>Brazilian Ministry of Environment (MMA); Ministry of Science, Technology and Innovation (MCTI); National Council for the Development of Scientific and Technological Research (CNPq); Brazilian Federal Agency for Support and Evaluation of Graduate Education (CAPES); Secretariat of the Commission for the Resources of the Sea (SeCIRM)</t>
  </si>
  <si>
    <t>Brazilian Ministry of Environment (MMA); Ministry of Science, Technology and Innovation (MCTI); National Council for the Development of Scientific and Technological Research (CNPq)(Conselho Nacional de Desenvolvimento Cientifico e Tecnologico (CNPQ)Fundacao de Apoio a Pesquisa do Distrito Federal (FAPDF)); Brazilian Federal Agency for Support and Evaluation of Graduate Education (CAPES)(Coordenacao de Aperfeicoamento de Pessoal de Nivel Superior (CAPES)); Secretariat of the Commission for the Resources of the Sea (SeCIRM)</t>
  </si>
  <si>
    <t>We are grateful to Mariana Forgati, Tania Zaleski, and Thaylise C.S. Przepiura for their help in the experimental design during the Antarctic expedition XXXIII. We are grateful to the following organizations for their support: the Brazilian Ministry of Environment (MMA), the Ministry of Science, Technology and Innovation (MCTI), the National Council for the Development of Scientific and Technological Research (CNPq), the Brazilian Federal Agency for Support and Evaluation of Graduate Education (CAPES), and the Secretariat of the Commission for the Resources of the Sea (SeCIRM). The authors would like to extend special acknowledgments to Dr. Edith Susana Elisabeth Fanta (in memoriam) and Dr. Yocie Yoneshigue Valentin, for the help and support provided during the present study.</t>
  </si>
  <si>
    <t>0920-1742</t>
  </si>
  <si>
    <t>1573-5168</t>
  </si>
  <si>
    <t>FISH PHYSIOL BIOCHEM</t>
  </si>
  <si>
    <t>Fish Physiol. Biochem.</t>
  </si>
  <si>
    <t>10.1007/s10695-021-01044-2</t>
  </si>
  <si>
    <t>Biochemistry &amp; Molecular Biology; Fisheries; Physiology</t>
  </si>
  <si>
    <t>0M2DV</t>
  </si>
  <si>
    <t>WOS:000754141500001</t>
  </si>
  <si>
    <t>Bruno, DO; Barrantes, ME; Lattuca, ME; Nardi, CF; Diaz, MV; Wolinski, L; Sacristan, H; Vanella, FA; Fernandez, DA</t>
  </si>
  <si>
    <t>Osvaldo Bruno, Daniel; Eugenia Barrantes, Maria; Eugenia Lattuca, Maria; Fernanda Nardi, Cristina; Vera Diaz, Marina; Wolinski, Laura; Sacristan, Hernan; Alberto Vanella, Fabian; Alfredo Fernandez, Daniel</t>
  </si>
  <si>
    <t>Temperature and salinity effects on whole-organism and cellular level stress responses of the sub-Antarctic notothenioid fish Patagonotothen cornucola yolk-sac larvae</t>
  </si>
  <si>
    <t>Climate change; Thermal tolerance; Biomolecules' damage; RNA/DNA index; Yolk-sac larvae; Sub-Antarctic environment</t>
  </si>
  <si>
    <t>ANTIOXIDANT ENZYME-ACTIVITIES; CRITICAL THERMAL MAXIMUM; BEAGLE-CHANNEL; TESSELLATA RICHARDSON; OXIDATIVE DAMAGE; RNADNA RATIOS; DNA RATIO; SEA-BASS; GROWTH; TOLERANCE</t>
  </si>
  <si>
    <t>This work aimed to evaluate the whole-organism and cellular level responses to different combinations of water temperature and salinity of the notothenioid Patagonotothen cornucola at the end of the yolk-sac larval stage. Egg masses of the species were collected in the wild and then maintained at natural water conditions (4 degrees C and 30 PSU). Newly hatched larvae were placed in aquaria with different combinations of water temperature (4 degrees C, 12 degrees C, and 16 degrees C) and salinity (15 and 30 PSU) during four days before yolk sac absorption. Larvae exposed to 12 degrees C grew more in length than those exposed to 16 degrees C, but yolk volume was more reduced in larvae exposed to 16 degrees C than those exposed to 4 degrees C and 30 PSU than of 15 PSU. In addition, a higher proportion of larvae exposed to 12 degrees C and 15 PSU completely absorbed their yolk. Whereas the more tolerant larvae to high temperatures were those exposed to 16 degrees C and 30 PSU, lipid peroxidation and protein oxidation were highest at natural and at 12 degrees C and 30 PSU conditions, respectively. The nutritional status (as standardized DNA/RNA index-sRD -) was low in all cases, even at natural conditions (average sRD similar to 1). Our study suggests that, in the context of climate change, the mortality rate of yolk-sac larvae of P. cornucola would not increase due to temperature or salinity stress. However, indirect effects (such as habitat degradation or changes in food availability) would be critical after complete absorption of the yolk.</t>
  </si>
  <si>
    <t>[Osvaldo Bruno, Daniel; Eugenia Barrantes, Maria; Eugenia Lattuca, Maria; Wolinski, Laura; Alberto Vanella, Fabian; Alfredo Fernandez, Daniel] Ctr Austral Invest Cient CAD CONICET, Lab Ecol Fisiol &amp; Evoluc Organismos Acuat LEFyE, Bernardo Houssay 200,V9410CAB, Tierra Del Fuego, Ushuaia, Argentina; [Osvaldo Bruno, Daniel; Fernanda Nardi, Cristina; Alfredo Fernandez, Daniel] Univ Nacl Tierra del Fuego ICPA UNTDF, Inst Ciencias Polares Ambiente &amp; Recursos Nat, Fuegia Basket 251,V9410CAB, Tierra Del Fuego, Ushuaia, Argentina; [Vera Diaz, Marina] Univ Nacl Mar del Plata IIMyC UNMdP CONICET, Inst Invest Marinas &amp; Costeras, Paseo Victoria Ocampo 1,CC 175,B7602HSA, Mar Del Plata, Buenos Aires, Argentina; [Vera Diaz, Marina] Inst Nacl Invest &amp; Desarrollo Pesquero INIDEP, Paseo Victoria Ocampo 1,CC 175,B7602HSA, Mar Del Plata, Buenos Aires, Argentina; [Sacristan, Hernan] Ctr Austral Invest Cient CADIC CONICET, Lab Crustaceos &amp; Ecosistemas Costeros, Bernardo Houssay 200,V9410CAB, Tierra Del Fuego, Ushuaia, Argentina</t>
  </si>
  <si>
    <t>National Fisheries Research &amp; Development Institute (INIDEP); Consejo Nacional de Investigaciones Cientificas y Tecnicas (CONICET); Consejo Nacional de Investigaciones Cientificas y Tecnicas (CONICET)</t>
  </si>
  <si>
    <t>Bruno, DO (corresponding author), Ctr Austral Invest Cient CAD CONICET, Lab Ecol Fisiol &amp; Evoluc Organismos Acuat LEFyE, Bernardo Houssay 200,V9410CAB, Tierra Del Fuego, Ushuaia, Argentina.;Bruno, DO (corresponding author), Univ Nacl Tierra del Fuego ICPA UNTDF, Inst Ciencias Polares Ambiente &amp; Recursos Nat, Fuegia Basket 251,V9410CAB, Tierra Del Fuego, Ushuaia, Argentina.</t>
  </si>
  <si>
    <t>dobruno.ush@gmail.com</t>
  </si>
  <si>
    <t>Wolinski, Laura/0000-0002-8461-2578; Sacristan, Hernan/0000-0003-2331-8487</t>
  </si>
  <si>
    <t>Agencia Nacional de Promocion Cientifica y Tecnologica (ANPCyT-FONCyT, Argentina) [PICT 0900/2015]; Universidad Nacional de Tierra del Fuego (UNTDF, Argentina) [PIDUNTDF-B-2016]; Consejo Nacional de Investigaciones Cientificas y Tecnicas (CONICET, Argentina) [PIP 0440 2016-2018, P-UE CADIC-CONICET 2016]</t>
  </si>
  <si>
    <t>Agencia Nacional de Promocion Cientifica y Tecnologica (ANPCyT-FONCyT, Argentina)(ANPCyTFONCyT); Universidad Nacional de Tierra del Fuego (UNTDF, Argentina); Consejo Nacional de Investigaciones Cientificas y Tecnicas (CONICET, Argentina)(Consejo Nacional de Investigaciones Cientificas y Tecnicas (CONICET))</t>
  </si>
  <si>
    <t>We express our gratitude to authorities of Secretaria de Ambiente, Desarrollo Sostenible y Cambio Climatico (Argentina) and of Administracion de Parques Nacionales (Tierra del Fuego, Argentina) for sampling permissions (RSPAyS N degrees 0298/2016 and 099-CPA-2016, respectively). We also acknowledge J. Strahl for suggestions on the experimental design, D. Aureliano for field assistance, and three anonymous reviewers for useful comments on an early draft. This study was supported by grants from Agencia Nacional de Promocion Cientifica y Tecnologica (ANPCyT-FONCyT, Argentina) PICT 0900/2015, from Universidad Nacional de Tierra del Fuego (UNTDF, Argentina) PIDUNTDF-B-2016, and from Consejo Nacional de Investigaciones Cientificas y Tecnicas (CONICET, Argentina) PIP 0440 2016-2018 and P-UE CADIC-CONICET 2016.</t>
  </si>
  <si>
    <t>10.1007/s10695-022-01057-5</t>
  </si>
  <si>
    <t>WOS:000753729800001</t>
  </si>
  <si>
    <t>Gooday, AJ; Holzmann, M; Majewski, W; Pawlowski, J</t>
  </si>
  <si>
    <t>Gooday, Andrew J.; Holzmann, Maria; Majewski, Wojciech; Pawlowski, Jan</t>
  </si>
  <si>
    <t>New species of Gromia (Protista, Rhizaria) from South Georgia and the Falkland Islands</t>
  </si>
  <si>
    <t>Gromiids; Biodiversity; SSU RNA gene sequences; Fjords; Sub-Antarctic</t>
  </si>
  <si>
    <t>DEEP-SEA GROMIA; MONOTHALAMOUS FORAMINIFERANS; METHANE SEEPAGE; OVIFORMIS; DIVERSITY; WATER; ANTARCTICA; TAXONOMY; HISTORY; BATHYAL</t>
  </si>
  <si>
    <t>Testate protists in the genus Gromia ('gromiids', supergroup Rhizaria) are common and diverse in marine settings. However, their ecological significance is not well understood, partly because they remain largely undescribed with most records being of the type species, G. oviformis. To enhance our knowledge of gromiid biodiversity, we use morphological and genetic data to describe four new species with tests of different shapes from sublittoral depths (21-136 m) in South Georgia fjords: G. pashukae (ovate), G. landrethi (spherical), G. amygdaliformis (almond-shaped), and G. saoirsei (elongate), maximum lengths 3.4, 2.5, 1.4 and 4.5 mm, respectively. We also describe two smaller (similar to 1 mm) gromiid species from intertidal sites on the Falkland Islands: G. cedhageni (ovate test with finely granular, orange-coloured contents), and Gromia psammophila (subrectangular test with numerous small mineral grains embedded in pale, finely granular material). Gromia landrethi is also represented by DNA sequences from specimens collected in Ushuaia (Argentina) and G. psammophila by sequenced specimens from southern Chilean fjords, but the other species are known only from localities in South Georgia or the Falkland Islands. Analysis of partial SSU rRNA genes confirms the presence of these six new species, as well as an undescribed species represented by a clade of three sequences branching separately. Our results increase the number of described gromiid species from 10 to 16, and underline the importance of these poorly known relatives of the foraminifera in higher-latitude intertidal and fjord settings.</t>
  </si>
  <si>
    <t>[Gooday, Andrew J.] Natl Oceanog Ctr, European Way, Southampton SO14 3ZH, Hants, England; [Gooday, Andrew J.] Nat Hist Museum, Life Sci Dept, Cromwell Rd, London SW7 5BD, England; [Holzmann, Maria; Pawlowski, Jan] Univ Geneva, Dept Genet &amp; Evolut, Quai Ernest Ansermet 30, CH-1211 Geneva 4, Switzerland; [Majewski, Wojciech] Polish Acad Sci, Inst Paleobiol, Twarda 51-55, PL-00818 Warsaw, Poland; [Pawlowski, Jan] Polish Acad Sci, Inst Oceanol, Powstancow Warszawy 55, PL-81712 Sopot, Poland; [Pawlowski, Jan] ID Gene Ecodiagnost, Chemin Pont Centenaire 109, CH-1228 Plan Les Ouates, Switzerland</t>
  </si>
  <si>
    <t>University of Southampton; NERC National Oceanography Centre; Natural History Museum London; University of Geneva; Polish Academy of Sciences; Institute of Paleobiology of the Polish Academy of Sciences; Polish Academy of Sciences; Institute of Oceanology of the Polish Academy of Sciences</t>
  </si>
  <si>
    <t>Gooday, AJ (corresponding author), Natl Oceanog Ctr, European Way, Southampton SO14 3ZH, Hants, England.;Gooday, AJ (corresponding author), Nat Hist Museum, Life Sci Dept, Cromwell Rd, London SW7 5BD, England.</t>
  </si>
  <si>
    <t>ang@noc.ac.uk</t>
  </si>
  <si>
    <t>Pawlowski, Jan/JNS-6857-2023; Majewski, Wojciech/D-9255-2017</t>
  </si>
  <si>
    <t>Polish National Science Centre [NCN-2018/31/B/ST10/02886]; Swiss National Science Foundation [31003A_179125]; Schmidheiny Foundation grant</t>
  </si>
  <si>
    <t>Polish National Science Centre; Swiss National Science Foundation(Swiss National Science Foundation (SNSF)); Schmidheiny Foundation grant</t>
  </si>
  <si>
    <t>Fieldwork for this study was supported by a grant from the Polish National Science Centre, NCN-2018/31/B/ST10/02886, to Wojciech Majewski and Swiss National Science Foundation grant 31003A_179125, to Jan Pawlowski. The molecular work was supported by Schmidheiny Foundation grant (MH).</t>
  </si>
  <si>
    <t>10.1007/s00300-022-03017-4</t>
  </si>
  <si>
    <t>WOS:000754127100001</t>
  </si>
  <si>
    <t>Lembrechts, JJ; van den Hoogen, J; Aalto, J; Ashcroft, MB; De Frenne, P; Kemppinen, J; Kopecky, M; Luoto, M; Maclean, IMD; Crowther, TW; Bailey, JJ; Haesen, S; Klinges, DH; Niittynen, P; Scheffers, BR; Van Meerbeek, K; Aartsma, P; Abdalaze, O; Abedi, M; Aerts, R; Ahmadian, N; Ahrends, A; Alatalo, JM; Alexander, JM; Allonsius, CN; Altman, J; Ammann, C; Andres, C; Andrews, C; Ardö, J; Arriga, N; Arzac, A; Aschero, V; Assis, RL; Assmann, JJ; Bader, MY; Bahalkeh, K; Barancok, P; Barrio, IC; Barros, A; Barthel, M; Basham, EW; Bauters, M; Bazzichetto, M; Marchesini, LB; Bell, MC; Benavides, JC; Alonso, JLB; Berauer, BJ; Bjerke, JW; Björk, RG; Björkman, MP; Björnsdóttir, K; Blonder, B; Boeckx, P; Boike, J; Bokhorst, S; Brum, BNS; Bruna, J; Buchmann, N; Buysse, P; Camargo, JL; Campoe, OC; Candan, O; Canessa, R; Cannone, N; Carbognani, M; Carnicer, J; Casanova-Katny, A; Cesarz, S; Chojnicki, B; Choler, P; Chown, SL; Cifuentes, EF; Ciliak, M; Contador, T; Convey, P; Cooper, EJ; Cremonese, E; Curasi, SR; Curtis, R; Cutini, M; Dahlberg, CJ; Daskalova, GN; de Pablo, MA; Della Chiesa, S; Dengler, J; Deronde, B; Descombes, P; Di Cecco, V; Di Musciano, M; Dick, J; Dimarco, RD; Dolezal, J; Dorrepaal, E; Dusek, J; Eisenhauer, N; Eklundh, L; Erickson, TE; Erschbamer, B; Eugster, W; Ewers, RM; Exton, DA; Fanin, N; Fazlioglu, F; Feigenwinter, I; Fenu, G; Ferlian, O; Calzado, MRF; Fernández-Pascual, E; Finckh, M; Higgens, RF; Forte, TGW; Freeman, EC; Frei, ER; Fuentes-Lillo, E; García, RA; García, MB; Géron, C; Gharun, M; Ghosn, D; Gigauri, K; Gobin, A; Goded, I; Goeckede, M; Gottschall, F; Goulding, K; Govaert, S; Graae, BJ; Greenwood, S; Greiser, C; Grelle, A; Guénard, B; Guglielmin, M; Guillemot, J; Haase, P; Haider, S; Halbritter, AH; Hamid, M; Hammerle, A; Hampe, A; Haugum, S; Hederová, L; Heinesch, B; Helfter, C; Hepenstrick, D; Herberich, M; Herbst, M; Hermanutz, L; Hik, DS; Hoffrén, R; Homeier, J; Hörtnagl, L; Hoye, TT; Hrbacek, F; Hylander, K; Iwata, H; Jackowicz-Korczynski, MA; Jactel, H; Järveoja, J; Jastrzebowski, S; Jentsch, A; Jiménez, JJ; Jónsdóttir, IS; Jucker, T; Jump, AS; Juszczak, R; Kanka, R; Kaspar, V; Kazakis, G; Kelly, J; Khuroo, AA; Klemedtsson, L; Klisz, M; Kljun, N; Knohl, A; Kobler, J; Kollár, J; Kotowska, MM; Kovács, B; Kreyling, J; Lamprecht, A; Lang, S; Larson, C; Larson, K; Laska, K; Maire, GI; Leihy, R; Lens, L; Liljebladh, B; Lohila, A; Lorite, J; Loubet, B; Lynn, J; Macek, M; Mackenzie, R; Magliulo, E; Maier, R; Malfasi, F; Mális, F; Man, M; Manca, G; Manco, A; Manise, T; Manolaki, P; Marciniak, F; Matula, R; Mazzolari, AC; Medinets, S; Medinets, V; Meeussen, C; Merinero, S; Mesquita, RDG; Meusburger, K; Meysman, FJR; Michaletz, ST; Milbau, A; Moiseev, D; Moiseev, P; Mondoni, A; Monfries, R; Montagnani, L; Moriana-Armendariz, M; di Cella, UM; Mörsdorf, M; Mosedale, JR; Muffler, L; Muñoz-Rojas, M; Myers, JA; Myers-Smith, IH; Nagy, L; Nardino, M; Naujokaitis-Lewis, I; Newling, E; Nicklas, L; Niedrist, G; Niessner, A; Nilsson, MB; Normand, S; Nosetto, MD; Nouvellon, Y; Nuñez, MA; Ogaya, R; Ogée, J; Okello, J; Olejnik, J; Olesen, JE; Opedal, OH; Orsenigo, S; Palaj, A; Pampuch, T; Panov, A; Pärtel, M; Pastor, A; Pauchard, A; Pauli, H; Pavelka, M; Pearse, WD; Peichl, M; Pellissier, L; Penczykowski, RM; Penuelas, J; Bon, MP; Petraglia, A; Phartyal, SS; Phoenix, GK; Pio, C; Pitacco, A; Pitteloud, C; Plichta, R; Porro, F; Portillo-Estrada, M; Poulenard, J; Poyatos, R; Prokushkin, AS; Puchalka, R; Puscas, M; Radujkovic, D; Randall, K; Backes, AR; Remmele, S; Remmers, W; Renault, D; Risch, AC; Rixen, C; Robinson, SA; Robroek, BJM; Rocha, A; Rossi, C; Rossi, G; Roupsard, O; Rubtsov, A; Saccone, P; Sagot, C; Bravo, JS; Santos, CC; Sarneel, JM; Scharnweber, T; Schmeddes, J; Schmidt, M; Scholten, T; Schuchardt, M; Schwartz, N; Scott, T; Seeber, J; de Andrade, ACS; Seipel, T; Semenchuk, P; Senior, RA; Serra-Diaz, JM; Sewerniak, P; Shekhar, A; Sidenko, N; Siebicke, L; Collier, LS; Simpson, E; Siqueira, DP; Sitková, Z; Six, J; Smiljanic, M; Smith, SW; Smith-Tripp, S; Somers, B; Sorensen, MV; Souza, JJLL; Souza, BI; Dias, AS; Spasojevic, MJ; Speed, JDM; Spicher, F; Stanisci, A; Steinbauer, K; Steinbrecher, R; Steinwandter, M; Stemkovski, M; Stephan, JG; Stiegler, C; Stoll, S; Svátek, M; Svoboda, M; Tagesson, T; Tanentzap, AJ; Tanneberger, F; Theurillat, JP; Thomas, HJD; Thomas, AD; Tielbörger, K; Tomaselli, M; Treier, UA; Trouillier, M; Turtureanu, PD; Tutton, R; Tyystjärvi, VA; Ueyama, M; Ujházy, K; Ujházyová, M; Uogintas, D; Urban, A; Urban, J; Urbaniak, M; Ursu, TM; Vaccari, FP; Van de Vondel, S; van den Brink, L; Van Geel, M; Vandvik, V; Vangansbeke, P; Varlagin, A; Veen, GF; Veenendaal, E; Venn, SE; Verbeeck, H; Verbrugggen, E; Verheijen, FGA; Villar, L; Vitale, L; Vittoz, P; Vives-Ingla, M; von Oppen, J; Walz, J; Wang, RX; Wang, YF; Way, RG; Wedegärtner, REM; Weigel, R; Wild, J; Wilkinson, M; Wilmking, M; Wingate, L; Winkler, M; Wipf, S; Wohlfahrt, G; Xenakis, G; Yang, Y; Yu, ZC; Yu, KL; Zellweger, F; Zhang, J; Zhang, ZC; Zhao, P; Ziemblinska, K; Zimmermann, R; Zong, SW; Zyryanov, V; Nijs, I; Lenoir, J</t>
  </si>
  <si>
    <t>Lembrechts, Jonas J.; van den Hoogen, Johan; Aalto, Juha; Ashcroft, Michael B.; De Frenne, Pieter; Kemppinen, Julia; Kopecky, Martin; Luoto, Miska; Maclean, Ilya M. D.; Crowther, Thomas W.; Bailey, Joseph J.; Haesen, Stef; Klinges, David H.; Niittynen, Pekka; Scheffers, Brett R.; Van Meerbeek, Koenraad; Aartsma, Peter; Abdalaze, Otar; Abedi, Mehdi; Aerts, Rien; Ahmadian, Negar; Ahrends, Antje; Alatalo, Juha M.; Alexander, Jake M.; Allonsius, Camille Nina; Altman, Jan; Ammann, Christof; Andres, Christian; Andrews, Christopher; Ardo, Jonas; Arriga, Nicola; Arzac, Alberto; Aschero, Valeria; Assis, Rafael L.; Assmann, Jakob Johann; Bader, Maaike Y.; Bahalkeh, Khadijeh; Barancok, Peter; Barrio, Isabel C.; Barros, Agustina; Barthel, Matti; Basham, Edmund W.; Bauters, Marijn; Bazzichetto, Manuele; Marchesini, Luca Belelli; Bell, Michael C.; Benavides, Juan C.; Benito Alonso, Jose Luis; Berauer, Bernd J.; Bjerke, Jarle W.; Bjork, Robert G.; Bjorkman, Mats P.; Bjornsdottir, Katrin; Blonder, Benjamin; Boeckx, Pascal; Boike, Julia; Bokhorst, Stef; Brum, Barbara N. S.; Bruna, Josef; Buchmann, Nina; Buysse, Pauline; Camargo, Jose Luis; Campoe, Otavio C.; Candan, Onur; Canessa, Rafaella; Cannone, Nicoletta; Carbognani, Michele; Carnicer, Jofre; Casanova-Katny, Angelica; Cesarz, Simone; Chojnicki, Bogdan; Choler, Philippe; Chown, Steven L.; Cifuentes, Edgar F.; Ciliak, Marek; Contador, Tamara; Convey, Peter; Cooper, Elisabeth J.; Cremonese, Edoardo; Curasi, Salvatore R.; Curtis, Robin; Cutini, Maurizio; Dahlberg, C. Johan; Daskalova, Gergana N.; Angel de Pablo, Miguel; Della Chiesa, Stefano; Dengler, Juergen; Deronde, Bart; Descombes, Patrice; Di Cecco, Valter; Di Musciano, Michele; Dick, Jan; Dimarco, Romina D.; Dolezal, Jiri; Dorrepaal, Ellen; Dusek, Jiri; Eisenhauer, Nico; Eklundh, Lars; Erickson, Todd E.; Erschbamer, Brigitta; Eugster, Werner; Ewers, Robert M.; Exton, Dan A.; Fanin, Nicolas; Fazlioglu, Fatih; Feigenwinter, Iris; Fenu, Giuseppe; Ferlian, Olga; Fernandez Calzado, M. Rosa; Fernandez-Pascual, Eduardo; Finckh, Manfred; Higgens, Rebecca Finger; Forte, T'ai G. W.; Freeman, Erika C.; Frei, Esther R.; Fuentes-Lillo, Eduardo; Garcia, Rafael A.; Garcia, Maria B.; Geron, Charly; Gharun, Mana; Ghosn, Dany; Gigauri, Khatuna; Gobin, Anne; Goded, Ignacio; Goeckede, Mathias; Gottschall, Felix; Goulding, Keith; Govaert, Sanne; Graae, Bente Jessen; Greenwood, Sarah; Greiser, Caroline; Grelle, Achim; Guenard, Benoit; Guglielmin, Mauro; Guillemot, Joannes; Haase, Peter; Haider, Sylvia; Halbritter, Aud H.; Hamid, Maroof; Hammerle, Albin; Hampe, Arndt; Haugum, Siri, V; Hederova, Lucia; Heinesch, Bernard; Helfter, Carole; Hepenstrick, Daniel; Herberich, Maximiliane; Herbst, Mathias; Hermanutz, Luise; Hik, David S.; Hoffren, Raul; Homeier, Juergen; Hortnagl, Lukas; Hoye, Toke T.; Hrbacek, Filip; Hylander, Kristoffer; Iwata, Hiroki; Jackowicz-Korczynski, Marcin Antoni; Jactel, Herve; Jarveoja, Jarvi; Jastrzebowski, Szymon; Jentsch, Anke; Jimenez, Juan J.; Jonsdottir, Ingibjorg S.; Jucker, Tommaso; Jump, Alistair S.; Juszczak, Radoslaw; Kanka, Robert; Kaspar, Vit; Kazakis, George; Kelly, Julia; Khuroo, Anzar A.; Klemedtsson, Leif; Klisz, Marcin; Kljun, Natascha; Knohl, Alexander; Kobler, Johannes; Kollar, Jozef; Kotowska, Martyna M.; Kovacs, Bence; Kreyling, Juergen; Lamprecht, Andrea; Lang, Simone, I; Larson, Christian; Larson, Keith; Laska, Kamil; Maire, Guerric Ie; Leihy, Rachel, I; Lens, Luc; Liljebladh, Bengt; Lohila, Annalea; Lorite, Juan; Loubet, Benjamin; Lynn, Joshua; Macek, Martin; Mackenzie, Roy; Magliulo, Enzo; Maier, Regine; Malfasi, Francesco; Malis, Frantisek; Man, Matej; Manca, Giovanni; Manco, Antonio; Manise, Tanguy; Manolaki, Paraskevi; Marciniak, Felipe; Matula, Radim; Clara Mazzolari, Ana; Medinets, Sergiy; Medinets, Volodymyr; Meeussen, Camille; Merinero, Sonia; Guimaraes Mesquita, Rita de Cassia; Meusburger, Katrin; Meysman, Filip J. R.; Michaletz, Sean T.; Milbau, Ann; Moiseev, Dmitry; Moiseev, Pavel; Mondoni, Andrea; Monfries, Ruth; Montagnani, Leonardo; Moriana-Armendariz, Mikel; di Cella, Umberto Morra; Moersdorf, Martin; Mosedale, Jonathan R.; Muffler, Lena; Munoz-Rojas, Miriam; Myers, Jonathan A.; Myers-Smith, Isla H.; Nagy, Laszlo; Nardino, Marianna; Naujokaitis-Lewis, Ilona; Newling, Emily; Nicklas, Lena; Niedrist, Georg; Niessner, Armin; Nilsson, Mats B.; Normand, Signe; Nosetto, Marcelo D.; Nouvellon, Yann; Nunez, Martin A.; Ogaya, Roma; Ogee, Jerome; Okello, Joseph; Olejnik, Janusz; Olesen, Jorgen Eivind; Opedal, Oystein H.; Orsenigo, Simone; Palaj, Andrej; Pampuch, Timo; Panov, Alexey, V; Partel, Meelis; Pastor, Ada; Pauchard, Anibal; Pauli, Harald; Pavelka, Marian; Pearse, William D.; Peichl, Matthias; Pellissier, Loic; Penczykowski, Rachel M.; Penuelas, Josep; Bon, Matteo Petit; Petraglia, Alessandro; Phartyal, Shyam S.; Phoenix, Gareth K.; Pio, Casimiro; Pitacco, Andrea; Pitteloud, Camille; Plichta, Roman; Porro, Francesco; Portillo-Estrada, Miguel; Poulenard, Jerome; Poyatos, Rafael; Prokushkin, Anatoly S.; Puchalka, Radoslaw; Puscas, Mihai; Radujkovic, Dajana; Randall, Krystal; Backes, Amanda Ratier; Remmele, Sabine; Remmers, Wolfram; Renault, David; Risch, Anita C.; Rixen, Christian; Robinson, Sharon A.; Robroek, Bjorn J. M.; Rocha, Adrian, V; Rossi, Christian; Rossi, Graziano; Roupsard, Olivier; Rubtsov, Alexey, V; Saccone, Patrick; Sagot, Clotilde; Sallo Bravo, Jhonatan; Santos, Cinthya C.; Sarneel, Judith M.; Scharnweber, Tobias; Schmeddes, Jonas; Schmidt, Marius; Scholten, Thomas; Schuchardt, Max; Schwartz, Naomi; Scott, Tony; Seeber, Julia; Segalin de Andrade, Ana Cristina; Seipel, Tim; Semenchuk, Philipp; Senior, Rebecca A.; Serra-Diaz, Josep M.; Sewerniak, Piotr; Shekhar, Ankit; Sidenko, Nikita, V; Siebicke, Lukas; Collier, Laura Siegwart; Simpson, Elizabeth; Siqueira, David P.; Sitkova, Zuzana; Six, Johan; Smiljanic, Marko; Smith, Stuart W.; Smith-Tripp, Sarah; Somers, Ben; Sorensen, Mia Vedel; Souza, Jose Joao L. L.; Souza, Bartolomeu Israel; Dias, Arildo Souza; Spasojevic, Marko J.; Speed, James D. M.; Spicher, Fabien; Stanisci, Angela; Steinbauer, Klaus; Steinbrecher, Rainer; Steinwandter, Michael; Stemkovski, Michael; Stephan, Jorg G.; Stiegler, Christian; Stoll, Stefan; Svatek, Martin; Svoboda, Miroslav; Tagesson, Torbern; Tanentzap, Andrew J.; Tanneberger, Franziska; Theurillat, Jean-Paul; Thomas, Haydn J. D.; Thomas, Andrew D.; Tielboerger, Katja; Tomaselli, Marcello; Treier, Urs Albert; Trouillier, Mario; Turtureanu, Pavel Dan; Tutton, Rosamond; Tyystjarvi, Vilna A.; Ueyama, Masahito; Ujhazy, Karol; Ujhazyova, Mariana; Uogintas, Domas; Urban, Anastasiya, V; Urban, Josef; Urbaniak, Marek; Ursu, Tudor-Mihai; Vaccari, Francesco Primo; Van de Vondel, Stijn; van den Brink, Liesbeth; Van Geel, Maarten; Vandvik, Vigdis; Vangansbeke, Pieter; Varlagin, Andrej; Veen, G. F.; Veenendaal, Elmar; Venn, Susanna E.; Verbeeck, Hans; Verbrugggen, Erik; Verheijen, Frank G. A.; Villar, Luis; Vitale, Luca; Vittoz, Pascal; Vives-Ingla, Maria; von Oppen, Jonathan; Walz, Josefine; Wang, Runxi; Wang, Yifeng; Way, Robert G.; Wedegartner, Ronja E. M.; Weigel, Robert; Wild, Jan; Wilkinson, Matthew; Wilmking, Martin; Wingate, Lisa; Winkler, Manuela; Wipf, Sonja; Wohlfahrt, Georg; Xenakis, Georgios; Yang, Yan; Yu, Zicheng; Yu, Kailiang; Zellweger, Florian; Zhang, Jian; Zhang, Zhaochen; Zhao, Peng; Ziemblinska, Klaudia; Zimmermann, Reiner; Zong, Shengwei; Zyryanov, Viacheslav, I; Nijs, Ivan; Lenoir, Jonathan</t>
  </si>
  <si>
    <t>Global maps of soil temperature</t>
  </si>
  <si>
    <t>GLOBAL CHANGE BIOLOGY</t>
  </si>
  <si>
    <t>bioclimatic variables; global maps; microclimate; near-surface temperatures; soil-dwelling organisms; soil temperature; temperature offset; weather stations</t>
  </si>
  <si>
    <t>LITTER DECOMPOSITION; CLIMATIC CONTROLS; PLANT-RESPONSES; SNOW-COVER; MICROCLIMATE; PERMAFROST; FOREST; SUITABILITY; MITIGATION; MOISTURE</t>
  </si>
  <si>
    <t>Research in global change ecology relies heavily on global climatic grids derived from estimates of air temperature in open areas at around 2 m above the ground. These climatic grids do not reflect conditions below vegetation canopies and near the ground surface, where critical ecosystem functions occur and most terrestrial species reside. Here, we provide global maps of soil temperature and bioclimatic variables at a 1-km(2) resolution for 0-5 and 5-15 cm soil depth. These maps were created by calculating the difference (i.e. offset) between in situ soil temperature measurements, based on time series from over 1200 1-km(2) pixels (summarized from 8519 unique temperature sensors) across all the world's major terrestrial biomes, and coarse-grained air temperature estimates from ERA5-Land (an atmospheric reanalysis by the European Centre for Medium-Range Weather Forecasts). We show that mean annual soil temperature differs markedly from the corresponding gridded air temperature, by up to 10 degrees C (mean = 3.0 +/- 2.1 degrees C), with substantial variation across biomes and seasons. Over the year, soils in cold and/or dry biomes are substantially warmer (+3.6 +/- 2.3 degrees C) than gridded air temperature, whereas soils in warm and humid environments are on average slightly cooler (-0.7 +/- 2.3 degrees C). The observed substantial and biome-specific offsets emphasize that the projected impacts of climate and climate change on near-surface biodiversity and ecosystem functioning are inaccurately assessed when air rather than soil temperature is used, especially in cold environments. The global soil-related bioclimatic variables provided here are an important step forward for any application in ecology and related disciplines. Nevertheless, we highlight the need to fill remaining geographic gaps by collecting more in situ measurements of microclimate conditions to further enhance the spatiotemporal resolution of global soil temperature products for ecological applications.</t>
  </si>
  <si>
    <t>[Lembrechts, Jonas J.; Fuentes-Lillo, Eduardo; Geron, Charly; Portillo-Estrada, Miguel; Radujkovic, Dajana; Verbrugggen, Erik; Nijs, Ivan] Univ Antwerp, Res Grp PLECO Plants &amp; Ecosyst, Antwerp, Belgium; [van den Hoogen, Johan; Crowther, Thomas W.; Alexander, Jake M.] Swiss Fed Inst Technol, Dept Environm Syst Sci, Inst Integrat Biol, Zurich, Switzerland; [Aalto, Juha; Tyystjarvi, Vilna A.] Finnish Meteorol Inst, Helsinki, Finland; [Aalto, Juha; Luoto, Miska; Niittynen, Pekka; Tyystjarvi, Vilna A.] Univ Helsinki, Dept Geosci &amp; Geog, Helsinki, Finland; [Ashcroft, Michael B.; Randall, Krystal; Robinson, Sharon A.] Univ Wollongong, Ctr Sustainable Ecosyst Solut, Sch Earth Atmospher &amp; Life Sci, Wollongong, NSW, Australia; [Ashcroft, Michael B.] Australian Museum, Sydney, NSW, Australia; [De Frenne, Pieter; Govaert, Sanne; Meeussen, Camille; Vangansbeke, Pieter] Univ Ghent, Dept Environm, Forest &amp; Nat Lab, Melle Gontrode, Belgium; [Kemppinen, Julia] Univ Oulu, Geog Res Unit, Oulu, Finland; [Kopecky, Martin; Altman, Jan; Bruna, Josef; Dolezal, Jiri; Hederova, Lucia; Kaspar, Vit; Macek, Martin; Man, Matej; Bon, Matteo Petit; Wild, Jan] Czech Acad Sci, Inst Bot, Pruhonice, Czech Republic; [Kopecky, Martin; Altman, Jan; Matula, Radim; Svoboda, Miroslav] Czech Univ Life Sci Prague, Fac Forestry &amp; Wood Sci, Prague 6, Suchdol, Czech Republic; [Maclean, Ilya M. D.; Curtis, Robin; Mosedale, Jonathan R.] Univ Exeter, Environm &amp; Sustainabil Inst, Penryn Campus, Penryn, England; [Bailey, Joseph J.] York St John Univ, Dept Geog, York, N Yorkshire, England; [Haesen, Stef; Van Meerbeek, Koenraad] Katholieke Univ Leuven, Dept Earth &amp; Environm Sci, Leuven, Belgium; [Klinges, David H.; Basham, Edmund W.] Univ Florida, Sch Nat Resources &amp; Environm, Gainesville, FL USA; [Klinges, David H.] Smithsonian Environm Res Ctr, POB 28, Edgewater, MD 21037 USA; [Scheffers, Brett R.] Univ Florida, Dept Wildlife Ecol &amp; Conservat, Gainesville, FL USA; [Aartsma, Peter] Univ South Eastern Norway, Dept Nat Sci &amp; Environm Hlth, Bo, Norway; [Abdalaze, Otar] Ilia State Univ, Inst Ecol, Alpine Ecosyst Res Program, Tbilisi, Georgia; [Abedi, Mehdi; Ahmadian, Negar; Bahalkeh, Khadijeh] Tarbiat Modares Univ, Fac Nat Resources &amp; Marine Sci, Dept Range Management, Noor, Iran; [Aerts, Rien; Bokhorst, Stef] Vrije Univ Amsterdam, Dept Ecol Sci, Amsterdam, Netherlands; [Ahrends, Antje; Monfries, Ruth] Royal Bot Garden Edinburgh, Edinburgh, Midlothian, Scotland; [Alatalo, Juha M.] Qatar Univ, Environm Sci Ctr, Doha, Qatar; [Allonsius, Camille Nina] Univ Antwerp, Res Grp ECOBE, Antwerp, Belgium; [Ammann, Christof] Agroscope Res Inst, Dept Agroecol &amp; Environm, Zurich, Switzerland; [Andres, Christian; Barthel, Matti; Buchmann, Nina; Eugster, Werner; Feigenwinter, Iris; Gharun, Mana; Hortnagl, Lukas; Maier, Regine; Shekhar, Ankit; Six, Johan] Swiss Fed Inst Technol, Dept Environm Syst Sci, Zurich, Switzerland; [Andrews, Christopher; Dick, Jan; Helfter, Carole] UK Ctr Ecol &amp; Hydrol, Penicuik, Midlothian, Scotland; [Ardo, Jonas; Eklundh, Lars; Jackowicz-Korczynski, Marcin Antoni; Tagesson, Torbern] Lund Univ, Dept Phys Geog &amp; Ecosyst Sci, Lund, Sweden; [Arriga, Nicola; Goded, Ignacio; Manca, Giovanni] Joint Res Ctr JRC, European Commiss, Ispra, Italy; [Arzac, Alberto; Prokushkin, Anatoly S.; Rubtsov, Alexey, V; Urban, Josef] Siberian Fed Univ, Krasnoyarsk, Russia; [Aschero, Valeria] Univ Nacl Cuyo, Fac Ciencias Exactas &amp; Nat, Mendoza, Argentina; [Aschero, Valeria; Barros, Agustina; Clara Mazzolari, Ana] CCT Mendoza, Inst Argentino Nivol Glaciol &amp; Ciencias Ambiental, CONICET, Mendoza, Argentina; [Assis, Rafael L.] Univ Oslo, Nat Hist Museum, Oslo, Norway; [Assmann, Jakob Johann; Normand, Signe; Treier, Urs Albert; von Oppen, Jonathan] Aarhus Univ, Ctr Sustainable Landscapes Global Change, Dept Biol, Aarhus C, Denmark; [Assmann, Jakob Johann; Normand, Signe; Treier, Urs Albert; von Oppen, Jonathan] Aarhus Univ, Ctr Biodivers Dynam Changing World, Dept Biol, Aarhus C, Denmark; [Bader, Maaike Y.; Canessa, Rafaella] Univ Marburg, Fac Geog, Ecol Plant Geog, Marburg, Germany; [Barancok, Peter; Kanka, Robert; Kollar, Jozef; Palaj, Andrej] Slovak Acad Sci, Inst Landscape Ecol, Bratislava, Slovakia; [Barrio, Isabel C.] Agr Univ Iceland, Fac Environm &amp; Forest Sci, Reykjavik, Iceland; [Bauters, Marijn; Boeckx, Pascal; Okello, Joseph] Univ Ghent, Isotope Biosci Lab ISOFYS, Ghent, Belgium; [Bazzichetto, Manuele; Renault, David] Univ Rennes, CNRS, EcoBio Ecosyst Biodiversite Evolut UMR 6553, Rennes, France; [Marchesini, Luca Belelli] Fdn Edmund Mach, Dept Sustainable Agroecosyst &amp; Bioresources, Res &amp; Innovat Ctr, San Michele All Adige, Italy; [Bell, Michael C.; Wilkinson, Matthew] Alice Holt Lodge, Forest Res, Farnham, Surrey, England; [Benavides, Juan C.] Pontificia Univ Javeriana, Dept Ecol, Bogota, Colombia; [Benito Alonso, Jose Luis] Jolube Consultor Bot, Jaca, Huesca, Spain; [Berauer, Bernd J.] Univ Hohenheim, Inst Landscape &amp; Plant Ecol, Dept Plant Ecol, Stuttgart, Germany; [Berauer, Bernd J.; Jentsch, Anke; Schuchardt, Max] Univ Bayreuth, BayCEER, Disturbance Ecol, Bayreuth, Germany; [Bjerke, Jarle W.] Norwegian Inst Nat Res, FRAM High North Res Ctr Climate &amp; Environm, Tromso, Norway; [Bjork, Robert G.; Bjorkman, Mats P.; Klemedtsson, Leif; Liljebladh, Bengt] Univ Gothenburg, Dept Earth Sci, Gothenburg, Sweden; [Bjork, Robert G.; Bjorkman, Mats P.] Gothenburg Global Biodivers Ctr, Gothenburg, Sweden; [Bjornsdottir, Katrin] Univ Gothenburg, Dept Biol &amp; Environm Sci, Gothenburg, Sweden; [Blonder, Benjamin] Univ Calif Berkeley, Dept Environm Sci Policy &amp; Management, Berkeley, CA 94720 USA; [Boike, Julia] Helmholtz Ctr Polar &amp; Marine Res, Alfred Wegener Inst, Telegrafenberg A45, Potsdam, Germany; [Boike, Julia] Humboldt Univ, Geog Dept, Berlin, Germany; [Brum, Barbara N. S.; Marciniak, Felipe] Inst Nacl de Pesquisas da Amazonia, Posgrad Ciencias Florestas Tropicais, Manaus, Amazonas, Brazil; [Buysse, Pauline; Loubet, Benjamin] Univ Paris Saclay, AgroParisTech, UMR ECOSYS INRAE, Paris, France; [Camargo, Jose Luis] Inst Nacl de Pesquisas da Amazonia, BDFFP, Biol Dynam Forest Fragments Project, Manaus, Amazonas, Brazil; [Campoe, Otavio C.] Univ Fed Lavras, Dept Forest Sci, Lavras, Brazil; [Candan, Onur; Fazlioglu, Fatih] Ordu Univ, Fac Arts &amp; Sci, Dept Mol Biol &amp; Genet, Ordu, Turkey; [Canessa, Rafaella; Tielboerger, Katja; van den Brink, Liesbeth] Univ Tubingen, Dept Evolut &amp; Ecol, Plant Ecol Grp, Tubingen, Germany; [Cannone, Nicoletta; Malfasi, Francesco] Insubria Univ, Dept Sci &amp; High Technol, Como, Italy; [Carbognani, Michele; Forte, T'ai G. W.; Petraglia, Alessandro; Tomaselli, Marcello] Univ Parma, Dept Chem Life Sci &amp; Environm Sustainabil, Parma, Italy; [Carnicer, Jofre] Univ Barcelona, Biodivers Res Inst IRBio, Dept Evolutionary Biol Ecol &amp; Environm Sci, Barcelona, Spain; [Carnicer, Jofre; Poyatos, Rafael; Vives-Ingla, Maria] CREAF, E-08193 Bellaterra, Cerdanyola Del, Spain; [Casanova-Katny, Angelica] Univ Catolica Temuco, Lab Ecofisiol Vegetal &amp; Cambio Climat, Dept Ciencias Vet &amp; Salud Publ, Campus Luis Rivas del Canto, Temuco, Chile; [Casanova-Katny, Angelica] Univ Catolica Temuco, Fac Recursos Nat, Nucleo Estudios Ambientales NEA, Temuco, Chile; [Cesarz, Simone; Dengler, Juergen; Eisenhauer, Nico; Ferlian, Olga; Gottschall, Felix; Haider, Sylvia; Backes, Amanda Ratier] German Ctr Integrat Biodivers Res iDiv, Leipzig, Germany; [Cesarz, Simone; Eisenhauer, Nico; Ferlian, Olga; Gottschall, Felix] Univ Leipzig, Inst Biol, Leipzig, Germany; [Chojnicki, Bogdan; Juszczak, Radoslaw] Poznan Univ Life Sci, Dept Ecol &amp; Environm Protect, Lab Bioclimatol, Poznan, Poland; [Choler, Philippe] Univ Grenoble Alpes, Univ Savoie Mt Blanc, LECA, CNRS, Grenoble, France; [Choler, Philippe] Univ Grenoble Alpes, Univ Savoie Mt Blanc, LTSER Zone Atelier Alpes, CNRS, Grenoble, France; [Chown, Steven L.] Monash Univ, Sch Biol Sci, Securing Antarct Environm Future, Melbourne, Vic, Australia; [Cifuentes, Edgar F.] Univ Cambridge, Dept Plant Sci, Forest Ecol &amp; Conservat Grp, Cambridge, England; [Ciliak, Marek; Ujhazyova, Mariana] Tech Univ Zvolen, Fac Ecol &amp; Environm Sci, Zvolen, Slovakia; [Contador, Tamara; Mackenzie, Roy] Univ Austral Chile, Millennium Inst Biodivers Antarctic &amp; Subantarct, Valdivia, Chile; [Contador, Tamara] Cape Horn Int Ctr CHIC, Puerto Williams, Chile; [Convey, Peter] NERC, British Antarctic Survey, Cambridge, England; [Cooper, Elisabeth J.; Moriana-Armendariz, Mikel; Bon, Matteo Petit] UiT Arctic Univ Norway, Fac Biosci Fisheries &amp; Econ, Dept Arctic &amp; Marine Biol, Tromso, Norway; [Cremonese, Edoardo; di Cella, Umberto Morra] Environm Protect Agcy Aosta Valley, Climate Change Unit, St Christophe, Italy; [Curasi, Salvatore R.; Rocha, Adrian, V] Univ Notre Dame, Dept Biol Sci, Notre Dame, IN 46556 USA; [Cutini, Maurizio] Univ Roma Tre, Dept Sci, Rome, Italy; [Dahlberg, C. Johan; Greiser, Caroline; Hylander, Kristoffer; Merinero, Sonia] Stockholm Univ, Dept Ecol Environm &amp; Plant Sci, Stockholm, Sweden; [Dahlberg, C. Johan; Greiser, Caroline; Hylander, Kristoffer; Merinero, Sonia] Stockholm Univ, Bolin Ctr Climate Res, Stockholm, Sweden; [Dahlberg, C. Johan] Cty Adm Board Vastra Gotaland, Gothenburg, Sweden; [Daskalova, Gergana N.; Myers-Smith, Isla H.; Thomas, Haydn J. D.] Univ Edinburgh, Sch GeoSci, Edinburgh, Midlothian, Scotland; [Angel de Pablo, Miguel] Univ Alcala, Dept Geol Geog &amp; Environm, Madrid, Spain; [Della Chiesa, Stefano] Tech Univ Dresden, Chair Geoinformat, Dresden, Germany; [Dengler, Juergen] ZHAW Zurich Univ Appl Sci, Inst Nat Resource Sci IUNR, Vegetat Ecol, Wadenswil, Switzerland; [Dengler, Juergen] Univ Bayreuth, Bayreuth Ctr Ecol &amp; Environm Res BayCEER, Plant Ecol, Bayreuth, Germany; [Deronde, Bart] VITO TAP, Mol, Belgium; [Descombes, Patrice] Swiss Fed Res Inst WSL, Birmensdorf, Switzerland; [Di Cecco, Valter] Majella Natl Pk, Majella Seed Bank, Colle Madonna, Lama Dei Pelign, Italy; [Di Musciano, Michele] Univ Aquila, Dept Life Hlth &amp; Environm Sci, Laquila, Italy; [Dimarco, Romina D.] IFAB INTA CONICET, Grp Ecol Poblac Insectos, San Carlos De Bariloche, Rio Negro, Argentina; [Dimarco, Romina D.; Nunez, Martin A.] Univ Houston, Dept Biol &amp; Biochem, Houston, TX USA; [Dolezal, Jiri] Univ South Bohemia, Fac Sci, Dept Bot, Ceske Budejovice, Czech Republic; [Dorrepaal, Ellen; Larson, Keith; Walz, Josefine] Umea Univ, Climate Impacts Res Ctr, Dept Ecol &amp; Environm Sci, Abisko, Sweden; [Dusek, Jiri; Pavelka, Marian] Acad Sci Czech Republ, Global Change Res Inst, Prague, Czech Republic; [Erickson, Todd E.] Univ Western Australia, Sch Biol Sci, Crawley, WA, Australia; [Erickson, Todd E.] Kings Pk Sci, Dept Biodivers Conservat &amp; Attract, Kings Pk, Australia; [Erschbamer, Brigitta; Nicklas, Lena] Univ Innsbruck, Fac Biol, Dept Bot, Innsbruck, Austria; [Ewers, Robert M.] Imperial Coll London, Ascot, Berks, England; [Exton, Dan A.] Operat Wallacea, Lincoln, Lincs, England; [Fanin, Nicolas; Ogee, Jerome; Wingate, Lisa] Bordeaux Sci Agro, INRAE, UMR 1391 ISPA, Villenave Dornon, France; [Fenu, Giuseppe] Univ Cagliari, Dept Life &amp; Environm Sci, Cagliari, Italy; [Fernandez Calzado, M. Rosa; Lorite, Juan] Univ Granada, Dept Bot, Granada, Spain; [Fernandez-Pascual, Eduardo] Univ Oviedo, IMIB Biodivers Res Inst, Mieres, Spain; [Finckh, Manfred] Univ Hamburg, Inst Plant Sci &amp; Microbiol, Hamburg, Germany; [Higgens, Rebecca Finger] Dartmouth Coll, Hanover, NH 03755 USA; [Freeman, Erika C.; Tanentzap, Andrew J.] Univ Cambridge, Dept Plant Sci, Ecosyst &amp; Global Change Grp, Cambridge, England; [Frei, Esther R.; Rixen, Christian; Wipf, Sonja] WSL Inst Snow &amp; Avalanche Res SLF, Davos, Switzerland; [Frei, Esther R.; Rixen, Christian] Climate Change Extremes &amp; Nat Hazards Alpine Reg, Davos, Switzerland; [Frei, Esther R.; Meusburger, Katrin; Risch, Anita C.; Zellweger, Florian] Swiss Fed Inst Forest Snow &amp; Landscape Res WSL, Birmensdorf, Switzerland; [Fuentes-Lillo, Eduardo; Garcia, Rafael A.; Pauchard, Anibal] Univ Concepcion, Fac Ciencias Forestales, Lab Invas Biol LIB, Concepcion, Chile; [Fuentes-Lillo, Eduardo] Adventist Univ Chile, Sch Educ &amp; Social Sci, Chillan, Chile; [Garcia, Rafael A.; Pauchard, Anibal] Inst Ecol &amp; Biodiversidad IEB, Santiago, Chile; [Garcia, Maria B.] Pyrenean Inst Ecol CSIC, Zaragoza, Spain; [Geron, Charly] Univ Liege, TERRA Res Ctr, Biodivers &amp; Landscape, Gembloux Agrobio Tech, Gembloux, Belgium; [Ghosn, Dany; Kazakis, George] Mediterranean Agron Inst Chania, Dept Geoinformat Environm Management, Khania, Greece; [Gigauri, Khatuna] Georgian Inst Publ Affairs, Dept Environm Management &amp; Policy, Tbilisi, Georgia; [Gobin, Anne] Flemish Inst Technol Res, Mol, Belgium; [Gobin, Anne] KULeuven, Dept Earth &amp; Environm Sci, Fac BioSci Engn, Leuven, Belgium; [Goeckede, Mathias] Max Planck Inst Biogeochem, Dept Biogeochem Signals, Jena, Germany; [Goulding, Keith; Scott, Tony] Rothamsted Res, Sustainable Agr Sci Dept, Harpenden, Herts, England; [Graae, Bente Jessen; Smith, Stuart W.; Sorensen, Mia Vedel; Wedegartner, Ronja E. M.] Norwegian Univ Sci &amp; Technol, Dept Biol, Trondheim, Norway; [Greenwood, Sarah] Univ Edinburgh, Biodivers Wildlife &amp; Ecosyst Hlth Biomed Sci, Edinburgh, Midlothian, Scotland; [Grelle, Achim] Swedish Univ Agr Sci, Dept Ecol, Uppsala, Sweden; [Guenard, Benoit; Wang, Runxi] Univ Hong Kong, Sch Biol Sci, Hong Kong, Peoples R China; [Guglielmin, Mauro] Insubria Univ, Dept Theoret &amp; Appl Sci, Varese, Italy; [Guillemot, Joannes; Maire, Guerric Ie; Nouvellon, Yann] CIRAD, UMR Eco &amp; Sols, Montpellier, France; [Guillemot, Joannes; Maire, Guerric Ie; Nouvellon, Yann] Univ Montpellier, Montpellier SupAgro, INRAE, CIRAD,IRD,UMR Eco &amp; Sols, Montpellier, France; [Haase, Peter] Senckenberg Res Inst, Gelnhausen, Germany; [Haase, Peter] Nat Hist Museum Frankfurt, Gelnhausen, Germany; [Haase, Peter; Steinbrecher, Rainer] Univ Duisburg Essen, Fac Biol, Essen, Germany; [Haider, Sylvia; Backes, Amanda Ratier] Martin Luther Univ Halle Wittenberg, Inst Biol Geobot &amp; Bot Garden, Halle, Saale, Germany; [Halbritter, Aud H.; Haugum, Siri, V; Lynn, Joshua; Vandvik, Vigdis] Univ Bergen, Dept Biol Sci, Bergen, Norway; [Halbritter, Aud H.; Haugum, Siri, V; Lynn, Joshua; Vandvik, Vigdis] Univ Bergen, Bjerknes Ctr Climate Res, Bergen, Norway; [Hamid, Maroof; Khuroo, Anzar A.] Univ Kashmir, Ctr Biodivers &amp; Taxon, Dept Bot, Srinagar, India; [Hammerle, Albin; Seeber, Julia; Wohlfahrt, Georg] Univ Innsbruck, Dept Ecol, Innsbruck, Austria; [Hampe, Arndt; Jactel, Herve] Univ Bordeaux, BIOGECO, INRAE, Cestas, France; [Haugum, Siri, V] Heathland Ctr, Alver, Norway; [Heinesch, Bernard; Manise, Tanguy] Univ Liege, Fac Gembloux Agrobio Tech, TERRA Teaching &amp; Res Ctr, Gembloux, Belgium; [Hepenstrick, Daniel] ZHAW Zurich Univ Appl Sci, Inst Nat Resource Sci, Vegetat Ecol, Gruental, Switzerland; [Herberich, Maximiliane] Univ Nat Resources &amp; Life Sci Vienna BOKU, Inst Bot, Vienna, Austria; [Herbst, Mathias] Ctr Agrometeorol Res ZAMF, German Meteorol Serv DWD, Braunschweig, Germany; [Hermanutz, Luise; Collier, Laura Siegwart] Mem Univ, Dept Biol, St John, NF, Canada; [Hik, David S.] Simon Fraser Univ, Dept Biol Sci, Burnaby, BC, Canada; [Hoffren, Raul] Univ Zaragoza, Dept Geog, Zaragoza, Spain; [Homeier, Juergen] HAWK Univ Appl Sci &amp; Arts, Fac Resource Management, Gottingen, Germany; [Homeier, Juergen; Kotowska, Martyna M.; Muffler, Lena; Weigel, Robert] Georg August Univ Gottingen, Albrecht von Haller Inst Plant Sci, Plant Ecol, Gottingen, Germany; [Hoye, Toke T.] Aarhus Univ, Dept Ecosci &amp; Arctic Res Ctr, Ronde, Denmark; [Hrbacek, Filip; Laska, Kamil] Masaryk Univ, Fac Sci, Dept Geog, Brno, Czech Republic; [Iwata, Hiroki] Shinshu Univ, Dept Environm Sci, Matsumoto, Nagano, Japan; [Jackowicz-Korczynski, Marcin Antoni] Aarhus Univ, Dept Ecosci &amp; Arctic Res Ctr, Roskilde, Denmark; [Jarveoja, Jarvi; Nilsson, Mats B.; Peichl, Matthias; Zhao, Peng] Swedish Univ Agr Sci, Dept Forest Ecol &amp; Management, Umea, Sweden; [Jastrzebowski, Szymon; Klisz, Marcin] Forest Res Inst, Dept Silviculture &amp; Forest Tree Genet, Raszyn, Poland; [Jentsch, Anke] Bayreuth Ctr Ecol &amp; Environm Res, Bayreuth, Germany; [Jimenez, Juan J.] Pyrenean Inst Ecol, ARAID IPE CSIC, Avda Llano de la Victoria, Aragon, Spain; [Jonsdottir, Ingibjorg S.] Univ Iceland, Life &amp; Environm Sci, Reykjavik, Iceland; [Jucker, Tommaso] Univ Bristol, Sch Biol Sci, Bristol, Avon, England; [Jump, Alistair S.] Univ Stirling, Fac Nat Sci Biol &amp; Environm Sci, Stirling, Scotland; [Kaspar, Vit; Wild, Jan] Czech Univ Life Sci Prague, Fac Environm Sci, Prague 6, Suchdol, Czech Republic; [Kelly, Julia; Kljun, Natascha] Lund Univ, Ctr Environm &amp; Climate Sci, Lund, Sweden; [Knohl, Alexander; Siebicke, Lukas; Stiegler, Christian] Univ Gottingen, Bioclimatol, Gottingen, Germany; [Kobler, Johannes] Environm Agcy Austria, Vienna, Austria; [Kovacs, Bence] Inst Ecol &amp; Bot, Ctr Ecol Res, Vacratot, Hungary; [Kreyling, Juergen; Schmeddes, Jonas] Univ Greifswald, Inst Bot &amp; Landscape Ecol, Expt Plant Ecol, Greifswald, Germany; [Lamprecht, Andrea; Pauli, Harald; Saccone, Patrick; Steinbauer, Klaus; Winkler, Manuela] Austrian Acad Sci OAW, Inst Interdisciplinary Mt Res, GLORIA Coordinat, Vienna, Austria; [Lamprecht, Andrea; Pauli, Harald; Saccone, Patrick; Steinbauer, Klaus; Winkler, Manuela] Univ Nat Resources &amp; Life Sci, Dept Integrat Biol &amp; Biodivers Res, Vienna, Austria; [Lang, Simone, I; Bon, Matteo Petit] Univ Ctr Svalbard UNIS, Dept Arctic Biol, Longyearbyen, Svalbard, Norway; [Larson, Christian; Seipel, Tim] Montana State Univ, Dept Land Resources &amp; Environm Sci, Bozeman, MT 59717 USA; [Laska, Kamil] Univ South Bohemia, Fac Sci, Ctr Polar Ecol, Ceske Budejovice, Czech Republic; [Leihy, Rachel, I] Monash Univ, Sch Biol Sci, Melbourne, Vic, Australia; [Lens, Luc] Univ Ghent, Dept Biol, Terr Ecol Unit, Ghent, Belgium; [Lohila, Annalea] Finnish Meteorol Inst, Climate Syst Res, Helsinki, Finland; [Lohila, Annalea] Univ Helsinki, Fac Sci, INAR Inst Atmospher &amp; Earth Syst Res Phys, Helsinki, Finland; [Lorite, Juan] Univ Granada, Interuniv Inst Earth Syst Res, Granada, Spain; [Magliulo, Enzo; Manco, Antonio] CNR Inst Agr &amp; Forestry Syst Mediterranean, Naples, Italy; [Malis, Frantisek; Ujhazy, Karol] Tech Univ Zvolen, Fac Forestry, Zvolen, Slovakia; [Manolaki, Paraskevi] Open Univ Cyprus, Sch Pure &amp; Appl Sci, Environm Conservat &amp; Management Programme, Latsia, Cyprus; [Manolaki, Paraskevi; Pastor, Ada] Aarhus Univ, Dept Biol, Aarhus C, Denmark; [Manolaki, Paraskevi] Aarhus Inst Adv Studies, AIAS Hoegh Guldbergs Gade 6B, Aarhus, Denmark; [Matula, Radim; Plichta, Roman; Svatek, Martin; Urban, Anastasiya, V; Urban, Josef] Mendel Univ Brno, Fac Forestry &amp; Wood Technol, Dept Forest Bot Dendrol &amp; Geobiocoenol, Brno, Czech Republic; [Medinets, Sergiy; Medinets, Volodymyr] Odesa Natl II Mechnikov Univ, Reg Ctr Integrated Environm Monitoring, Odesa, Ukraine; [Medinets, Sergiy; Olesen, Jorgen Eivind] Aarhus Univ, Dept Agroecol, Tjele, Denmark; [Medinets, Sergiy] NGO New Energy, Kharkiv, Ukraine; [Guimaraes Mesquita, Rita de Cassia] Inst Nacl de Pesquisas da Amazonia, Coordenacao Dinam Ambiental, Biol Dynam Forest Fragments Project, Manaus, Amazonas, Brazil; [Meysman, Filip J. R.] Univ Antwerp, Dept Biol, Antwerp, Belgium; [Michaletz, Sean T.] Univ British Columbia, Dept Bot, Vancouver, BC, Canada; [Michaletz, Sean T.] Univ British Columbia, Biodivers Res Ctr, Vancouver, BC, Canada; [Milbau, Ann] Dept Environm, Antwerp, Province Of Ant, Belgium; [Moiseev, Dmitry; Moiseev, Pavel] Russian Acad Sci, Ural Div, Inst Plant &amp; Anim Ecol, Ekaterinburg, Russia; [Mondoni, Andrea; Orsenigo, Simone; Porro, Francesco; Rossi, Graziano] Univ Pavia, Dept Earth &amp; Environm Sci, Pavia, Italy; [Montagnani, Leonardo] Free Univ Bolzano, Fac Sci &amp; Technol, Bolzano, Italy; [Moersdorf, Martin] Univ Freiburg, Chair Geobot, Freiburg, Germany; [Munoz-Rojas, Miriam] UNSW Sydney, Sch Biol Earth &amp; Environm Sci, Ctr Ecosyst Sci, Sydney, NSW, Australia; [Munoz-Rojas, Miriam] Univ Seville, Dept Plant Biol &amp; Ecol, Seville, Spain; [Myers, Jonathan A.; Penczykowski, Rachel M.] Washington Univ, Dept Biol, Campus Box 1137, St Louis, MO 63130 USA; [Nagy, Laszlo] Univ Estadual Campinas, Inst Biol, Dept Anim Biol, Campinas, Brazil; [Nardino, Marianna] CNR, Inst BioEcon, Bologna, Italy; [Naujokaitis-Lewis, Ilona] Carleton Univ, Natl Wildlife Res Ctr, Environm &amp; Climate Change Canada, Ottawa, ON, Canada; [Newling, Emily] Deakin Univ, Sch Life &amp; Environm Sci, Burwood, Vic, Australia; [Niedrist, Georg; Seeber, Julia; Steinwandter, Michael] Eurac Res, Inst Alpine Environm, Bolzano, Italy; [Niessner, Armin; Remmele, Sabine; Zimmermann, Reiner] Univ Hohenheim, Inst Biol, Dept Mol Bot, Stuttgart, Germany; [Nosetto, Marcelo D.] Consejo Nacl Invest Cient &amp; Tecn, Inst Matemat Aplicada San Luis, IMASL, San Luis, Argentina; [Nosetto, Marcelo D.] Univ Nacl San Luis, San Luis, Argentina; [Nosetto, Marcelo D.] Catedra Climatol Agr FCA UNER, Entre Rios, Argentina; [Nunez, Martin A.] Univ Nacl Comahue, INIBIOMA, Grp Ecol Invas, CONICET, San Carlos De Bariloche, Rio Negro, Argentina; [Ogaya, Roma; Penuelas, Josep] Global Ecol Unit CREAF CSIC UAB, CSIC, Bellaterra, Spain; [Ogaya, Roma; Penuelas, Josep] CREAF, Barcelona, Spain; [Okello, Joseph] Mt Moon Univ, Ft Portal, Uganda; [Okello, Joseph] Natl Agr Res Org, Mbarara Zonal Agr Res &amp; Dev Inst, Mbarara, Uganda; [Olejnik, Janusz; Urbaniak, Marek; Ziemblinska, Klaudia] Poznan Univ Life Sci, Fac Environm Engn &amp; Mech Engn, Dept Construct &amp; Geoengn, Lab Meteorol, Poznan, Poland; [Opedal, Oystein H.] Lund Univ, Dept Biol, Lund, Sweden; [Pampuch, Timo; Scharnweber, Tobias; Smiljanic, Marko; Trouillier, Mario; Wilmking, Martin] Univ Greifswald, Inst Bot &amp; Landscape Ecol, Greifswald, Germany; [Panov, Alexey, V; Prokushkin, Anatoly S.; Sidenko, Nikita, V; Urban, Anastasiya, V; Zyryanov, Viacheslav, I] VN Sukachev Inst Forest SB RAS, Krasnoyarsk, Russia; [Partel, Meelis] Univ Tartu, Inst Ecol &amp; Earth Sci, Tartu, Estonia; [Pearse, William D.; Simpson, Elizabeth; Stemkovski, Michael] Utah State Univ, Dept Biol, Logan, UT 84322 USA; [Pearse, William D.; Simpson, Elizabeth; Stemkovski, Michael] Utah State Univ, Ecol Ctr, Logan, UT 84322 USA; [Pearse, William D.] Imperial Coll, Dept Life Sci, Ascot, Berks, England; [Pellissier, Loic; Pitteloud, Camille] Swiss Fed Inst Technol, Dept Environm Syst Sci, Landscape Ecol, Inst Terr Ecosyst, Zurich, Switzerland; [Pellissier, Loic; Pitteloud, Camille] Swiss Fed Res Inst WSL, Unit Land Change Sci, Birmensdorf, Switzerland; [Phartyal, Shyam S.] Nalanda Univ, Sch Ecol &amp; Environm Studies, Rajgir, India; [Phoenix, Gareth K.] Univ Sheffield, Sch Biosci, Sheffield, S Yorkshire, England; [Pio, Casimiro] Univ Aveiro, CESAM, Aveiro, Portugal; [Pio, Casimiro] Univ Aveiro, Dept Environm, Aveiro, Portugal; [Pitacco, Andrea] Univ Padua, Dept Agron Food Nat Resources Anim &amp; Environm, Legnaro, Italy; [Poulenard, Jerome] Univ Savoie Mt Blanc, Univ Grenoble Alpes, CNRS, EDYTEM, Chambery, France; [Poyatos, Rafael] Univ Autonoma Barcelona, Barcelona, Spain; [Puchalka, Radoslaw] Nicolaus Copernicus Univ, Fac Biol &amp; Vet Sci, Dept Ecol &amp; Biogeog, Torun, Poland; [Puchalka, Radoslaw] Nicolaus Copernicus Univ, Ctr Climate Change Res, Torun, Poland; [Puscas, Mihai; Turtureanu, Pavel Dan] Babes Bolyai Univ, A Borza Bot Garden, Cluj Napoca, Romania; [Puscas, Mihai] Babes Bolyai Univ, Fac Biol &amp; Geol, Dept Taxon &amp; Ecol, Cluj Napoca, Romania; [Puscas, Mihai; Turtureanu, Pavel Dan] Babes Bolyai Univ, EG Racovi Inst, Cluj Napoca, Romania; [Randall, Krystal; Robinson, Sharon A.] Univ Wollongong, Sch Earth Atmospher &amp; Life Sci, Securing Antarct Environm Future, Wollongong, NSW, Australia; [Remmers, Wolfram; Stoll, Stefan] Univ Appl Sci Trier, Environm Campus Birkenfeld, Birkenfeld, Germany; [Renault, David] Inst Univ France, Paris, France; [Robroek, Bjorn J. M.] Radboud Univ Nijmegen, Radboud Inst Environm &amp; Biol Sci, Aquat Ecol &amp; Environm Biol, Nijmegen, Netherlands; [Rocha, Adrian, V] Univ Notre Dame, Environm Change Initiat, Notre Dame, IN 46556 USA; [Rossi, Christian; Wipf, Sonja] Swiss Natl Pk, Chaste Planta, Zernez, Switzerland; [Rossi, Christian] Univ Zurich, Dept Geog, Remote Sensing Labs, Zurich, Switzerland; [Roupsard, Olivier] CIRAD, UMR Eco &amp; Sols, Dakar, Senegal; [Roupsard, Olivier] Univ Montpellier, Inst Agro, INRAE, CIRAD,IRD,Eco &amp; Sols, Montpellier, France; [Roupsard, Olivier] Ctr IRD ISRA Bel Air, LMI IESOL, Dakar, Senegal; [Sagot, Clotilde] Parc Natl Ecrins Domaine Charance, Domaine De Charance, France; [Sallo Bravo, Jhonatan] Univ Nacl San Antonio Abad del Cusco, Cuzco, Peru; [Sallo Bravo, Jhonatan] Ctr Invest Biodiversidad Wilhelm L Johannsen, Cuzco, Peru; [Sallo Bravo, Jhonatan] Inst Nacl Pesquisas Amaz Nia, PDBFF, Biol Dynam Forest Fragments Project, Manaus, Amazonas, Brazil; [Sarneel, Judith M.] Umea Univ, Dept Ecol &amp; Environm Sci, Umea, Sweden; [Schmidt, Marius] Forschungszentrum Julich, Inst Bio &amp; Geosci IBG 3 Agrosphere, Julich, Germany; [Scholten, Thomas] Univ Tubingen, Dept Geosci, Chair Soil Sci &amp; Geomorphol, Tubingen, Germany; [Schmidt, Marius; Smith-Tripp, Sarah] Univ British Columbia, Dept Geog, Vancouver, BC, Canada; [Semenchuk, Philipp] Dept Bot &amp; Biodivers Res, Vienna, Austria; [Senior, Rebecca A.] Princeton Univ, Princeton Sch Publ &amp; Int Affairs, Princeton, NJ 08544 USA; [Serra-Diaz, Josep M.] Univ Lorraine, AgroParisTech, INRAE, Nancy, France; [Sewerniak, Piotr] Nicolaus Copernicus Univ, Fac Earth Sci &amp; Spatial Management, Dept Soil Sci &amp; Landscape Management, Torun, Poland; [Collier, Laura Siegwart] Pk Canada Agcy, Terra Nova Natl Pk, Glovertown, NF, Canada; [Siqueira, David P.] Univ Estadual Norte Fluminense, Rio De Janeiro, Brazil; [Sitkova, Zuzana] Forest Res Inst Zvolen, Natl Forest Ctr, Zvolen, Slovakia; [Smith, Stuart W.] Stockholm Univ, Dept Phys Geog, Stockholm, Sweden; [Somers, Ben] Dept Earth &amp; Environm Sci, Leuven, Belgium; [Souza, Jose Joao L. L.] Univ Fed Vicosa, Soil Sci Dept, Vicosa, MG, Brazil; [Souza, Bartolomeu Israel] Univ Fed Paraiba, Dept Geociencias, Cidade Univ, Joao Pessoa, Paraiba, Brazil; [Dias, Arildo Souza] Goethe Univ Frankfurt, Dept Phys Geog, Frankfurt, Germany; [Spasojevic, Marko J.] Univ Calif Riverside, Dept Evolut Ecol &amp; Organismal Biol, Riverside, CA 92521 USA; [Speed, James D. M.] Norwegian Univ Sci &amp; Technol, NTNU Univ Museum, Dept Nat Hist, Trondheim, Norway; [Spicher, Fabien; Lenoir, Jonathan] Univ Picardie Jules Verne, UMR 7058 CNRS Ecol &amp; Dynam Syst Anthropises EDYSA, Amiens, France; [Stanisci, Angela] Univ Molise, Dipartimento Biosci &amp; Terr, EnvixLab, Termoli, Italy; [Steinbrecher, Rainer] Karlsruhe Inst Technol KIT, Inst Meteorol &amp; Climate Res IMK, Dept Atmospher Environm Res IFU, Garmisch Partenkirchen, Germany; [Stephan, Jorg G.] Swedish Univ Agr Sci, SLU Swedish Species Informat Ctr, Uppsala, Sweden; [Tagesson, Torbern] Univ Copenhagen, Dept Geosci &amp; Nat Resource Management, Copenhagen, Denmark; [Tanneberger, Franziska] Univ Greifswald, Partner Greifswald Mire Ctr, Inst Bot &amp; Landscape Ecol, Expt Plant Ecol, Greifswald, Germany; [Theurillat, Jean-Paul] Fdn JM Aubert, Champex Lac, Switzerland; [Theurillat, Jean-Paul] Univ Geneva, Dept Bot &amp; Biol Vegetale, Chambesy, Switzerland; [Thomas, Andrew D.] Aberystwyth Univ, Dept Geog &amp; Earth Sci, Aberystwyth, Dyfed, Wales; [Turtureanu, Pavel Dan] Babe Bolyai Univ, Ctr Systemat Biol Biodiversity &amp; Bioresources 3B, Cluj Napoca, Romania; [Tutton, Rosamond; Wang, Yifeng; Way, Robert G.] Queens Univ, Dept Geog &amp; Planning, Northern Environm Geosci Lab, Kingston, ON, Canada; [Ueyama, Masahito] Osaka Prefecture Univ, Grad Sch Life &amp; Environm Sci, Osaka, Japan; [Uogintas, Domas] Nat Res Ctr, Vilnius, Lithuania; [Ursu, Tudor-Mihai] Natl Inst Res &amp; Dev Biol Sci, Inst Biol Res Cluj Napoca, Bucharest, Romania; [Vaccari, Francesco Primo] CNR, Inst BioEcon, Florence, Italy; [Van de Vondel, Stijn] Univ Antwerp, Ecosyst Management Res Grp ECOBE, Antwerp, Belgium; [Van Geel, Maarten] Katholieke Univ Leuven, Dept Biol, Plant Conservat &amp; Populat Biol, Heverlee, Belgium; [Varlagin, Andrej] Russian Acad Sci, AN Severtsov Inst Ecol &amp; Evolut, Moscow, Russia; [Veen, G. F.] Netherlands Inst Ecol, Wageningen, Netherlands; [Veenendaal, Elmar] Wageningen Univ, Plant Ecol &amp; Nat Conservat Grp, Wageningen, Netherlands; [Venn, Susanna E.] Deakin Univ, Ctr Integrat Ecol, Sch Life &amp; Environm Sci, Burwood, Vic, Australia; [Verbeeck, Hans] Univ Ghent, Dept Environm, CAVElab Computat &amp; Appl Vegetat Ecol, Ghent, Belgium; [Verheijen, Frank G. A.] Univ Aveiro, Ctr Environm &amp; Marine Studies CESAM, Dept Environm &amp; Planning, Earth Surface Proc Team, Aveiro, Portugal; [Villar, Luis] IPE CSIC, Inst Pirena Ecol, Av Llano de la Victoria, Jaca, Huesca, Spain; [Vitale, Luca] CNR, Inst Agr &amp; Forestry Syst Mediterranean, Portici, Italy; [Vittoz, Pascal] Univ Lausanne, Fac Geosci &amp; Environm, Inst Earth Surface Dynam, Geopolis, Switzerland; [Xenakis, Georgios] Forest Res, Northern Res Stn, Roslin, Midlothian, Scotland; [Yang, Yan] Chinese Acad Sci, Inst Mt Hazards &amp; Environm, Chengdu, Peoples R China; [Yu, Zicheng] Northeast Normal Univ, Sch Geog Sci, MOE Key Lab Geog Proc &amp; Ecol Secur Changbai Mt, Changchun, Peoples R China; [Yu, Zicheng] Lehigh Univ, Dept Earth &amp; Environm Sci, Bethlehem, PA 18015 USA; [Yu, Kailiang] Princeton Univ, High Meadows Environm Inst, Princeton, NJ 08544 USA; [Zhang, Jian; Zhang, Zhaochen] East China Normal Univ, Sch Ecol &amp; Environm Sci, Zhejiang Tiantong Forest Ecosyst Natl Observat &amp;, Shanghai, Peoples R China; [Zimmermann, Reiner] Univ Bayreuth, Ecol Bot Gardens, Bayreuth, Germany; [Zong, Shengwei] Northeast Normal Univ, Sch Geog Sci, Key Lab Geog Proc &amp; Ecol Secur Changbai Mt, Minist Educ, Changchun, Peoples R China</t>
  </si>
  <si>
    <t>University of Antwerp; Swiss Federal Institutes of Technology Domain; ETH Zurich; Finnish Meteorological Institute; University of Helsinki; University of Wollongong; Australian Museum; Ghent University; University of Oulu; Czech Academy of Sciences; Institute of Botany of the Czech Academy of Sciences; Czech University of Life Sciences Prague; University of Exeter; York Saint John University; KU Leuven; State University System of Florida; University of Florida; Smithsonian Institution; Smithsonian Environmental Research Center; State University System of Florida; University of Florida; Ilia State University; Tarbiat Modares University; Vrije Universiteit Amsterdam; Qatar University; University of Antwerp; Swiss Federal Institutes of Technology Domain; ETH Zurich; UK Centre for Ecology &amp; Hydrology (UKCEH); Lund University; European Commission Joint Research Centre; EC JRC ISPRA Site; Siberian Federal University; University Nacional Cuyo Mendoza; Consejo Nacional de Investigaciones Cientificas y Tecnicas (CONICET); University of Oslo; Aarhus University; Aarhus University; Philipps University Marburg; Slovak Academy of Sciences; Ghent University; Centre National de la Recherche Scientifique (CNRS); Universite de Rennes; Fondazione Edmund Mach; Pontificia Universidad Javeriana; University Hohenheim; University of Bayreuth; Norwegian Institute Nature Research; University of Gothenburg; University of Gothenburg; University of Gothenburg; University of California System; University of California Berkeley; Helmholtz Association; Alfred Wegener Institute, Helmholtz Centre for Polar &amp; Marine Research; Humboldt University of Berlin; Institute Nacional de Pesquisas da Amazonia; Universite Paris Saclay; INRAE; AgroParisTech; Universite Paris Cite; Institute Nacional de Pesquisas da Amazonia; Universidade Federal de Lavras; Ordu University; Eberhard Karls University of Tubingen; University of Insubria; University of Parma; University of Barcelona; Centro de Investigacion Ecologica y Aplicaciones Forestales (CREAF-CERCA); Universidad Catolica de Temuco; Universidad Catolica de Temuco; Leipzig University; Poznan University of Life Sciences; Universite Savoie Mont Blanc; Communaute Universite Grenoble Alpes; Universite Grenoble Alpes (UGA); Centre National de la Recherche Scientifique (CNRS); Centre National de la Recherche Scientifique (CNRS); Communaute Universite Grenoble Alpes; Universite Grenoble Alpes (UGA); Universite Savoie Mont Blanc; Melbourne Genomics Health Alliance; Monash University; University of Cambridge; Technical University Zvolen; Universidad Austral de Chile; UK Research &amp; Innovation (UKRI); Natural Environment Research Council (NERC); NERC British Antarctic Survey; UiT The Arctic University of Tromso; Regional Environmental Protection Agency - Italy; University of Notre Dame; Roma Tre University; Italfarmaco; Stockholm University; University of Edinburgh; Universidad de Alcala; Technische Universitat Dresden; Zurich University of Applied Sciences; University of Bayreuth; VITO; Swiss Federal Institutes of Technology Domain; Swiss Federal Institute for Forest, Snow &amp; Landscape Research; University of L'Aquila; University of Houston System; University of Houston; University of South Bohemia Ceske Budejovice; Umea University; Czech Academy of Sciences; Global Change Research Centre of the Czech Academy of Sciences; University of Western Australia; University of Innsbruck; Imperial College London; INRAE; University of Cagliari; University of Granada; University of Oviedo; University of Hamburg; Dartmouth College; University of Cambridge; Swiss Federal Institutes of Technology Domain; Swiss Federal Institute for Forest, Snow &amp; Landscape Research; Swiss Federal Institutes of Technology Domain; Swiss Federal Institute for Forest, Snow &amp; Landscape Research; Universidad de Concepcion; Universidad Adventista de Chile; Consejo Superior de Investigaciones Cientificas (CSIC); University of Liege; CIHEAM; CIHEAM IAM Chania; VITO; KU Leuven; Max Planck Society; UK Research &amp; Innovation (UKRI); Biotechnology and Biological Sciences Research Council (BBSRC); Rothamsted Research; Norwegian University of Science &amp; Technology (NTNU); University of Edinburgh; Swedish University of Agricultural Sciences; University of Hong Kong; University of Insubria; Institut Agro; Montpellier SupAgro; CIRAD; Institut de Recherche pour le Developpement (IRD); Institut Agro; Montpellier SupAgro; CIRAD; Institut de Recherche pour le Developpement (IRD); INRAE; Universite de Montpellier; Senckenberg Gesellschaft fur Naturforschung (SGN); University of Duisburg Essen; Martin Luther University Halle Wittenberg; University of Bergen; University of Bergen; Bjerknes Centre for Climate Research; University of Kashmir; University of Innsbruck; Universite de Bordeaux; INRAE; University of Liege; BOKU University; Memorial University Newfoundland; Simon Fraser University; University of Zaragoza; HAWK University of Applied Sciences &amp; Arts Hildesheim Holzminden Gottingen; University of Gottingen; Aarhus University; Masaryk University Brno; Shinshu University; Aarhus University; Swedish University of Agricultural Sciences; Forest Research Institute; University of Bayreuth; Consejo Superior de Investigaciones Cientificas (CSIC); CSIC - Instituto Pirenaico de Ecologia (IPE); University of Iceland; University of Bristol; University of Stirling; Czech University of Life Sciences Prague; Lund University; University of Gottingen; Hungarian Academy of Sciences; Hungarian Research Network; HUN-REN Centre for Ecological Research; Universitat Greifswald; Austrian Academy of Sciences; BOKU University; University Centre Svalbard (UNIS); Montana State University System; Montana State University Bozeman; University of South Bohemia Ceske Budejovice; Melbourne Genomics Health Alliance; Monash University; Ghent University; Finnish Meteorological Institute; University of Helsinki; University of Granada; Technical University Zvolen; Open University of Cyprus; Aarhus University; Mendel University in Brno; Ministry of Education &amp; Science of Ukraine; Odesa I. I. Mechnikov National University; Aarhus University; Institute Nacional de Pesquisas da Amazonia; University of Antwerp; University of British Columbia; University of British Columbia; Russian Academy of Sciences; Institute of Plant &amp; Animal Ecology of the Russian Academy of Sciences; University of Pavia; Free University of Bozen-Bolzano; University of Freiburg; University of New South Wales Sydney; University of Sevilla; Washington University (WUSTL); Universidade de Sao Paulo; Universidade Estadual de Campinas; Consiglio Nazionale delle Ricerche (CNR); Istituto per la BioEconomia (IBE-CNR); Carleton University; Environment &amp; Climate Change Canada; Canadian Wildlife Service; National Wildlife Research Centre - Canada; Deakin University; European Academy of Bozen-Bolzano; University Hohenheim; Consejo Nacional de Investigaciones Cientificas y Tecnicas (CONICET); Universidad Nacional de San Luis; Consejo Nacional de Investigaciones Cientificas y Tecnicas (CONICET); Universidad Nacional del Comahue; Centro de Investigacion Ecologica y Aplicaciones Forestales (CREAF-CERCA); Consejo Superior de Investigaciones Cientificas (CSIC); Centro de Investigacion Ecologica y Aplicaciones Forestales (CREAF-CERCA); University of Barcelona; Poznan University of Life Sciences; Lund University; Universitat Greifswald; Russian Academy of Sciences; Krasnoyarsk Science Center of the Siberian Branch of the Russian Academy of Sciences; Sukachev Institute of Forest, Siberian Branch, Russian Academy of Sciences; University of Tartu; Tartu University Institute of Ecology &amp; Earth Sciences; Utah System of Higher Education; Utah State University; Utah System of Higher Education; Utah State University; Imperial College London; Swiss Federal Institutes of Technology Domain; ETH Zurich; Swiss Federal Institutes of Technology Domain; Swiss Federal Institute for Forest, Snow &amp; Landscape Research; University of Sheffield; Universidade de Aveiro; Universidade de Aveiro; University of Padua; Communaute Universite Grenoble Alpes; Universite Grenoble Alpes (UGA); Centre National de la Recherche Scientifique (CNRS); Universite Savoie Mont Blanc; Autonomous University of Barcelona; Nicolaus Copernicus University; Nicolaus Copernicus University; Babes Bolyai University from Cluj; Babes Bolyai University from Cluj; Babes Bolyai University from Cluj; University of Wollongong; Institut Universitaire de France; Radboud University Nijmegen; University of Notre Dame; University of Zurich; CIRAD; INRAE; Institut Agro; Montpellier SupAgro; CIRAD; Institut de Recherche pour le Developpement (IRD); Universite de Montpellier; Universidad Nacional de San Antonio Abad del Cusco; Umea University; Helmholtz Association; Research Center Julich; Eberhard Karls University of Tubingen; University of British Columbia; Princeton University; INRAE; Universite de Lorraine; AgroParisTech; Nicolaus Copernicus University; Universidade Estadual do Norte Fluminense; National Forest Center - Slovakia; Stockholm University; Universidade Federal de Vicosa; Universidade Federal da Paraiba; Goethe University Frankfurt; University of California System; University of California Riverside; Norwegian University of Science &amp; Technology (NTNU); Universite de Picardie Jules Verne (UPJV); University of Molise; Helmholtz Association; Karlsruhe Institute of Technology; Swedish University of Agricultural Sciences; University of Copenhagen; Universitat Greifswald; University of Geneva; Aberystwyth University; Babes Bolyai University from Cluj; Queens University - Canada; Osaka Metropolitan University; Nature Research Center - Lithuania; National Research Institute for Biological Sciences; Consiglio Nazionale delle Ricerche (CNR); Istituto per la BioEconomia (IBE-CNR); University of Antwerp; KU Leuven; Russian Academy of Sciences; Saratov Scientific Center of the Russian Academy of Sciences; Severtsov Institute of Ecology &amp; Evolution; Royal Netherlands Academy of Arts &amp; Sciences; Netherlands Institute of Ecology (NIOO-KNAW); Wageningen University &amp; Research; Deakin University; Ghent University; Universidade de Aveiro; Consejo Superior de Investigaciones Cientificas (CSIC); CSIC - Instituto Pirenaico de Ecologia (IPE); Consiglio Nazionale delle Ricerche (CNR); Istituto per i Sistemi Agricoli e Forestali del Mediterraneo (ISAFoM-CNR); University of Lausanne; Chinese Academy of Sciences; Institute of Mountain Hazards &amp; Environment, CAS; Northeast Normal University - China; Lehigh University; Princeton University; East China Normal University; University of Bayreuth; Northeast Normal University - China</t>
  </si>
  <si>
    <t>Lembrechts, JJ (corresponding author), Univ Antwerp, Res Grp PLECO Plants &amp; Ecosyst, Antwerp, Belgium.;Lenoir, J (corresponding author), Univ Picardie Jules Verne, UMR 7058 CNRS Ecol &amp; Dynam Syst Anthropises EDYSA, Amiens, France.</t>
  </si>
  <si>
    <t>jonas.lembrechts@uantwerpen.be; jonathan.lenoir@u-picardie.fr</t>
  </si>
  <si>
    <t>Eklundh, Lars R/G-4253-2010; von Oppen, Jonathan/AAT-9946-2020; Kopecký, Martin/A-1466-2009; Boike, Julia/JZT-8129-2024; Hik, David S/B-3462-2009; Sitková, Zuzana/ABB-5543-2020; Urban, Josef/A-8754-2013; Puscas, Mihai/C-4689-2012; Fernández-Pascual, Eduardo/A-4387-2013; Verheijen, Frank G.A./F-5381-2011; Homeier, Jürgen/G-1662-2011; Bence, Kovács/ISU-3530-2023; Kreyling, Juergen/G-4697-2018; Robinson, Sharon/B-2683-2008; Serra-Diaz, JM/F-7973-2011; Hamid, Maroof/AAA-6230-2022; Normand, Signe/A-1561-2012; Buysse, Pauline/F-8273-2017; , LWF/JJE-8229-2023; Svoboda, Miroslav/E-6860-2010; Garden, Alexandru Borza Botanic/J-8087-2012; Niittynen, Pekka/AFJ-8164-2022; Buchmann, Nina/E-6095-2011; Pauchard, Anibal/B-5034-2008; Orsenigo, Simone/E-5961-2017; Dahlberg, Carl Johan/AAA-4465-2022; Rubtsov, Alexey/AAD-7309-2019; Poyatos, Rafael/F-8305-2010; Zhang, Zhaochen/AHA-3977-2022; Wohlfahrt, Georg/D-2409-2009; Xenakis, Georgios/HOC-7707-2023; Zyrianov, Viacheslav/AAP-2023-2020; Gobin, Anne/A-4986-2009; Medinets, Volodymyr I/H-2685-2018; poulenard, jerome/I-2491-2012; Milbau, Ann/AAF-3022-2020; Manolaki, Paraskevi/K-2342-2016; Zhang, Jian/JAN-8204-2023; Merinero, Sonia/U-1509-2019; Macek, Martin/A-3371-2016; Lorite, Juan/F-4690-2011; Matula, Radim/HRB-4806-2023; Wilmking, Martin/AAV-9310-2020; Klinges, David/GWC-7196-2022; Muffler, Lena/HPC-5837-2023; van den Brink, Liesbeth/HLP-7678-2023; Scott, Tony/AAY-8995-2021; Scholten, Thomas/E-4024-2012; Seeber, Julia/R-3422-2017; Vandvik, Vigdis/C-1924-2008; Manco, Antonio/GMX-2574-2022; de Souza, José João Lelis Leal/AAL-7291-2021; SPASOJEVIC, MARKO/AAO-4307-2020; Chojnicki, Bogdan Heronim/ABD-6978-2020; Jucker, Tommaso/S-4724-2017; Maclean, Ilya M D/C-4014-2009; Urbaniak, Marek/E-8764-2012; Portillo-Estrada, Miguel/B-5423-2010; Candan, Onur/P-8690-2014; Iwata, Hiroki/B-7679-2008; Goulding, Keith WT/B-2635-2012; Björk, Robert/I-9772-2019; Stephan, Jörg G./C-1618-2015; Muñoz-Rojas, Miriam/AAB-5578-2020; sarneel, judith M./G-5248-2010; Olesen, Jørgen E/C-2905-2016; Hederová, Lucia/F-9273-2019; Stoll, Stefan/D-5278-2011; Kelly, Julia/AAM-3254-2021; Fazlioglu, Fatih/A-4824-2018; Luoto, Miska/E-6693-2014; Di Musciano, Michele/GWV-3066-2022; Randall, Krystal L./KHY-2384-2024; Berauer, Bernd Josef/AAH-9117-2021; Canessa, Rafaella/AHD-3274-2022; Scheffers, Brett R/L-2585-2014; Helfter, Carole/A-1835-2010; Bader, Maaike Y./M-7998-2013; Bazzichetto, Manuele/K-5616-2019; Way, Robert G/B-1417-2013; Prokushkin, Anatoly S/U-1603-2017; Laska, Kamil/L-7875-2013; Lohila, Annalea/C-7307-2014; Sewerniak, Piotr/M-3797-2017; Meysman, Filip JR/C-9585-2009; Stiegler, Christian/GWC-5684-2022; Dengler, Jürgen/B-6604-2008; Speed, James D. M./C-1099-2009; Lembrechts, Jonas/E-7651-2014; Kljun, Natascha/B-8467-2008; PHARTYAL, SHYAM S./H-4229-2019; Montagnani, Leonardo/F-1837-2016; crowther, thomas w/B-4807-2012; Manco, Antonio/GQH-7014-2022; Pavelka, Marian/I-8754-2012; Myers-Smith, Isla H/D-1529-2013; Aalto, Juha/O-1472-2019; Choler, Philippe/A-7270-2008; Urban, Anastasiya/AAX-6507-2021; Penuelas, Josep/D-9704-2011; Belelli Marchesini, Luca/M-3554-2014; roupsard, olivier/C-1219-2008; Forte, T'ai G. W./ABC-4349-2021; Hrbacek, Filip/ABG-4319-2020; Weigel, Robert/U-1954-2019; De Frenne, Pieter/N-4969-2014; Kotowska, Martyna/I-8152-2019; Boike, Julia/R-4766-2016; Nosetto, Marcelo/JSK-2886-2023; Rossi, Christian/GSE-2171-2022; Chown, Steven/ABD-7646-2021; Della Chiesa, Stefano/ABG-6404-2021; Dušek, Jiří/D-1672-2014; Olesen, Jørgen E./Y-2857-2019; Saccone, Patrick/AHB-2366-2022; Smith, Stuart William/AAP-7996-2021; Mackenzie, Roy/AAU-7621-2020; Jump, Alistair S/B-5746-2012; Risch, Anita C./A-9836-2012; Carbognani, Michele/H-6644-2019; Di Musciano, Michele/HJY-2563-2023; Medinets, Sergiy/J-8770-2016; Knohl, Alexander/F-9453-2014; Bjerke, Jarle W./AFU-7502-2022; Scott, Tony/C-1291-2016; Bokhorst, Stef/D-1858-2009; Fanin, Nicolas/H-5501-2019; Sallo-Bravo, Jhonatan/HKM-5812-2023; De Pablo, Miguel Ángel/J-6442-2014; Bence, Kovács/GYU-9061-2022; Ueyama, Masahito/O-1294-2018; Guillemot, Joannès/O-8701-2016; Khuroo, Anzar Ahmad/D-1216-2015; Opedal, Øystein H./H-7137-2019; Backes, Amanda Ratier/AAU-4734-2020; Puchalka, Radoslaw/G-6188-2014; Plichta, Roman/GZK-8434-2022; Arzac, Alberto/F-1400-2016; Panov, Alexey/AAU-4751-2020; Abedi, Mehdi/I-4855-2014; Van Meerbeek, Koenraad/C-9007-2016; Haider, Sylvia/M-2990-2014; Haesen, Stef/HSF-3405-2023; Čiliak, Marek/CAF-0983-2022; Frei, Esther/JKH-7073-2023; Schmidt, Marius/I-8746-2012; Fenu, Giuseppe/AAR-8439-2021; Pärtel, Meelis/D-5493-2012; Siqueira, David/K-5531-2018; Kelly, Julia/JHU-3273-2023; Petit Bon, Matteo/ABH-2564-2020; Nuñez, Martin A./B-2735-2010; Larson, Keith William/G-5585-2010; Dias, Arildo/HNC-2074-2023; Brůna, Josef/A-6601-2010; Barrio, Isabel C/F-8566-2010; Meusburger, Katrin/AHA-6763-2022; Fernández-Pascual, Eduardo/AAQ-6315-2020; Steinwandter, Michael/J-8881-2019; six, johan/J-5228-2015; Wild, Jan/G-2380-2010; Juszczak, Radoslaw/AAH-9336-2019; Kovács, Bence/AAF-9756-2019; Varlagin, Andrej/A-6568-2012; Peichl, Matthias/A-2087-2014; Jastrzębowski, Szymon/U-8138-2018; Eisenhauer, Nico/I-5932-2012; Theurillat, Jean-Paul/ABV-4830-2022; Wipf, Sonja/A-5075-2010; Convey, Peter/AAV-5728-2020; Altman, Jan/B-4305-2015; Jiménez, Juan J./B-9058-2013; Souza, José João Lelis Leal de/G-5960-2018; Lenoir, Jonathan/AAE-8441-2019; Shekhar, Ankit/AAA-1266-2020; Alexander, Jake/P-2580-2014; Jonsdottir, Ingibjorg/L-8952-2015; Verbeeck, Hans/A-2106-2009; Tagesson, Torbern/AGG-5627-2022; Haase, Peter/A-5644-2011; Campoe, Otávio C./B-5102-2013; Kemppinen, J./AAD-8393-2020; Michaletz, Sean/AAO-8175-2021; Malfasi, Francesco/JTS-5575-2023; Garcia, Maria Begoña/B-6630-2015; Treier, Urs Albert/A-1913-2012; Goeckede, Mathias/C-1027-2017; Hoffren, Raul/HKE-5669-2023; Wingate, Lisa/G-5575-2015; Pitacco, Andrea/K-9152-2013; Plichta, Roman/E-6935-2014; Ujhazyova, Mariana/V-4873-2017; Nouvellon, Yann/C-9295-2016; Andrews, Christopher/I-9297-2012; Contador, Tamara/Q-1914-2018; Malis, Frantisek/R-8687-2016; Ursu, Tudor-Mihai/C-5475-2016; Ujhazy, Karol/R-8588-2016; Casanova-Katny, Angelica/M-3994-2014; Alatalo, Juha/C-1269-2018; Hoye, Toke T./A-7701-2008; le Maire, Guerric/P-6378-2014; Svatek, Martin/C-1890-2014</t>
  </si>
  <si>
    <t>von Oppen, Jonathan/0000-0001-6346-2964; Kopecký, Martin/0000-0002-1018-9316; Boike, Julia/0000-0002-5875-2112; Sitková, Zuzana/0000-0001-6354-6105; Urban, Josef/0000-0003-1730-947X; Fernández-Pascual, Eduardo/0000-0002-4743-9577; Verheijen, Frank G.A./0000-0001-6741-4249; Homeier, Jürgen/0000-0001-5676-3267; Robinson, Sharon/0000-0002-7130-9617; Hamid, Maroof/0000-0003-3406-5008; Buysse, Pauline/0000-0002-7664-7797; Svoboda, Miroslav/0000-0003-4050-3422; Niittynen, Pekka/0000-0002-7290-029X; Buchmann, Nina/0000-0003-0826-2980; Pauchard, Anibal/0000-0003-1284-3163; Orsenigo, Simone/0000-0003-0348-9115; Dahlberg, Carl Johan/0000-0003-0271-3306; Rubtsov, Alexey/0000-0002-9663-4344; Poyatos, Rafael/0000-0003-0521-2523; Wohlfahrt, Georg/0000-0003-3080-6702; Xenakis, Georgios/0000-0002-2950-4101; Zyrianov, Viacheslav/0000-0002-1748-4801; Gobin, Anne/0000-0002-3742-7062; poulenard, jerome/0000-0003-0810-0308; Manolaki, Paraskevi/0000-0003-3958-0199; Zhang, Jian/0000-0003-0589-6267; Merinero, Sonia/0000-0002-1405-6254; Macek, Martin/0000-0002-5609-5921; Lorite, Juan/0000-0003-4617-8069; Matula, Radim/0000-0002-7460-0100; Wilmking, Martin/0000-0003-4964-2402; Muffler, Lena/0000-0001-8227-7297; van den Brink, Liesbeth/0000-0003-0313-8147; Scott, Tony/0000-0002-6631-0672; Seeber, Julia/0000-0003-0189-7377; Vandvik, Vigdis/0000-0003-4651-4798; Manco, Antonio/0000-0002-3677-4134; de Souza, José João Lelis Leal/0000-0003-4670-6626; SPASOJEVIC, MARKO/0000-0003-1808-0048; Chojnicki, Bogdan Heronim/0000-0002-9012-4060; Jucker, Tommaso/0000-0002-0751-6312; Maclean, Ilya M D/0000-0001-8030-9136; Urbaniak, Marek/0000-0002-1225-9170; Portillo-Estrada, Miguel/0000-0002-0348-7446; Candan, Onur/0000-0002-9254-4122; Goulding, Keith WT/0000-0002-6465-1465; Björk, Robert/0000-0001-7346-666X; Stephan, Jörg G./0000-0001-6195-7867; Muñoz-Rojas, Miriam/0000-0002-9746-5191; Kelly, Julia/0000-0002-7370-1401; Fazlioglu, Fatih/0000-0002-4723-3640; Di Musciano, Michele/0000-0002-3130-7270; Randall, Krystal L./0000-0003-2507-1000; Berauer, Bernd Josef/0000-0002-9472-1532; Bader, Maaike Y./0000-0003-4300-7598; Bazzichetto, Manuele/0000-0002-9874-5064; Laska, Kamil/0000-0002-5199-9737; Sewerniak, Piotr/0000-0002-3071-3963; Meysman, Filip JR/0000-0001-5334-7655; Stiegler, Christian/0000-0002-0130-2401; Dengler, Jürgen/0000-0003-3221-660X; Speed, James D. M./0000-0002-0633-5595; Kljun, Natascha/0000-0001-9650-2184; PHARTYAL, SHYAM S./0000-0003-3266-6619; Montagnani, Leonardo/0000-0003-2957-9071; Pavelka, Marian/0000-0002-7339-3410; Myers-Smith, Isla H/0000-0002-8417-6112; Aalto, Juha/0000-0001-6819-4911; Choler, Philippe/0000-0002-9062-2721; Penuelas, Josep/0000-0002-7215-0150; Belelli Marchesini, Luca/0000-0001-8408-4675; roupsard, olivier/0000-0002-1319-142X; Forte, T'ai G. W./0000-0002-8685-5872; Hrbacek, Filip/0000-0001-5032-9216; Weigel, Robert/0000-0001-9685-6783; De Frenne, Pieter/0000-0002-8613-0943; Kotowska, Martyna/0000-0002-2283-5979; Boike, Julia/0000-0002-5875-2112; Della Chiesa, Stefano/0000-0002-6693-2199; Dušek, Jiří/0000-0001-6119-0838; Olesen, Jørgen E./0000-0002-6639-1273; Saccone, Patrick/0000-0001-8820-593X; Smith, Stuart William/0000-0001-9396-6610; Mackenzie, Roy/0000-0001-6620-1532; Risch, Anita C./0000-0003-0531-8336; Carbognani, Michele/0000-0001-7701-9859; Medinets, Sergiy/0000-0001-5980-1054; Knohl, Alexander/0000-0002-7615-8870; Bjerke, Jarle W./0000-0003-2721-1492; Scott, Tony/0000-0002-6631-0672; Fanin, Nicolas/0000-0003-4195-855X; Sallo-Bravo, Jhonatan/0000-0001-9007-4959; De Pablo, Miguel Ángel/0000-0002-4496-2741; Ueyama, Masahito/0000-0002-4000-4888; Khuroo, Anzar Ahmad/0000-0002-0251-2793; Opedal, Øystein H./0000-0002-7841-6933; Puchalka, Radoslaw/0000-0002-4764-0705; Van Meerbeek, Koenraad/0000-0002-9260-3815; Haider, Sylvia/0000-0002-2966-0534; Haesen, Stef/0000-0002-4491-4213; Čiliak, Marek/0000-0002-6720-9365; Frei, Esther/0000-0003-1910-7900; Schmidt, Marius/0000-0001-5292-7092; Pärtel, Meelis/0000-0002-5874-0138; Siqueira, David/0000-0002-0756-0153; Kelly, Julia/0000-0002-7370-1401; Petit Bon, Matteo/0000-0001-9829-8324; Nuñez, Martin A./0000-0003-0324-5479; Larson, Keith William/0000-0001-7089-524X; Brůna, Josef/0000-0002-4839-4593; Barrio, Isabel C/0000-0002-8120-5248; Meusburger, Katrin/0000-0003-4623-6249; Fernández-Pascual, Eduardo/0000-0002-4743-9577; Steinwandter, Michael/0000-0001-8545-6047; six, johan/0000-0001-9336-4185; Juszczak, Radoslaw/0000-0002-5212-7383; Kovács, Bence/0000-0002-8045-8489; Varlagin, Andrej/0000-0002-2549-5236; Jastrzębowski, Szymon/0000-0003-1239-4847; Eisenhauer, Nico/0000-0002-0371-6720; Wipf, Sonja/0000-0002-3492-1399; Convey, Peter/0000-0001-8497-9903; Altman, Jan/0000-0003-4879-5773; Jiménez, Juan J./0000-0003-2398-0796; Souza, José João Lelis Leal de/0000-0003-4670-6626; Lenoir, Jonathan/0000-0003-0638-9582; Shekhar, Ankit/0000-0003-0802-2821; Jonsdottir, Ingibjorg/0000-0003-3804-7077; Verbeeck, Hans/0000-0003-1490-0168; Campoe, Otávio C./0000-0001-9810-8834; Kemppinen, J./0000-0001-7521-7229; Michaletz, Sean/0000-0003-2158-6525; Malfasi, Francesco/0000-0002-2660-8327; Garcia, Maria Begoña/0000-0003-4231-6006; van den Hoogen, Johan/0000-0001-6624-8461; Treier, Urs Albert/0000-0003-4027-739X; Goeckede, Mathias/0000-0003-2833-8401; Hoffren, Raul/0000-0002-9123-304X; Wingate, Lisa/0000-0003-1921-1556; Kreyling, Juergen/0000-0001-8489-7289; Freeman, Erika/0000-0001-7161-6038; Somers, Ben/0000-0002-7875-107X; Okello, Joseph/0000-0003-4462-3923; Erickson, Todd/0000-0003-4537-0251; Souza, Bartolomeu/0000-0003-2173-8314; Pitacco, Andrea/0000-0002-7260-6242; Plichta, Roman/0000-0003-2442-8522; Ghosn, Dany/0000-0003-1898-9681; Ujhazyova, Mariana/0000-0002-5546-1547; Nouvellon, Yann/0000-0003-1920-3847; Aerts, Rien/0000-0001-6694-0669; Andrews, Christopher/0000-0003-2428-272X; Bjornsdottir, Katrin/0000-0001-7421-9441; Klisz, Marcin/0000-0001-9486-6988; Bell, Michael/0000-0002-3401-7746; Basham, Edmund/0000-0002-0167-7908; Bokhorst, Stef/0000-0003-0184-1162; Nosetto, Marcelo/0000-0002-9428-490X; De Souza Dias, Arildo/0000-0002-5495-3435; Morra di Cella, Umberto/0000-0003-4250-9705; Zhao, Peng/0000-0003-3289-5067; Ardo, Jonas/0000-0002-9318-0973; Yu, Zicheng/0000-0003-2358-2712; Lynn, Joshua/0000-0002-7190-7991; Fuentes-Lillo, Eduardo/0000-0001-5657-954X; Ammann, Christof/0000-0002-0783-5444; Lembrechts, Jonas/0000-0002-1933-0750; Radujkovic, Dajana/0000-0003-4981-5879; Contador, Tamara/0000-0002-0250-9877; Moriana Armendariz, Mikel/0000-0001-8251-1338; Malis, Frantisek/0000-0003-2760-6988; Ursu, Tudor-Mihai/0000-0002-4898-6345; Dimarco, Romina D./0000-0002-1751-0643; Crowther, Thomas/0000-0001-5674-8913; Ujhazy, Karol/0000-0002-0228-1737; Leihy, Rachel/0000-0001-9672-625X; Van de Vondel, Stijn/0000-0002-0223-7330; Casanova-Katny, Angelica/0000-0003-3860-1445; MONDONI, ANDREA/0000-0002-4605-6304; Campana Camargo, Jose Luis/0000-0003-0370-9878; Feigenwinter, Iris/0000-0001-7493-6790; Rossi, Christian/0000-0001-9983-8898; Govaert, Sanne/0000-0002-8939-1305; Thomas, Andrew/0000-0002-1360-1687; Pastor, Ada/0000-0002-7114-770X; Alatalo, Juha/0000-0001-5084-850X; Fenu, Giuseppe/0000-0003-4762-5043; Niedrist, Georg/0000-0002-7511-6273; Hoye, Toke T./0000-0001-5387-3284; le Maire, Guerric/0000-0002-5227-958X; Ogee, Jerome/0000-0002-3365-8584; Luoto, Miska/0000-0001-6203-5143; Svatek, Martin/0000-0003-2328-4627</t>
  </si>
  <si>
    <t>Research Foundation Flanders [G018919N, W001919N, 12P1819N]; DOB Ecology; University of Helsinki, Faculty of Science (MICROCLIM) [7510145]; European Research Council (ERC) under the European Union [FORMICA 757833]; Arctic Interactions at the University of Oulu; Academy of Finland [318930, 337552]; Maaja vesitekniikan tuki ry.; Tiina and Antti Herlin Foundation; Nordenskiold Samfundet; Societas pro Fauna et Flora Fennica; Czech Science Foundation [20-28119S, 20-05840Y, GA17-19376S, 21-11487S]; Czech Academy of Sciences [RVO 67985939]; National Geographic Society [9480-14, WW-240R-17]; CISSC (program ICRP) [2397]; INSF [96005914]; Scottish Government's Rural and Environment Science and Analytical Services Division; Qatar Petroleum [QUEX-CAS-QP-RD-18/19]; European Union's Horizon 2020 research and innovation program [678841]; Swiss National Science Foundation [172198, 193645, 31003A_176044]; Czech Ministry of Education, Youth and Sports [LTAUSA19137]; Ministry of Science and Higher Education of the Russian Federation [FSRZ-2020-0014]; Independent Research Fund Denmark [8021-00423B, 7027-00133B]; German Research Foundation [DFG- FZT 118, 202548816, TI 338/14-1, TI 338/14-2, BA 3843/6-1]; grant project VEGA of the Ministry of Education of the Slovak Republic; Slovak Academy of Sciences [2/0132/18]; Forestry Commission; Universidad Javeriana; Direccion General de Cambio Climatico del Gobierno de Aragon; European Union's Horizon 2020 research and innovation program under the Marie Skodowska-Curie Grant [657627]; SNF [407340_172433, 40FA40_154245, 20FI21_148992, 20FI20_173691]; EU [17841, 774124]; MCTI/CNPq/FNDCT [68/2013]; Project 'Como as florestas da Amazonia Central respondem as variacoes climaticas? Efeitos sobre dinamica florestal e sinergia com a fragmentacAo florestal'; Spanish government [CGL2016-78093-R]; ANID-FONDECYT [1181745]; National Science Foundation, Poland [UMO-2017/27/B/ST10/02228]; South African National Research Foundation; Australian Research Council; Slovak Research and Development Agency [APVV-19-0319]; Instituto Antartico Chileno [INACH_RT-48_16, INACH FR-0418]; CONICYT [PIA APOYO CCTE AFB170008, PIA AFB170008]; NERC; Norwegian Research Council [230970]; NERC E3 doctoral training partnership grant at the University of Edinburgh [NE/L002558/1]; Carnegie Trust for the Universities of Scotland; Gobern of Spain [PERMAPLANET CTM2009-10165-E, ANTARPERMA CTM2011-15565-E, PERMASNOW CTM2014-52021-R]; University of Alcala; Spanish Polar Committee; Autonomous Province of Bolzano (ITA); ScotNature; NERC National Capability LTS-S: UK-SCAPE [NE/R016429/1]; MSMT [LTAUSA18007]; Kempe Foundation [JCK-1112, JCK-1822]; Ministry of Education, Youth and Sports of the Czech Republic within the National Sustainability Programme I (NPU I) [LO1415]; project for national infrastructure support CzeCOS/ICOS [LM2015061]; GLORIA-EU [EVK2-CT2000-00056]; Tiroler Wissenschaftsfonds; University of Innsbruck; Sime Darby Foundation; Jardin Botanico Atlantico [SV-20-GIJON-JBA]; German Federal Ministry of Education and Research (BMBF) [01LL0912, 01LG1201M, 01LG1201N]; Fondecyt [11170516, 1180205]; ANID [PIA / BASAL FB210006]; National Parks (DYNBIO) [1656/2015]; Spanish Research Agency (VULBIMON) [CGL2017-90040-R]; Swiss National Science Foundation (ICOS-CH Phase 2) [20FI20_173691]; UK Biotechnology and Biological Research Council [206/D16053]; Research Foundation Flanders (FWO) [G0H1517N]; EU Horizon2020 INFRAIA project eLTER-PLUS [871128]; project LTER-CWN (FFG, FAMP;E Infrastrukturforderung) [858024]; Austrian Climate Research Program [ACRP7 - CentForCSink - KR14AC7K11960]; iDiv by the German Research Foundation [DFG- FZT 118, 202548816]; Baden-Wurttemberg Ministry of Science, Research and Arts; Weston Foundation; ArcticNet; Natural Sciences and Engineering Council (Canada) [RGPIN-06691]; Villum Foundation [17523]; Ministry of Education, Youth and Sports of the Czech Republic [LM2015078, VAN2020/01, CZ.02.1.01/0.0/0.0/16_013/0001708, LTT17033, LTT20017, INTER-TRANSFER LTT19018]; Bolin Centre for Climate Research, Stockholm University; Swedish Research Council FORMAS [2014-00530, 2018-00792, 2016-01187]; Swedish Forest Society Foundation [2018-485-Steg 2 2017]; German Federal Ministry of Education and Research BMBF [FKZ 031B0516C SUSALPS]; Oberfrankenstiftung [OFS FP00237]; Energy Research Fund [NYR-11 - 2019, NYR-18 - 2020]; UK NERC Independent Research Fellowship [NE/S01537X/1]; National Science Centre of Poland [2016/21/B/ST10/02271]; Polish National Centre for Research and Development [Pol-Nor/203258/31/2013]; MoEFCC, Govt of India (AICOPTAX project) [22018/12/2015/RE/Tax]; FORMAS [2018-01781, 2018-02700, 2019-00836]; research infrastructure ICOS-SE; National Research, Development and Innovation Fund of Hungary [K128441]; Programa Operativo FEDER 2018 [B1-RNM-163-UGR-18]; Norwegian Research Council (NORKLIMA grants) [184912, 244525]; CONICYT-PAI [79170119]; ANID-MPG [190029]; project MIUR PON Cluster OT4CLIMA; Stelvio National Park; AIAS-COFUND fellowship programme - Marie Skodowska- Curie actions under the European Union's Seventh Framework Pro-gramme for Research, Technological development and Demonstration [609033]; Aarhus University Research Foundation, Denmark; EU FP6 NitroEurope [17841]; EU FP7 ECLAIRE [282910]; Ministry of Education and Science of Ukraine [505, 550, 574, 602]; GEF-UNEP [NEC05348]; ENI CBC BSB PONTOS [BSB 889]; Netherlands Organization for Scientific Research [016.VICI.170.072]; New Frontiers in Research Fund-Exploration [NFRF-2018-02043]; NSERC; Australian Research Council Discovery Early Career Research Award [DE180100570]; National Science Foundation [DEB 1557094]; International Center for Advanced Renewable Energy and Sustainability (I-CARES) at Washington University in St. Louis; ForestGEO; Tyson Research Center; UK Natural Environment Research Council through the ShrubTundra Project [NE/M016323/1]; FORMAS; VR; Kempe Foundations - research infrastructure ICOS; Kempe Foundations - research infrastructure SITES; CONICET [PIP 112-201501-00609]; Spanish Ministry of Science [PID2019-110521GB-I00]; Catalan government [2017-1005]; French National Research Agency (ANR) [ANR-10-LABX-45]; General Directorate of State Forests, Warsaw, Poland; Max Planck Society (Germany); RFBR; Krasnoyarsk Territory; Krasnoyarsk Regional Fund of Science [20-45-242908]; Estonian Research Council [PRG609]; Knut and Alice Wallenberg Foundation [2015.0047]; Swedish Research Council (VR); fundacion Ramon Areces grant ELEMENTAL-CLIMATE; Svalbard Environmental Protection Fund [15/128]; Research Council of Norway [269957]; Humboldt Fellowship for Experienced Researchers; RFBR [18-05-60203-Arktika]; Polish National Science Centre [2017/27/B/NZ8/00316]; ODYSSEE project (PN-II-ID-JRP-RO-FR-2012) [ANR-13-ISV7-0004]; Australian Government Research Training Program Scholarship; Global Challenges program at the University of Wollongong; ARC the Australian Antarctic Division; INACH; project SUBANTECO IPEV 136 (French Polar Institute Paul-Emile Victor); Zone Atelier CNRS Antarctique et Terres Australes; SAD Region Bretagne (Project INFLICT); BiodivERsa 2019-2020 BioDivClim call 'ASICS' [ANR-20-EBI5-0004]; NSF [1556772]; EU-LEAP-Agri (RAMSES II); EU-DESIRA (CASSECS); EU-H2020 (SustainSahel); AGROPOLIS; TOTAL Foundations (DSCATT); CGIAR (GLDC); Russian Science Foundation [18-74-10048]; Vetenskapsradet [2014-04270]; ALTER-net multi-site grant, River LIFE project [LIFE08 NAT/S/000266]; Flexpeil; Polish Ministry of Science and Higher Education [N N305 304840]; ETH Zurich [FEVER ETH-27 19-1]; NSERC Canada Graduate Scholarship (Doctoral) Program; ArcticNet-NCE; Conselho Nacional de Desenvolvimento Cientifico e Tecnologico [141513/2017-9]; FundacAo Carlos Chagas Filho de Amparo a Pesquisa do Estado do Rio de Janeiro [E26/200.84/2019]; SRDA [APVV-16-0325, APVV-20-0365]; ERDF (CE LignoSilva) [ITMS 313011S735]; ETH Zurich; EU Horizon 2020 [641918]; German Terrestrial Environmental Observatories (TERENO) research program of the Helmholtz Association; Bavarian Ministry of the Environment and Public Health [UGV06080204000]; Deutsche Forschungsgemeinschaft (DFG, German Research Foundation) [192626868]; Swedish National Space Board (SNSB) [95/16]; CASSECS project by the European Union; UK Natural Environment Research Council (NERC) [NE/L002558/1]; MEMOIRE project [PN-III-P1-1.1-PD2016-0925]; Arctic Challenge for Sustainability II (ArCS II) [JPMXD1420318865]; Romanian Ministry of Education and Research (CCCDI - UEFISCDI) [PN-III-P2-2.1-PED-2019-4924, PN2019-2022/19270201, 25N BIODIVERS 3-BIOSERV]; RSF [21-14-00209.]; Dutch Research Council NWO [863.14.013]; Australian Research Council [DE140101611]; Portuguese Science Foundation (FCT) [CEECIND/02509/2018]; CESAM [UIDP/50017/2020+UIDB/50017/2020]; FCT/MCTES; FEDER, within the PT2020 Partnership Agreement; Compete 2020; Spanish Ministry of Science and Innovation [FPU17/05869]; Swiss Federal Office for the Environment (FOEN); Giacomi foundation; National Natural Science Foundation of China [41861134039, 41941015, 41877458]; Agence Nationale de la Recherche (ANR) [ANR-19-CE32-0005-01]; Centre National de la Recherche Scientifique (CNRS); Structure Federative de Recherche (SFR) Condorcet (FR CNRS 3417: CREUSE); EU INTERACT program; Inuit of Nunatsiavut; Co-management Board of Torngat Mountains National Park; Saxon Switzerland National Park Administration; Bavarian Forest National Park administration; BECC - Biodiversity and Ecosystem services in a Changing Climate; Research Foundation Flanders (FWO-SBO) [S000619N]; Marie Curie Actions (MSCA) [657627] Funding Source: Marie Curie Actions (MSCA); Formas [2014-00530, 2016-01187, 2018-00792] Funding Source: Formas; Australian Research Council [DE140101611] Funding Source: Australian Research Council; Swiss National Science Foundation (SNF) [31003A_176044] Funding Source: Swiss National Science Foundation (SNF); Swedish Research Council [2014-04270] Funding Source: Swedish Research Council; Agence Nationale de la Recherche (ANR) [ANR-20-EBI5-0004, ANR-13-ISV7-0004] Funding Source: Agence Nationale de la Recherche (ANR); Swedish National Space Agency (SNSA) [95/16, 95/16] Funding Source: Swedish National Space Agency (SNSA); NERC [NE/R016429/1, bas0100036, NE/M016323/1, NE/S01537X/1] Funding Source: UKRI; Vinnova [2016-01187, 2018-00792, 2014-04270] Funding Source: Vinnova</t>
  </si>
  <si>
    <t>Research Foundation Flanders(FWO); DOB Ecology; University of Helsinki, Faculty of Science (MICROCLIM); European Research Council (ERC) under the European Union(European Research Council (ERC)); Arctic Interactions at the University of Oulu; Academy of Finland(Research Council of Finland); Maaja vesitekniikan tuki ry.; Tiina and Antti Herlin Foundation; Nordenskiold Samfundet; Societas pro Fauna et Flora Fennica; Czech Science Foundation(Grant Agency of the Czech Republic); Czech Academy of Sciences(Czech Academy of Sciences); National Geographic Society(National Geographic Society); CISSC (program ICRP); INSF(Iran National Science Foundation (INSF)); Scottish Government's Rural and Environment Science and Analytical Services Division; Qatar Petroleum(Qatar National Research Fund (QNRF)); European Union's Horizon 2020 research and innovation program(Horizon 2020); Swiss National Science Foundation(Swiss National Science Foundation (SNSF)); Czech Ministry of Education, Youth and Sports(Ministry of Education, Youth &amp; Sports - Czech Republic); Ministry of Science and Higher Education of the Russian Federation; Independent Research Fund Denmark(Det Frie Forskningsrad (DFF)); German Research Foundation(German Research Foundation (DFG)); grant project VEGA of the Ministry of Education of the Slovak Republic; Slovak Academy of Sciences(Slovak Academy of Sciences); Forestry Commission; Universidad Javeriana; Direccion General de Cambio Climatico del Gobierno de Aragon; European Union's Horizon 2020 research and innovation program under the Marie Skodowska-Curie Grant; SNF; EU(European Union (EU)); MCTI/CNPq/FNDCT; Project 'Como as florestas da Amazonia Central respondem as variacoes climaticas? Efeitos sobre dinamica florestal e sinergia com a fragmentacAo florestal'; Spanish government(Spanish Government); ANID-FONDECYT; National Science Foundation, Poland; South African National Research Foundation(National Research Foundation - South Africa); Australian Research Council(Australian Research Council); Slovak Research and Development Agency(Slovak Research and Development Agency); Instituto Antartico Chileno; CONICYT(Comision Nacional de Investigacion Cientifica y Tecnologica (CONICYT)); NERC(UK Research &amp; Innovation (UKRI)Natural Environment Research Council (NERC)); Norwegian Research Council(Research Council of Norway); NERC E3 doctoral training partnership grant at the University of Edinburgh; Carnegie Trust for the Universities of Scotland; Gobern of Spain; University of Alcala; Spanish Polar Committee; Autonomous Province of Bolzano (ITA); ScotNature; NERC National Capability LTS-S: UK-SCAPE; MSMT(Ministry of Education, Youth &amp; Sports - Czech Republic); Kempe Foundation; Ministry of Education, Youth and Sports of the Czech Republic within the National Sustainability Programme I (NPU I); project for national infrastructure support CzeCOS/ICOS; GLORIA-EU; Tiroler Wissenschaftsfonds; University of Innsbruck; Sime Darby Foundation; Jardin Botanico Atlantico; German Federal Ministry of Education and Research (BMBF)(Federal Ministry of Education &amp; Research (BMBF)); Fondecyt(Comision Nacional de Investigacion Cientifica y Tecnologica (CONICYT)CONICYT FONDECYT); ANID; National Parks (DYNBIO); Spanish Research Agency (VULBIMON); Swiss National Science Foundation (ICOS-CH Phase 2)(Swiss National Science Foundation (SNSF)); UK Biotechnology and Biological Research Council(UK Research &amp; Innovation (UKRI)Biotechnology and Biological Sciences Research Council (BBSRC)); Research Foundation Flanders (FWO)(FWO); EU Horizon2020 INFRAIA project eLTER-PLUS; project LTER-CWN (FFG, FAMP;E Infrastrukturforderung); Austrian Climate Research Program; iDiv by the German Research Foundation; Baden-Wurttemberg Ministry of Science, Research and Arts; Weston Foundation; ArcticNet; Natural Sciences and Engineering Council (Canada)(Natural Sciences and Engineering Research Council of Canada (NSERC)); Villum Foundation(Villum Fonden); Ministry of Education, Youth and Sports of the Czech Republic(Ministry of Education, Youth &amp; Sports - Czech Republic); Bolin Centre for Climate Research, Stockholm University; Swedish Research Council FORMAS(Swedish Research Council Formas); Swedish Forest Society Foundation; German Federal Ministry of Education and Research BMBF(Federal Ministry of Education &amp; Research (BMBF)); Oberfrankenstiftung; Energy Research Fund; UK NERC Independent Research Fellowship(UK Research &amp; Innovation (UKRI)Natural Environment Research Council (NERC)); National Science Centre of Poland(National Science Centre, Poland); Polish National Centre for Research and Development; MoEFCC, Govt of India (AICOPTAX project); FORMAS(Swedish Research Council Formas); research infrastructure ICOS-SE; National Research, Development and Innovation Fund of Hungary; Programa Operativo FEDER 2018; Norwegian Research Council (NORKLIMA grants); CONICYT-PAI; ANID-MPG; project MIUR PON Cluster OT4CLIMA; Stelvio National Park; AIAS-COFUND fellowship programme - Marie Skodowska- Curie actions under the European Union's Seventh Framework Pro-gramme for Research, Technological development and Demonstration(European Union (EU)); Aarhus University Research Foundation, Denmark; EU FP6 NitroEurope(European Union (EU)); EU FP7 ECLAIRE(European Union (EU)Marie Curie Actions); Ministry of Education and Science of Ukraine; GEF-UNEP; ENI CBC BSB PONTOS; Netherlands Organization for Scientific Research(Netherlands Organization for Scientific Research (NWO)); New Frontiers in Research Fund-Exploration; NSERC(Natural Sciences and Engineering Research Council of Canada (NSERC)); Australian Research Council Discovery Early Career Research Award(Australian Research Council); National Science Foundation(National Science Foundation (NSF)); International Center for Advanced Renewable Energy and Sustainability (I-CARES) at Washington University in St. Louis; ForestGEO(Smithsonian InstitutionSmithsonian Tropical Research Institute); Tyson Research Center; UK Natural Environment Research Council through the ShrubTundra Project; FORMAS(Swedish Research Council Formas); VR(Swedish Research Council); Kempe Foundations - research infrastructure ICOS; Kempe Foundations - research infrastructure SITES; CONICET(Consejo Nacional de Investigaciones Cientificas y Tecnicas (CONICET)); Spanish Ministry of Science(Spanish Government); Catalan government; French National Research Agency (ANR)(Agence Nationale de la Recherche (ANR)Norwegian Agency for Development Cooperation - NORAD); General Directorate of State Forests, Warsaw, Poland; Max Planck Society (Germany)(Max Planck Society); RFBR(Russian Foundation for Basic Research (RFBR)); Krasnoyarsk Territory; Krasnoyarsk Regional Fund of Science; Estonian Research Council(Estonian Research Council); Knut and Alice Wallenberg Foundation(Knut &amp; Alice Wallenberg Foundation); Swedish Research Council (VR)(Swedish Research Council); fundacion Ramon Areces grant ELEMENTAL-CLIMATE; Svalbard Environmental Protection Fund; Research Council of Norway(Research Council of Norway); Humboldt Fellowship for Experienced Researchers; RFBR(Russian Foundation for Basic Research (RFBR)); Polish National Science Centre; ODYSSEE project (PN-II-ID-JRP-RO-FR-2012); Australian Government Research Training Program Scholarship(Australian GovernmentDepartment of Industry, Innovation and Science); Global Challenges program at the University of Wollongong; ARC the Australian Antarctic Division; INACH; project SUBANTECO IPEV 136 (French Polar Institute Paul-Emile Victor); Zone Atelier CNRS Antarctique et Terres Australes; SAD Region Bretagne (Project INFLICT); BiodivERsa 2019-2020 BioDivClim call 'ASICS'; NSF(National Science Foundation (NSF)); EU-LEAP-Agri (RAMSES II); EU-DESIRA (CASSECS); EU-H2020 (SustainSahel); AGROPOLIS; TOTAL Foundations (DSCATT)(Total SA); CGIAR (GLDC)(CGIAR); Russian Science Foundation(Russian Science Foundation (RSF)); Vetenskapsradet(Swedish Research Council); ALTER-net multi-site grant, River LIFE project; Flexpeil; Polish Ministry of Science and Higher Education(Ministry of Science and Higher Education, Poland); ETH Zurich(ETH Zurich); NSERC Canada Graduate Scholarship (Doctoral) Program(Natural Sciences and Engineering Research Council of Canada (NSERC)); ArcticNet-NCE; Conselho Nacional de Desenvolvimento Cientifico e Tecnologico(Conselho Nacional de Desenvolvimento Cientifico e Tecnologico (CNPQ)); FundacAo Carlos Chagas Filho de Amparo a Pesquisa do Estado do Rio de Janeiro(Fundacao Carlos Chagas Filho de Amparo a Pesquisa do Estado do Rio De Janeiro (FAPERJ)); SRDA; ERDF (CE LignoSilva)(European Union (EU)Marie Curie Actions); ETH Zurich(ETH Zurich); EU Horizon 2020(Horizon 2020); German Terrestrial Environmental Observatories (TERENO) research program of the Helmholtz Association; Bavarian Ministry of the Environment and Public Health; Deutsche Forschungsgemeinschaft (DFG, German Research Foundation)(German Research Foundation (DFG)); Swedish National Space Board (SNSB)(Swedish National Space Agency (SNSA)); CASSECS project by the European Union; UK Natural Environment Research Council (NERC)(UK Research &amp; Innovation (UKRI)Natural Environment Research Council (NERC)); MEMOIRE project; Arctic Challenge for Sustainability II (ArCS II); Romanian Ministry of Education and Research (CCCDI - UEFISCDI)(Consiliul National al Cercetarii Stiintifice (CNCS)Unitatea Executiva pentru Finantarea Invatamantului Superior, a Cercetarii, Dezvoltarii si Inovarii (UEFISCDI)); RSF(Russian Science Foundation (RSF)); Dutch Research Council NWO(Netherlands Organization for Scientific Research (NWO)); Australian Research Council(Australian Research Council); Portuguese Science Foundation (FCT)(Fundacao para a Ciencia e a Tecnologia (FCT)); CESAM; FCT/MCTES(Fundacao para a Ciencia e a Tecnologia (FCT)); FEDER, within the PT2020 Partnership Agreement(Marie Curie Actions); Compete 2020; Spanish Ministry of Science and Innovation(Spanish Government); Swiss Federal Office for the Environment (FOEN); Giacomi foundation; National Natural Science Foundation of China(National Natural Science Foundation of China (NSFC)); Agence Nationale de la Recherche (ANR)(Agence Nationale de la Recherche (ANR)); Centre National de la Recherche Scientifique (CNRS)(Centre National de la Recherche Scientifique (CNRS)); Structure Federative de Recherche (SFR) Condorcet (FR CNRS 3417: CREUSE); EU INTERACT program; Inuit of Nunatsiavut; Co-management Board of Torngat Mountains National Park; Saxon Switzerland National Park Administration; Bavarian Forest National Park administration; BECC - Biodiversity and Ecosystem services in a Changing Climate; Research Foundation Flanders (FWO-SBO); Marie Curie Actions (MSCA)(Marie Curie Actions); Formas(Swedish Research Council Formas); Australian Research Council(Australian Research Council); Swiss National Science Foundation (SNF)(Swiss National Science Foundation (SNSF)); Swedish Research Council(Swedish Research Council); Agence Nationale de la Recherche (ANR)(Agence Nationale de la Recherche (ANR)); Swedish National Space Agency (SNSA)(Swedish National Space Agency (SNSA)); NERC(UK Research &amp; Innovation (UKRI)Natural Environment Research Council (NERC)); Vinnova(Vinnova)</t>
  </si>
  <si>
    <t>JJL received funding from the Research Foundation Flanders (grant nr. 12P1819N). The project received funding from the Research Foundation Flanders (grants nrs, G018919N, W001919N). JVDH and TWC received funding from DOB Ecology. JA received funding from the University of Helsinki, Faculty of Science (MICROCLIM, grant nr. 7510145) and Academy of Finland Flagship (grant no. 337552). PDF, CM and PV received funding from the European Research Council (ERC) under the European Union's Horizon 2020 research and innovation programme (ERC Starting Grant FORMICA 757833). JK received funding from the Arctic Interactions at the University of Oulu and Academy of Finland (318930, Profi 4), Maaja vesitekniikan tuki ry., Tiina and Antti Herlin Foundation, Nordenskiold Samfundet and Societas pro Fauna et Flora Fennica. MK received funding from the Czech Science Foundation (grant nr. 20-28119S) and the Czech Academy of Sciences (grant nr. RVO 67985939). TWC received funding from National Geographic Society grant no. 9480-14 and WW-240R-17. MA received funding from CISSC (program ICRP (grant nr:2397) and INSF (grant nr: 96005914). The Royal Botanic Garden Edinburgh is supported by the Scottish Government's Rural and Environment Science and Analytical Services Division. JMA received funding from the Funding Org. Qatar Petroleum (grant nr. QUEX-CAS-QP-RD-18/19). JMA received funding from the European Union's Horizon 2020 research and innovation program (grant no. 678841) and from the Swiss National Science Foundation (grant no. 31003A_176044). JA was supported by research grants LTAUSA19137 (program INTER-EXCELLENCE, subprogram INTER-ACTION) provided by Czech Ministry of Education, Youth and Sports and 20-05840Y of the Czech Science Foundation. AA was supported by the Ministry of Science and Higher Education of the Russian Federation (grant FSRZ-2020-0014). SN, UAT, JJA, and JvO received funding from the Independent Research Fund Denmark (7027-00133B). LvdB, KT, MYB and RC acknowledge funding from the German Research Foundation within the Priority Program SPP-1803 'EarthShape: Earth Surface Shaping by Biota' (grant TI 338/14-1&amp;2 and BA 3843/6-1). PB was supported by grant project VEGA of the Ministry of Education of the Slovak Republic and the Slovak Academy of Sciences No. 2/0132/18. Forest Research received funding from the Forestry Commission (climate change research programme). JCB acknowledges the support of Universidad Javeriana. JLBA received funding from the Direccion General de Cambio Climatico del Gobierno de Aragon; JLBA acknowledges fieldwork assistance by Ana Acin, the Ordesa y Monte Perdido National Park, and the Servicio de Medio Ambiente de Soria de la Junta de Castilla y Leon. RGB and MPB received funding from BECC - Biodiversity and Ecosystem services in a Changing Climate. MPB received funding from The European Union's Horizon 2020 research and innovation program under the Marie Skodowska-Curie Grant Agreement No. 657627 and The Swedish Research Council FORMAS - future research leaders No. 2016-01187. JB received funding from the Czech Academy of Sciences (grant nr. RVO 67985939). NB received funding from the SNF (grant numbers 40FA40_154245, 20FI21_148992, 20FI20_173691, 407340_172433) and from the EU (contract no. 774124). ICOS EU research infrastructure. EU FP7 NitroEurope. EU FP7 ECLAIRE.; r The authors from Biological Dynamics of Forest Fragments Project, PDBFF, Instituto Nacional de Pesquisas da Amazonia, Brazil were supported by the MCTI/CNPq/FNDCT - AcAo Transversal no68/2013 - Programa de Grande Escala da Biosfera-Atmosfera na Amazonia - LBA; Project 'Como as florestas da Amazonia Central respondem as variacoes climaticas? Efeitos sobre dinamica florestal e sinergia com a fragmentacAo florestal'. This is the study 829 of the BDFFP Technical Series. to The EUCFLUX Cooperative Research Program and Forest Science and Research Institute-IPEF. NC acknowledges funding by Stelvio National Park. JC was funded by the Spanish government grant CGL2016-78093-R. ANID-FONDECYT 1181745 AND INSTITUTO ANTARTICO CHILENO (INACH FR-0418). SC received funding from the German Research Foundation (grant no. DFG- FZT 118, 202548816). The National Science Foundation, Poland (grant no. UMO-2017/27/B/ST10/02228), within the framework of the 'Carbon dioxide uptake potential of sphagnum peatlands in the context of atmospheric optical parameters and climate changes' (KUSCO2) project. SLC received funding from the South African National Research Foundation and the Australian Research Council. FM, M, KU and MU received funding from Slovak Research and Development Agency (no. APVV-19-0319). Instituto Antartico Chileno (INACH_RT-48_16), Iniciativa Cientifica Milenio Nucleo Milenio de Salmonidos Invasores INVASAL, Institute of Ecology and Biodiversity (IEB), CONICYT PIA APOYO CCTE AFB170008. PC is supported by NERC core funding to the BAS 'Biodiversity, Evolution and Adaptation Team. EJC received funding from the Norwegian Research Council (grant number 230970). GND was supported by NERC E3 doctoral training partnership grant (NE/L002558/1) at the University of Edinburgh and the Carnegie Trust for the Universities of Scotland. Monitoring stations on Livingston Island, Antarctica, were funded by different research projects of the Gobern of Spain (PERMAPLANET CTM2009-10165-E; ANTARPERMA CTM2011-15565-E; PERMASNOW CTM2014-52021-R), and the PERMATHERMAL arrangement between the University of Alcala and the Spanish Polar Committee. GN received funding from the Autonomous Province of Bolzano (ITA). The infrastructure, part of the UK Environmental Change Network, was funded historically in part by ScotNature and NERC National Capability LTS-S: UK-SCAPE; NE/R016429/1). JD was supported by the Czech Science Foundation (GA17-19376S) and MSMT (LTAUSA18007). ED received funding from the Kempe Foundation (JCK-1112 and JCK-1822). The infrastructure was supported by the Ministry of Education, Youth and Sports of the Czech Republic within the National Sustainability Programme I (NPU I), grant number LO1415 and by the project for national infrastructure support CzeCOS/ICOS Reg. No. LM2015061. NE received funding from the German Research Foundation (DFG- FZT 118, 202548816). BE received funding from the GLORIA-EU project no EVK2-CT2000-00056, the Autonomous Province of Bolzano (ITA), from the Tiroler Wissenschaftsfonds and from the University of Innsbruck. RME was supported by funding to the SAFE Project from the Sime Darby Foundation. OF received funding from the German Research Foundation (DFG- FZT 118, 202548816). EFP was supported by the Jardin Botanico Atlantico (SV-20-GIJON-JBA). MF was funded by the German Federal Ministry of Education and Research (BMBF) in the context of The Future Okavango (Grant No. 01LL0912) and SASSCAL (01LG1201M; 01LG1201N) projects. EFL received funding from ANID PIA / BASAL FB210006.; r RAG received funding from Fondecyt 11170516, CONICYT PIA AFB170008 and ANID PIA / BASAL FB210006. MBG received funding from National Parks (DYNBIO, #1656/2015) and The Spanish Research Agency (VULBIMON, #CGL2017-90040-R). MG received funding from the Swiss National Science Foundation (ICOS-CH Phase 2 20FI20_173691). FG received funding from the German Research Foundation (DFG- FZT 118, 202548816). KG and TS received funding from the UK Biotechnology and Biological Research Council (grant = 206/D16053). SG was supported by the Research Foundation Flanders (FWO) (project G0H1517N). KJ and PH received funding from the EU Horizon2020 INFRAIA project eLTER-PLUS (871128), the project LTER-CWN (FFG, F&amp;E Infrastrukturforderung, project number 858024) and the Austrian Climate Research Program (ACRP7 - CentForCSink - KR14AC7K11960). SH and ARB received funding through iDiv funded by the German Research Foundation (DFG- FZT 118, 202548816). LH received funding from the Czech Science Foundation (grant nr. 20-28119S) and the Czech Academy of Sciences (grant nr. RVO 67985939). MH received funding from the Baden-Wurttemberg Ministry of Science, Research and Arts via the project DRIeR (Drought impacts, processes and resilience: making the in-visible visible). LH received funding from International Polar Year, Weston Foundation, and ArcticNet. DH received funding from Natural Sciences and Engineering Council (Canada) (RGPIN-06691). TTH received funding from Independent Research Fund Denmark (grant no. 8021-00423B) and Villum Foundation (grant no. 17523). Ministry of Education, Youth and Sports of the Czech Republic (projects LM2015078, VAN2020/01 and CZ.02.1.01/0.0/0.0/16_013/0001708). KH, CG and CJD received funding from Bolin Centre for Climate Research, Stockholm University and from the Swedish research council Formas [grant n:o 2014-00530 to KH]. JJ received funding from the Funding Org. Swedish Forest Society Foundation (grant nr. 2018-485-Steg 2 2017) and Swedish Research Council FORMAS (grant nr. 2018-00792). AJ received funding from the German Federal Ministry of Education and Research BMBF (Grant Nr. FKZ 031B0516C SUSALPS) and the Oberfrankenstiftung (Grant Nr. OFS FP00237). ISJ received funding from the Energy Research Fund (NYR-11 - 2019, NYR-18 - 2020). TJ was supported by a UK NERC Independent Research Fellowship (grant number: NE/S01537X/1). RJ received funding from National Science Centre of Poland (grant number: 2016/21/B/ST10/02271) and Polish National Centre for Research and Development (grant number: Pol-Nor/203258/31/2013). VK received funding from the Czech Academy of Sciences (grant nr. RVO 67985939). AAK received funding from MoEFCC, Govt of India (AICOPTAX project F. No. 22018/12/2015/RE/Tax). NK received funding from FORMAS (grants nr. 2018-01781, 2018-02700, 2019-00836), VR, support from the research infrastructure ICOS-SE. BK received funding from the National Research, Development and Innovation Fund of Hungary (grant nr. K128441). Ministry of Education, Youth and Sports of the Czech Republic (projects LM2015078 and CZ.02.1.01/0.0/0.0/16_013/0001708). Project B1-RNM-163-UGR-18-Programa Operativo FEDER 2018, partially funded data collection. Norwegian Research Council (NORKLIMA grants #184912 and #244525) awarded to Vigdis Vandvik. MM received funding from the Czech Science Foundation (grant nr. 20-28119S) and the Czech Academy of Sciences (grant nr. RVO 67985939). Project CONICYT-PAI 79170119 and ANID-MPG 190029 awarded to Roy Mackenzie. This work was partly funded by project MIUR PON Cluster OT4CLIMA.; r RM received funding from the SNF project number 407340_172433. FM received funding from the Stelvio National Park. PM received funding from AIAS-COFUND fellowship programme supported by the Marie Skodowska- Curie actions under the European Union's Seventh Framework Pro-gramme for Research, Technological development and Demonstration (grant agreement no 609033) and the Aarhus University Research Foundation, Denmark. RM received funding from the Ministry of Education, Youth and Sports of the Czech Republic (project LTT17033). SM and VM received funding from EU FP6 NitroEurope (grant nr. 17841), EU FP7 ECLAIRE (grant nr. 282910), the Ministry of Education and Science of Ukraine (projects nr. 505, 550, 574, 602), GEF-UNEP funded Toward INMS project (grant nr. NEC05348) and ENI CBC BSB PONTOS (grant nr. BSB 889). The authors from Biological Dynamics of Forest Fragments Project, PDBFF, Instituto Nacional de Pesquisas da Amazonia, Brazil were supported by the MCTI/CNPq/FNDCT - AcAo Transversal no68/2013 - Programa de Grande Escala da Biosfera-Atmosfera na Amazonia - LBA; Project 'Como as florestas da Amazonia Central respondem as variacoes climaticas? Efeitos sobre dinamica florestal e sinergia com a fragmentacAo florestal'. FJRM was financially supported by the Netherlands Organization for Scientific Research (VICI grant 016.VICI.170.072) and Research Foundation Flanders (FWO-SBO grant S000619N). STM received funding from New Frontiers in Research Fund-Exploration (grant nr. NFRF-2018-02043) and NSERC Discovery. MMR received funding from the Australian Research Council Discovery Early Career Research Award (grant nr. DE180100570). JAM received funding from the National Science Foundation (DEB 1557094), International Center for Advanced Renewable Energy and Sustainability (I-CARES) at Washington University in St. Louis, ForestGEO, and Tyson Research Center. IM-S was funded by the UK Natural Environment Research Council through the ShrubTundra Project (NE/M016323/1). MBN received funding from FORMAS, VR, Kempe Foundations support from the research infrastructures ICOS and SITES. MDN received funding from CONICET (grant nr. PIP 112-201501-00609). Spanish Ministry of Science grant PID2019-110521GB-I00 and Catalan government grant 2017-1005. French National Research Agency (ANR) in the frame of the Cluster of Excellence COTE (project HydroBeech, ANR-10-LABX-45). VLIR-OUS, under the Institutional University Coorperation programme (IUC) with Mountains of the Moon University. Project LAS III 77/2017/B entitled: \Estimation of net carbon dioxide fluxes exchanged between the forest ecosystem on post-agricultural land and between the tornado-damaged forest area and the atmosphere using spectroscopic and numerical methods\, source of funding: General Directorate of State Forests, Warsaw, Poland. Max Planck Society (Germany), RFBR, Krasnoyarsk Territory and Krasnoyarsk Regional Fund of Science, project number 20-45-242908. Estonian Research Council (PRG609), and the European Regional Development Fund (Centre of Excellence EcolChange). Canada-Denmark Arctic Research Station Early Career Scientist Exchange Program, from Polar knowledge Canada (POLAR) and the Danish Agency for Science and Higher Education. AP received funding from Fondecyt 1180205, CONICYT PIA AFB170008 and ANID PIA / BASAL FB210006. MP received funding from the Funding Org. Knut and Alice Wallenberg Foundation (grant nr. 2015.0047), and acknowledges funding from the Swedish Research Council (VR) with contributing research institutes to both the SITES and ICOS Sweden infrastructures.; r JP and RO were funded by the Spanish Ministry of Science grant PID2019-110521GB-I00, the fundacion Ramon Areces grant ELEMENTAL-CLIMATE, and the Catalan government grant 2017-1005. MPB received funding from the Svalbard Environmental Protection Fund (grant project number 15/128) and the Research Council of Norway (Arctic Field Grant, project number 269957). RP received funding from the Ministry of Education, Youth and Sports of the Czech Republic (grant INTER-TRANSFER nr. LTT20017). LTSER Zone Atelier Alpes; Federation FREE-Alpes. RP received funding from a Humboldt Fellowship for Experienced Researchers. Prokushkin AS and Zyryanov VI contribution has been supported by the RFBR grant #18-05-60203-Arktika. RPu received founding from the Polish National Science Centre (grant project number 2017/27/B/NZ8/00316). ODYSSEE project (ANR-13-ISV7-0004, PN-II-ID-JRP-RO-FR-2012). KR was supported through an Australian Government Research Training Program Scholarship. Fieldwork was supported by the Global Challenges program at the University of Wollongong, the ARC the Australian Antarctic Division and INACH. DR was funded by the project SUBANTECO IPEV 136 (French Polar Institute Paul-Emile Victor), Zone Atelier CNRS Antarctique et Terres Australes, SAD Region Bretagne (Project INFLICT), BiodivERsa 2019-2020 BioDivClim call 'ASICS' (ANR-20-EBI5-0004). SAR received funding from the Australian Research Council. NSF grant #1556772 to the University of Notre Dame. Pavia University (Italy). OR received funding from EU-LEAP-Agri (RAMSES II), EU-DESIRA (CASSECS), EU-H2020 (SustainSahel), AGROPOLIS and TOTAL Foundations (DSCATT), CGIAR (GLDC). AR was supported by the Russian Science Foundation (Grant 18-74-10048). Parc national des Ecrins. JS received funding from Vetenskapsradet grant nr (No: 2014-04270), ALTER-net multi-site grant, River LIFE project (LIFE08 NAT/S/000266), Flexpeil. Helmholtz Association long-term research program TERENO (Terrestrial Environmental Observatories). PS received funding from the Polish Ministry of Science and Higher Education (grant nr. N N305 304840). AS acknowledges funding by ETH Zurich project FEVER ETH-27 19-1. LSC received funding from NSERC Canada Graduate Scholarship (Doctoral) Program; LSC was also supported by ArcticNet-NCE (insert grant #). Conselho Nacional de Desenvolvimento Cientifico e Tecnologico (141513/2017-9); FundacAo Carlos Chagas Filho de Amparo a Pesquisa do Estado do Rio de Janeiro (E26/200.84/2019). ZS received funding from the SRDA (grants nos. APVV-16-0325 and APVV-20-0365) and from the ERDF (grant no. ITMS 313011S735, CE LignoSilva). JS, MB and CA received funding from core budget of ETH Zurich. State excellence Program M-V \WETSCAPES\. AfricanBioServices project funded by the EU Horizon 2020 grant number 641918. The authors from KIT/IMK-IFU acknowledge the funding received within the German Terrestrial Environmental Observatories (TERENO) research program of the Helmholtz Association and from the Bavarian Ministry of the Environment and Public Health (UGV06080204000). Deutsche Forschungsgemeinschaft (DFG, German Research Foundation), project number 192626868, in the framework of the collaborative German-Indonesian research project CRC 990 (SFB): 'EFForTS, Ecological and Socioeconomic Functions of Tropical Lowland Rainforest Transformation Systems (Sumatra, Indonesia)'. MS received funding from the Ministry of Education, Youth and Sports of the Czech Republic (grant nr. INTER-TRANSFER LTT19018).; r TT received funding from the Swedish National Space Board (SNSB Dnr 95/16) and the CASSECS project supported by the European Union. HJDT received funding from the UK Natural Environment Research Council (NERC doctoral training partnership grant NE/L002558/1). German Science Foundation (DFG) GraKo 2010 \Response\. PDT received funding from the MEMOIRE project (PN-III-P1-1.1-PD2016-0925). Arctic Challenge for Sustainability II (ArCS II; JPMXD1420318865). JU received funding from Czech Science Foundation (grant nr. 21-11487S). TU received funding from the Romanian Ministry of Education and Research (CCCDI - UEFISCDI -project PN-III-P2-2.1-PED-2019-4924 and PN2019-2022/19270201-Ctr. 25N BIODIVERS 3-BIOSERV). AV acknowledge funding from RSF, project 21-14-00209. GFV received funding from the Dutch Research Council NWO (Veni grant, no. 863.14.013). Australian Research Council Discovery Early Career Research Award DE140101611. FGAV received funding from the Portuguese Science Foundation (FCT) under CEECIND/02509/2018, CESAM (UIDP/50017/2020+UIDB/50017/2020), FCT/MCTES through national funds, and the co-funding by the FEDER, within the PT2020 Partnership Agreement and Compete 2020. Ordesa y Monte Perdido National Park. MVI received funding from the Spanish Ministry of Science and Innovation through a doctoral grant (FPU17/05869). JW received funding from the Czech Science Foundation (grant nr. 20-28119S) and the Czech Academy of Sciences (grant nr. RVO 67985939). CR and SW received funding from the Swiss Federal Office for the Environment (FOEN) and the de Giacomi foundation. YY received funding from the National Natural Science Foundation of China (Grant no. 41861134039 and 41941015). ZY received funding from the National Natural Science Foundation of China (grant nr. 41877458). FZ received funding from the Swiss National Science Foundation (grant nr. 172198 and 193645). PZ received funding from the Funding Org. Knut and Alice Wallenberg Foundation (grant no. 2015.0047). JL received funding from (i) the Agence Nationale de la Recherche (ANR), under the framework of the young investigators (JCJC) funding instrument (ANR JCJC Grant project NoANR-19-CE32-0005-01: IMPRINT) (ii) the Centre National de la Recherche Scientifique (CNRS) (Defi INFINITI 2018: MORFO); and the Structure Federative de Recherche (SFR) Condorcet (FR CNRS 3417: CREUSE). Fieldwork in the Arctic got facilitated by funding from the EU INTERACT program. SN, UAT, JJA and JvO would like to thank the field team of the Vegetation Dynamics group for their efforts and hard work. We acknowledge Dominique Tristan for letting access to the field. For the logistic support the crew of INACH and Gabriel de Castilla Station team on Deception Island. We thank the Inuvialuit and Kluane First Nations for the opportunity to work on their land. MAdP acknowledges fieldwork assistance and logistics support to Unidad de Tecnologia Marina CSIC, and the crew of Juan Carlos I and Gabriel de Castilla Spanish Antarctic Stations, as well as to the different colleagues from UAH that helped on the instrument maintenance. ERF acknowledges fieldwork assistance by Martin Heggli. MBG acknowledges fieldwork and technical assistance by P Abadia, C Benede, P Bravo, J Gomez, M Grasa, R Jimenez, H Miranda, B Ponz, J Revilla and P Tejero and the Ordesa and Monte Perdido National Park staff.; r LH acknowledges field assistance by John Jacobs, Andrew Trant, Robert Way, Darroch Whitaker; we acknowledge the Inuit of Nunatsiavut, and the Co-management Board of Torngat Mountains National Park for their support of this project and acknowledge that the field research was conducted on their traditional lands. We thank our many bear guides, especially Boonie, Eli, Herman, John and Maria Merkuratsuk. AAK acknowledges field support of Akhtar Malik, Rameez Ahmad. Part of microclimatic records from Saxony was funded by the Saxon Switzerland National Park Administration. Tyson Research Center. JP acknowledges field support of Emmanuel Malet (Edytem) and Rangers of Reserves Naturelles de Haute-Savoie (ASTERS). Practical help: Roel H. Janssen, N. Huig, E. Bakker, Schools in the tepaseforsoket, Forskar fredag, Erik Herberg. The support by the Bavarian Forest National Park administration is highly appreciated. LvdB acknowledges CONAF and onsite support from the park rangers from PN Pan de Azucar, PN La Campana, PN Nahuelbuta and from communidad agricola Quebrada de Talca. JL and FS acknowledge Manuel Nicolas and all forest officers from the Office National des Forets (ONF) who are in charge of the RENECOFOR network and who provided help and local support for the installation and maintenance of temperature loggers in the field.</t>
  </si>
  <si>
    <t>1354-1013</t>
  </si>
  <si>
    <t>1365-2486</t>
  </si>
  <si>
    <t>GLOBAL CHANGE BIOL</t>
  </si>
  <si>
    <t>Glob. Change Biol.</t>
  </si>
  <si>
    <t>10.1111/gcb.16060</t>
  </si>
  <si>
    <t>Biodiversity Conservation; Ecology; Environmental Sciences</t>
  </si>
  <si>
    <t>0E3WC</t>
  </si>
  <si>
    <t>Green Published, Green Submitted, hybrid, Green Accepted</t>
  </si>
  <si>
    <t>Y</t>
  </si>
  <si>
    <t>N</t>
  </si>
  <si>
    <t>WOS:000753944300001</t>
  </si>
  <si>
    <t>Kim, M; Kim, HB; Jung, S; Jung, JM; Lin, KYA; Rinklebe, J; Baek, K; Kwon, EE</t>
  </si>
  <si>
    <t>Kim, Minyoung; Kim, Hye-Bin; Jung, Sungyup; Jung, Jong-Min; Lin, Kun-Yi Andrew; Rinklebe, Joerg; Baek, Kitae; Kwon, Eilhann E.</t>
  </si>
  <si>
    <t>Simultaneous productions of biodiesel and biochar from krill</t>
  </si>
  <si>
    <t>JOURNAL OF CLEANER PRODUCTION</t>
  </si>
  <si>
    <t>Bioremediation; Heavy metal(loids); Biofuel; Adsorption; Toxic compounds</t>
  </si>
  <si>
    <t>AQUEOUS-SOLUTION; CADMIUM REMOVAL; STRAW BIOCHAR; RICE STRAW; ENHANCED ADSORPTION; WATER-TREATMENT; METHYLENE-BLUE; CHICKEN MANURE; PYROLYSIS; BIOFUELS</t>
  </si>
  <si>
    <t>The Antarctic krill, referring to Euphausia superba, feeds phytoplankton, grown up with photosynthesis for CO2 fixation. Therefore, the use of krill as a raw feedstock for energy production is a highly carbon negative approach, not disturbing the food supply chain of human. Although the krill has high lipid content (up to 40 wt%, dry basis), its use as a raw feedstock for biodiesel production has not been considered. In this study, the feasibility of Euphausia superba to be used as a biodiesel feedstock was scrutinized. Prior to biodiesel production, an annual biodiesel production potential from the krill without disruption of ecosystems was estimated (129% larger than current biodiesel production in Korea). Because krill oil contains high fraction impurities, (trans)esterification with acid catalyst resulted in low yield of biodiesel (6.5 wt%), while non-catalytic transesterification achieved 94.7 wt% of biodiesel yield. To maximize the utilization of krill, solid residue obtained after biodiesel production was synthesized to krill biochars, and they were used as sorptive materials for adsorption of toxic chemicals. Among different model pollutants (Cd(II), Cr(VI), and methylene blue), krill biochar had the best adsorption capacity for Cd(II) (13.7 mg g(-1)), which is comparable value with other studies.</t>
  </si>
  <si>
    <t>[Kim, Minyoung; Jung, Sungyup; Jung, Jong-Min; Kwon, Eilhann E.] Hanyang Univ, Dept Earth Resources &amp; Environm Engn, Seoul 04763, South Korea; [Kim, Hye-Bin; Baek, Kitae] Jeonbuk Natl Univ, Dept Environm &amp; Energy, Jeonju 57896, Jeollabukdo, South Korea; [Kim, Hye-Bin; Baek, Kitae] Jeonbuk Natl Univ, Soil Environm Res Ctr, Jeonju 57896, Jeollabukdo, South Korea; [Lin, Kun-Yi Andrew] Natl Chung Hsing Univ, Dept Environm Engn, 250 Kuo Kuang Rd, Taichung, Taiwan; [Lin, Kun-Yi Andrew] Natl Chung Hsing Univ, Innovat &amp; Dev Ctr Sustainable Agr, 250 Kuo Kuang Rd, Taichung, Taiwan; [Lin, Kun-Yi Andrew] Natl Chung Hsing Univ, Res Ctr Sustainable Energy &amp; Nanotechnol, 250 Kuo Kuang Rd, Taichung, Taiwan; [Rinklebe, Joerg] Univ Wuppertal, Inst Fdn Engn Water &amp; Waste Management, Sch Architecture &amp; Civil Engn, Soil &amp; Groundwater Management, Pauluskirchstr 7, D-42285 Wuppertal, Germany; [Rinklebe, Joerg] Sejong Univ, Dept Environm &amp; Energy, Seoul 05006, South Korea</t>
  </si>
  <si>
    <t>Hanyang University; Jeonbuk National University; Jeonbuk National University; National Chung Hsing University; National Chung Hsing University; National Chung Hsing University; University of Wuppertal; Sejong University</t>
  </si>
  <si>
    <t>Kwon, EE (corresponding author), Hanyang Univ, Dept Earth Resources &amp; Environm Engn, Seoul 04763, South Korea.;Baek, K (corresponding author), Jeonbuk Natl Univ, Dept Environm &amp; Energy, Jeonju 57896, Jeollabukdo, South Korea.</t>
  </si>
  <si>
    <t>kbaek@jbnu.ac.kr; ek2148@gmail.com</t>
  </si>
  <si>
    <t>Jung, Sungyup/GZG-6207-2022; Rinklebe, Joerg/Y-2398-2019; Baek, Kitae/F-1515-2011; Jung, Sungyup/ABE-1493-2021; Kim, Hye-Bin/AFQ-2843-2022; Kwon, Eilhann E./AGY-3339-2022; Lin, Kun-Yi/B-2503-2015</t>
  </si>
  <si>
    <t>Jung, Sungyup/0000-0002-4925-041X; Rinklebe, Joerg/0000-0001-7404-1639; Jung, Sungyup/0000-0002-4925-041X; Kim, Hye-Bin/0000-0003-3108-8693; Kwon, Eilhann E./0000-0001-7438-7920; Jung, Jong-Min/0000-0003-1725-5774; Lin, Kun-Yi/0000-0003-1058-3097</t>
  </si>
  <si>
    <t>National Research Foundation of Korea (NRF) - Korean government (MSIT) [NRF2020R1A2C1010748]</t>
  </si>
  <si>
    <t>National Research Foundation of Korea (NRF) - Korean government (MSIT)(National Research Foundation of Korea)</t>
  </si>
  <si>
    <t>This work was supported by National Research Foundation of Korea (NRF) grants funded by the Korean government (MSIT) (NRF2020R1A2C1010748).</t>
  </si>
  <si>
    <t>0959-6526</t>
  </si>
  <si>
    <t>1879-1786</t>
  </si>
  <si>
    <t>J CLEAN PROD</t>
  </si>
  <si>
    <t>J. Clean Prod.</t>
  </si>
  <si>
    <t>FEB 10</t>
  </si>
  <si>
    <t>10.1016/j.jclepro.2021.130296</t>
  </si>
  <si>
    <t>Green &amp; Sustainable Science &amp; Technology; Engineering, Environmental; Environmental Sciences</t>
  </si>
  <si>
    <t>Science &amp; Technology - Other Topics; Engineering; Environmental Sciences &amp; Ecology</t>
  </si>
  <si>
    <t>2P6KC</t>
  </si>
  <si>
    <t>WOS:000819846400007</t>
  </si>
  <si>
    <t>Evans, E; Fraser, AD; Cook, S; Coleman, R; Joughin, I</t>
  </si>
  <si>
    <t>Evans, Eleri; Fraser, Alexander D.; Cook, Sue; Coleman, Richard; Joughin, Ian</t>
  </si>
  <si>
    <t>An observation-based approach to calculating ice-shelf calving mass flux</t>
  </si>
  <si>
    <t>REMOTE SENSING OF ENVIRONMENT</t>
  </si>
  <si>
    <t>Antarctica; Ice shelves; Calving flux; Minimum temporal baseline</t>
  </si>
  <si>
    <t>EAST ANTARCTICA; VICTORIA LAND; GLACIER; DRIVEN; FLOW; VELOCITY; PENINSULA; BALANCE; BENEATH; LARSEN</t>
  </si>
  <si>
    <t>In order to determine whether the calving flux of an ice shelf is changing, the long-term calving flux needs to be established. Methods used to estimate the calving flux either take into account non-steady-state behaviour by capturing movement of the calving-front location (e.g., using satellite observations), or they assume the calving front is stationary and that the ice is in steady state (e.g., flux-gate methods). Non-steady-state methods are hampered by the issue of temporal aliasing, i.e., when the satellite observation frequency is insufficient to capture the cyclic nature of the calving-front position. Methods that assume a steady state to estimate the calving flux accrue uncertainties if the ice shelf changes its physical state. In order to overcome these limitations we propose and implement a new observation-based approach that combines a time series of calving-front locations with a flux-gate method. The approach involves the creation of a unique semi-temporal domain as a mechanism to overcome the issue of temporal aliasing, and only requires easily accessible ice thickness and surface velocity estimates of the ice shelf. This approach allows for complex calving-front geometries and captures calving events of all sizes that are visible within the satellite imagery. Application of the approach allows the long-term average calving flux to be estimated (provided sufficient temporal coverage by satellite imagery), as well as identification of the minimum temporal baseline needed to produce a representative estimate of the long-term average calving flux, for any ice shelf. Implementation of the approach to multiple ice shelves would enable comparisons to be made regarding the spatial variability in the long-term calving flux of Antarctica's ice shelves, thereby highlighting calving regime change around the continent.</t>
  </si>
  <si>
    <t>[Evans, Eleri; Fraser, Alexander D.; Cook, Sue; Coleman, Richard] Univ Tasmania, Inst Marine &amp; Antarctic Studies, Hobart, Tas, Australia; [Evans, Eleri; Fraser, Alexander D.; Cook, Sue; Coleman, Richard] Univ Tasmania, Antarctic Climate &amp; Ecosyst Cooperat Res Ctr, Hobart, Tas, Australia; [Joughin, Ian] Univ Washington, Appl Phys Lab, Polar Sci Ctr, Seattle, WA 98105 USA; [Fraser, Alexander D.; Cook, Sue; Coleman, Richard] Univ Tasmania, Inst Marine &amp; Antarctic Studies, Australian Antarctic Program Partnership, Hobart, Tas, Australia</t>
  </si>
  <si>
    <t>University of Tasmania; Antarctic Climate &amp; Ecosystems Cooperative Research Centre (ACE CRC); University of Tasmania; University of Washington; University of Washington Seattle; University of Tasmania</t>
  </si>
  <si>
    <t>Evans, E (corresponding author), Univ Tasmania, Inst Marine &amp; Antarctic Studies, Hobart, Tas, Australia.;Evans, E (corresponding author), Univ Tasmania, Antarctic Climate &amp; Ecosyst Cooperat Res Ctr, Hobart, Tas, Australia.</t>
  </si>
  <si>
    <t>eleri.evans@utas.edu.au</t>
  </si>
  <si>
    <t>Fraser, Alexander/AFO-7186-2022; Cook, Sue/E-8390-2018</t>
  </si>
  <si>
    <t>Fraser, Alexander/0000-0003-1924-0015; Evans, Eleri/0000-0003-2393-4271; Cook, Sue/0000-0001-9878-4218</t>
  </si>
  <si>
    <t>0034-4257</t>
  </si>
  <si>
    <t>1879-0704</t>
  </si>
  <si>
    <t>REMOTE SENS ENVIRON</t>
  </si>
  <si>
    <t>Remote Sens. Environ.</t>
  </si>
  <si>
    <t>10.1016/j.rse.2022.112918</t>
  </si>
  <si>
    <t>Environmental Sciences; Remote Sensing; Imaging Science &amp; Photographic Technology</t>
  </si>
  <si>
    <t>Environmental Sciences &amp; Ecology; Remote Sensing; Imaging Science &amp; Photographic Technology</t>
  </si>
  <si>
    <t>ZF7FO</t>
  </si>
  <si>
    <t>hybrid, Green Published</t>
  </si>
  <si>
    <t>WOS:000759731300004</t>
  </si>
  <si>
    <t>Rosa, LH; de Menezes, GCA; Bezerra, OH; Convey, P; Carvalho-Silva, M; Simoes, JC; Rosa, CA; Camara, PEAS</t>
  </si>
  <si>
    <t>Rosa, Luiz Henrique; Alves de Menezes, Graciele Cunha; Bezerra Pinto, Otavio Henrique; Convey, Peter; Carvalho-Silva, Micheline; Simoes, Jefferson Cardia; Rosa, Carlos Augusto; Aguiar Saraiva Camara, Paulo Eduardo</t>
  </si>
  <si>
    <t>Fungal diversity in seasonal snow of Martel Inlet, King George Island, South Shetland Islands, assessed using DNA metabarcoding</t>
  </si>
  <si>
    <t>Antarctic Peninsula; Ecology; Environmental DNA; Fungi; Taxonomy</t>
  </si>
  <si>
    <t>ANTARCTICA</t>
  </si>
  <si>
    <t>Antarctic snow represents a microhabitat directly linked with atmospheric precipitation, and through it receives dust, sea spray, organic materials and microbial propagules. Among the microorganisms that inhabit Antarctic snow, fungi are not well known. In the current study, we assessed the uncultured fungal diversity in seasonal snow samples obtained from King George Island (South Shetland Islands, maritime Antarctica) using DNA metabarcoding by high-throughput sequencing. We detected 65 fungal amplicon sequence variants (ASVs) dominated by the phyla Ascomycota, Basidiomycota and Mortierellomycota. In addition, ASVs of the basal cryptic and uncommon phyla Chytridiomycota and Rozellomycota were detected. Fungal species Microbotryomycetes sp. 1, Chytridiomycota sp. and Leucosporidiales sp. 1 were the most dominant ASVs. Twenty-nine fungal ASVs could only be identified at higher taxonomic levels and may represent previously unknown fungi, taxa unreported in the available databases and/or new records for Antarctica. The community detected in the seasonal snow displayed moderate indices of diversity, richness and dominance. The fungal assemblages included cosmopolitan, psychrophilic, saprophytic, mutualistic, and plant and animal pathogenic taxa. DNA metabarcoding revealed higher fungal sequence diversity accumulated during the previous winter when compared with previous culturing studies, including taxa of the basal cryptic uncommon phyla. Snow is among the most widespread and threatened ecosystems in maritime Antarctica due to the effects of climate changes over the last few decades; therefore, the high uncultured fungal diversity detected in this study reinforces the need for further taxonomic, ecological, life history strategy and genetic studies across Antarctica to understand fungal biology and potential for use in biotechnological applications.</t>
  </si>
  <si>
    <t>[Rosa, Luiz Henrique; Alves de Menezes, Graciele Cunha; Rosa, Carlos Augusto] Univ Fed Minas Gerais, Dept Microbiol, Belo Horizonte, MG, Brazil; [Bezerra Pinto, Otavio Henrique] Univ Brasilia, Dept Biol Celular, Brasilia, DF, Brazil; [Convey, Peter] British Antarctic Survey, NERC, Madingley Rd, Cambridge CB3 0ET, England; [Convey, Peter] Univ Johannesburg, Dept Zool, POB 524, ZA-2006 Auckland Pk, South Africa; [Carvalho-Silva, Micheline; Aguiar Saraiva Camara, Paulo Eduardo] Univ Brasilia, Dept Bot, Brasilia, DF, Brazil; [Simoes, Jefferson Cardia] Univ Fed Rio Grande do Sul, Ctr Polar &amp; Climat, Porto Alegre, RS, Brazil; [Simoes, Jefferson Cardia] Univ Maine, Climate Change Inst, Orono, ME 04469 USA; [Rosa, Luiz Henrique] Univ Fed Minas Gerais, Inst Ciencias Biol, Dept Microbiol, Lab Microbiol Polar &amp; Conexoes Trop, POB 486, BR-31270901 Belo Horizonte, MG, Brazil</t>
  </si>
  <si>
    <t>Universidade Federal de Minas Gerais; Universidade de Brasilia; UK Research &amp; Innovation (UKRI); Natural Environment Research Council (NERC); NERC British Antarctic Survey; University of Johannesburg; Universidade de Brasilia; Universidade Federal do Rio Grande do Sul; University of Maine System; University of Maine Orono; Universidade Federal de Minas Gerais</t>
  </si>
  <si>
    <t>Rosa, LH (corresponding author), Univ Fed Minas Gerais, Dept Microbiol, Belo Horizonte, MG, Brazil.;Rosa, LH (corresponding author), Univ Fed Minas Gerais, Inst Ciencias Biol, Dept Microbiol, Lab Microbiol Polar &amp; Conexoes Trop, POB 486, BR-31270901 Belo Horizonte, MG, Brazil.</t>
  </si>
  <si>
    <t>lhrosa@icb.ufmg.br</t>
  </si>
  <si>
    <t>Camara, Paulo/GPP-2054-2022; Convey, Peter/AAV-5728-2020</t>
  </si>
  <si>
    <t>Camara, Paulo/0000-0002-3944-996X; Convey, Peter/0000-0001-8497-9903; Pinto, Otavio/0000-0002-8382-2987; Cunha Alves de Menezes, Graciele/0000-0002-9427-1893</t>
  </si>
  <si>
    <t>Brazilian National Council for Scientific and Technological Development (CNPq) project [465680/2014-3]; Brazilian Coordination for the Improvement of Higher Education Personnel (CAPES); Brazilian Antarctic Program (PROANTAR); NERC; Biological Sciences Institute of the University of Brasilia; Brazilian congresswoman Jo Moraes; NERC [bas0100036] Funding Source: UKRI</t>
  </si>
  <si>
    <t>Brazilian National Council for Scientific and Technological Development (CNPq) project(Conselho Nacional de Desenvolvimento Cientifico e Tecnologico (CNPQ)Fundacao de Apoio a Pesquisa do Distrito Federal (FAPDF)); Brazilian Coordination for the Improvement of Higher Education Personnel (CAPES)(Coordenacao de Aperfeicoamento de Pessoal de Nivel Superior (CAPES)); Brazilian Antarctic Program (PROANTAR); NERC(UK Research &amp; Innovation (UKRI)Natural Environment Research Council (NERC)); Biological Sciences Institute of the University of Brasilia; Brazilian congresswoman Jo Moraes; NERC(UK Research &amp; Innovation (UKRI)Natural Environment Research Council (NERC))</t>
  </si>
  <si>
    <t>This study received financial support from the Brazilian National Council for Scientific and Technological Development (CNPq) project 465680/2014-3, the Brazilian Coordination for the Improvement of Higher Education Personnel (CAPES) and the Brazilian Antarctic Program (PROANTAR). P. Convey is supported by NERC core funding to the British Antarctic Survey's 'Biodiversity, Evolution and Adaptation' Team. We also thank the Brazilian congresswoman Jo Moraes and the Biological Sciences Institute of the University of Brasilia for supporting this work.</t>
  </si>
  <si>
    <t>10.1007/s00300-022-03014-7</t>
  </si>
  <si>
    <t>WOS:000753831500002</t>
  </si>
  <si>
    <t>Camara, PEAS; de Menezes, GCA; Oliveira, FS; Souza, CD; Amorim, ET; Schaefer, CEGR; Convey, P; Pinto, OHB; Carvalho-Silva, M; Rosa, LH</t>
  </si>
  <si>
    <t>Camara, Paulo E. A. S.; de Menezes, Graciele C. A.; Oliveira, Fabio S.; Souza, Caroline Delpupo; Amorim, Eduardo T.; Schaefer, Carlos E. G. R.; Convey, Peter; Pinto, Otavio H. B.; Carvalho-Silva, Micheline; Rosa, Luiz H.</t>
  </si>
  <si>
    <t>Diversity of Viridiplantae DNA present on rock surfaces in the Ellsworth Mountains, continental Antarctica</t>
  </si>
  <si>
    <t>Heritage Range; HTS; Chlorophyta; Bryophyta; Magnoliophyta; Dispersal</t>
  </si>
  <si>
    <t>REGIONAL BRYOPHYTE RECORDS; MICROORGANISMS; SOILS; LAND</t>
  </si>
  <si>
    <t>The Ellsworth Mountains experience frigid desert conditions. No macroscopic vegetation is present, with only very few published records of microalgae, and the range has received virtually no formal biological survey. Rocks, including gypsum crusts, were sampled from five specific locations in part of the region during the austral summer of 2012/13. These underwent DNA extraction and a metabarcoding approach using high-throughput sequencing, targeting plant DNA. This detected the presence of DNA assigned to a total of 48 taxa, including six Chlorophyta (green algae), four Bryophyta (mosses), and 40 Magnoliophyta (flowering plants). Cluster analyses suggested that the diversity found was not related to rock type or exposure age or sampling location, and there was limited similarity between locations. Thirty-four of the taxa assigned were consistent with a South American origin. The high diversity of DNA representing Poaceae (grasses; 12 taxa) is consistent with aerial transfer, most plausibly via pollen; this study provides an important means of better understanding the arrival and movement of biological material in Antarctica either through natural means or in association with human activities.</t>
  </si>
  <si>
    <t>[Camara, Paulo E. A. S.; Pinto, Otavio H. B.; Carvalho-Silva, Micheline] Univ Brasilia, Dept Bot, Brasilia, DF, Brazil; [de Menezes, Graciele C. A.; Rosa, Luiz H.] Univ Fed Minas Gerais, Dept Microbiol, Belo Horizonte, MG, Brazil; [Oliveira, Fabio S.] Univ Fed Minas Gerais, Dept Geog, Belo Horizonte, MG, Brazil; [Souza, Caroline Delpupo] Inst Fed Minas Gerais, Cooedenadoria Geog, Ouro Preto, Brazil; [Amorim, Eduardo T.] Inst Pesquisas Jardim Bot Rio de Janeiro CNCFlora, Ctr Nacl Conservacao Flora, Rio De Janeiro, Brazil; [Schaefer, Carlos E. G. R.] Univ Fed Vicosa, Dept Solos, Vicosa, MG, Brazil; [Convey, Peter] British Antarctic Survey, Cambridge, England; [Convey, Peter] Univ Johannesburg, Dept Zool, Johannesburg, South Africa</t>
  </si>
  <si>
    <t>Universidade de Brasilia; Universidade Federal de Minas Gerais; Universidade Federal de Minas Gerais; Instituto Federal de Educacao, Ciencia e Tecnologia de Minas Gerais (IFMG); Universidade Federal de Vicosa; UK Research &amp; Innovation (UKRI); Natural Environment Research Council (NERC); NERC British Antarctic Survey; University of Johannesburg</t>
  </si>
  <si>
    <t>Camara, PEAS (corresponding author), Univ Brasilia, Dept Bot, Brasilia, DF, Brazil.</t>
  </si>
  <si>
    <t>pcamara@unb.br</t>
  </si>
  <si>
    <t>Convey, Peter/AAV-5728-2020; Camara, Paulo/GPP-2054-2022; Delpupo Souza, Caroline/L-7578-2017</t>
  </si>
  <si>
    <t>Convey, Peter/0000-0001-8497-9903; Camara, Paulo/0000-0002-3944-996X; Silva, Micheline/0000-0002-2389-3804; Cunha Alves de Menezes, Graciele/0000-0002-9427-1893; Delpupo Souza, Caroline/0000-0001-5055-3963; Amorim, Eduardo/0000-0003-4253-1339; Oliveira, Fabio/0000-0002-1450-7609; Pinto, Otavio/0000-0002-8382-2987</t>
  </si>
  <si>
    <t>CNPq; PROANTAR; FAPEMIG; CoordenacAo de Aperfeicoamento de Pessoal de Nivel Superior-Brasil (CAPES); INCT Criosfera 2; NERC; NERC [bas0100036] Funding Source: UKRI</t>
  </si>
  <si>
    <t>CNPq(Conselho Nacional de Desenvolvimento Cientifico e Tecnologico (CNPQ)); PROANTAR; FAPEMIG(Fundacao de Amparo a Pesquisa do Estado de Minas Gerais (FAPEMIG)); CoordenacAo de Aperfeicoamento de Pessoal de Nivel Superior-Brasil (CAPES)(Coordenacao de Aperfeicoamento de Pessoal de Nivel Superior (CAPES)); INCT Criosfera 2; NERC(UK Research &amp; Innovation (UKRI)Natural Environment Research Council (NERC)); NERC(UK Research &amp; Innovation (UKRI)Natural Environment Research Council (NERC))</t>
  </si>
  <si>
    <t>This study received financial support from CNPq, PROANTAR, FAPEMIG, CoordenacAo de Aperfeicoamento de Pessoal de Nivel Superior-Brasil (CAPES), and INCT Criosfera 2. P. Convey is supported by NERC core funding to the British Antarctic Survey's 'Biodiversity, Evolution and Adaptation' Team. Thanks also to congresswoman Jo Moraes and the Biological Sciences Institute at University of Brasilia. Collecting permits were issued by the Brazilian Environmental Authority (MMA). The authors express their gratitude to the anonymous reviewers that helped in improving the paper.</t>
  </si>
  <si>
    <t>10.1007/s00300-022-03021-8</t>
  </si>
  <si>
    <t>WOS:000753831500001</t>
  </si>
  <si>
    <t>Iovino, D; Selivanova, J; Masina, S; Cipollone, A</t>
  </si>
  <si>
    <t>Iovino, Doroteaciro; Selivanova, Julia; Masina, Simona; Cipollone, Andrea</t>
  </si>
  <si>
    <t>The Antarctic Marginal Ice Zone and Pack Ice Area in CMEMS GREP Ensemble Reanalysis Product</t>
  </si>
  <si>
    <t>FRONTIERS IN EARTH SCIENCE</t>
  </si>
  <si>
    <t>Antarctic sea ice; marginal ice zone; pack ice; ocean reanalyses; GREP</t>
  </si>
  <si>
    <t>OCEAN-SEA-ICE; OVERTURNING CIRCULATION; TRENDS; VARIABILITY; EXTENT; ALGORITHMS; COVER; PARAMETERS; FEEDBACKS; EXPANSION</t>
  </si>
  <si>
    <t>Global ocean reanalyses provide consistent and comprehensive records of ocean and sea ice variables and are therefore of pivotal significance for climate studies, particularly in data-sparse regions such as Antarctica. Here, for the first time, we present the temporal and spatial variability of sea ice area in the ensemble of global ocean reanalyses produced by the Copernicus Marine Environment Monitoring Service (CMEMS) for the period 1993-2019. The reanalysis ensemble robustly reproduces observed interannual and seasonal variability, linear trend, as well as record highs and lows. While no consensus has been reached yet on the physical source of Antarctic-wide ice changes, our study also emphasizes the importance of understanding the different responses of ice classes, marginal ice zone (MIZ) and pack ice, to climate changes. Modifications of the distribution of MIZ and pack ice have implications for the level of air/sea exchanges and for the marine ecosystem. Analysis of the spatial and temporal variability of ice classes can provide further insights on long-term trends and help to improve predictions of future changes in Antarctic sea ice. We assess the ability of the reanalysis ensemble to adequately capture variability in space and time of the MIZ and pack ice area, and conclude that it can provide consistent estimates of recent changes in the Antarctic sea ice area. Our results show that the Antarctic sea ice area agrees well with satellite estimates, and the hemispheric and regional sea ice area variability are properly reproduced on seasonal and interannual time scales. Although the ensemble reanalysis product tends to slightly overestimate MIZ in summer, results show that it properly represents the variability of MIZ minima and maxima as well as its interannual variability during the growing and melting seasons. Our results confirm that Global Reanalysis Ensemble Product is able to reproduce the observed substantial regional variability, in regions covered by marginal ice.</t>
  </si>
  <si>
    <t>[Iovino, Doroteaciro; Selivanova, Julia; Masina, Simona; Cipollone, Andrea] Ctr Euro Mediterraneo Cambiamenti Climatici, Ocean Modeling &amp; Data Assimilat Div, Bologna, Italy; [Selivanova, Julia] Univ Bologna, Dept Phys &amp; Astron, Bologna, Italy</t>
  </si>
  <si>
    <t>Centro Euro-Mediterraneo sui Cambiamenti Climatici (CMCC); University of Bologna</t>
  </si>
  <si>
    <t>Iovino, D; Selivanova, J (corresponding author), Ctr Euro Mediterraneo Cambiamenti Climatici, Ocean Modeling &amp; Data Assimilat Div, Bologna, Italy.;Selivanova, J (corresponding author), Univ Bologna, Dept Phys &amp; Astron, Bologna, Italy.</t>
  </si>
  <si>
    <t>dorotea.iovino@cmcc.it; iuliia.selivanova@unibo.it</t>
  </si>
  <si>
    <t>Iovino, Doroteaciro/E-9759-2015</t>
  </si>
  <si>
    <t>Iovino, Doroteaciro/0000-0001-5132-7255</t>
  </si>
  <si>
    <t>European Union [101003826]; Italian National Program for Research in Antarctica (PNRA) via the project INVASI (Interannual Variability of the Antarctic Sea Ice/ocean system from ocean reanalyses) [PNRA18-00244]; Copernicus Marine Service Global Ocean Reanalysis for the GLO MFC [114-RDGLO-RAN-CMEMS]</t>
  </si>
  <si>
    <t>European Union(European Union (EU)); Italian National Program for Research in Antarctica (PNRA) via the project INVASI (Interannual Variability of the Antarctic Sea Ice/ocean system from ocean reanalyses); Copernicus Marine Service Global Ocean Reanalysis for the GLO MFC</t>
  </si>
  <si>
    <t>DI was funded by the European Union's Horizon 2020 research and innovation program under Grant agreement No 101003826 via the project CRiceS (Climate Relevant interactions and feedbacks: the key role of sea ice and Snow in the polar and global climate system). JS was supported by the Italian National Program for Research in Antarctica (PNRA) via the project INVASI (Interannual Variability of the Antarctic Sea Ice/ocean system from ocean reanalyses, Reference Number PNRA18-00244). AC and SM were supported by Copernicus Marine Service Global Ocean Reanalysis for the GLO MFC (Reference number: 114-R&amp;DGLO-RAN-CMEMS).</t>
  </si>
  <si>
    <t>2296-6463</t>
  </si>
  <si>
    <t>FRONT EARTH SC-SWITZ</t>
  </si>
  <si>
    <t>Front. Earth Sci.</t>
  </si>
  <si>
    <t>10.3389/feart.2022.745274</t>
  </si>
  <si>
    <t>ZH6YF</t>
  </si>
  <si>
    <t>WOS:000761081100001</t>
  </si>
  <si>
    <t>Tielidze, LG; Nosenko, GA; Khromova, TE; Paul, F</t>
  </si>
  <si>
    <t>Tielidze, Levan G.; Nosenko, Gennady A.; Khromova, Tatiana E.; Paul, Frank</t>
  </si>
  <si>
    <t>Strong acceleration of glacier area loss in the Greater Caucasus between 2000 and 2020</t>
  </si>
  <si>
    <t>CRYOSPHERE</t>
  </si>
  <si>
    <t>DEBRIS COVER; INVENTORY; MOUNTAINS; RUSSIA; GEORGIA; LANDSAT; ELBRUS; SNOW</t>
  </si>
  <si>
    <t>An updated glacier inventory is important for understanding glacier behaviour given the accelerating glacier retreat observed around the world. Here, we present data from a new glacier inventory for two points in time (2000, 2020) covering the entire Greater Caucasus (Georgia, Russia, and Azerbaijan). Satellite imagery (Landsat, Sentinel, SPOT) was used to conduct a remote-sensing survey of glacier change. The 30m resolution Advanced Spaceborne Thermal Emission and Reflection Radiometer Global Digital Elevation Model (ASTER GDEM; 17 November 2011) was used to determine aspect, slope, and elevations, for all glaciers. Glacier margins were mapped manually and reveal that in 2000 the mountain range contained 2186 glaciers with a total glacier area of 1381.5 +/- 58.2 km(2). By 2020, the area had decreased to 1060.9 +/- 33.6 km(2) a reduction of 23.2 +/- 3.8% (320.6 +/- 45.9 km(2)) or 1.16% yr 1 over the last 20 years in the Greater Caucasus. Of the 2223 glaciers, 14 have an area &gt; 10 km(2), resulting in the 221.9 km(2) or 20.9% of total glacier area in 2020. The Bezengi Glacier with an area of 39.4 +/- 0.9 km(2) was the largest glacier mapped in the 2020 database. Glaciers between 1.0 and 5.0 km(2) accounted for 478.1 km(2) or 34.6% in total area in 2000, while they accounted for 354.0 km(2) or 33.4% in total area in 2020. The rates of area shrinkage and mean elevation vary between the northern and southern and between the western, central, and eastern Greater Caucasus. Area shrinkage is significantly stronger in the eastern Greater Caucasus (1.82% yr(-1)), where most glaciers are very small. The observed increased summer temperatures and decreased winter precipitation along with increased Saharan dust deposition might be responsible for the predominantly negative mass balances of Djankuat and Garabashi glaciers with long-term measurements. Both glacier inventories are available from the Global Land Ice Measurements from Space (GLIMS) database and can be used for future studies.</t>
  </si>
  <si>
    <t>[Tielidze, Levan G.] Victoria Univ Wellington, Antarctic Res Ctr, POB 600, Wellington 6140, New Zealand; [Tielidze, Levan G.] Victoria Univ Wellington, Sch Geog Environm &amp; Earth Sci, POB 600, Wellington 6140, New Zealand; [Tielidze, Levan G.] Ilia State Univ, Sch Nat Sci &amp; Med, Cholokashvili Ave 3-5, GE-0162 Tbilisi, Georgia; [Nosenko, Gennady A.; Khromova, Tatiana E.] Russian Acad Sci, Inst Geog, Dept Glaciol, 29 Staromonetniy Pereulok, Moscow 119017, Russia; [Paul, Frank] Univ Zurich, Dept Geog, Winterthurerstr 190, CH-8057 Zurich, Switzerland</t>
  </si>
  <si>
    <t>Victoria University Wellington; Victoria University Wellington; Ilia State University; Institute of Geography, Russian Academy of Sciences; Russian Academy of Sciences; University of Zurich</t>
  </si>
  <si>
    <t>Tielidze, LG (corresponding author), Victoria Univ Wellington, Antarctic Res Ctr, POB 600, Wellington 6140, New Zealand.;Tielidze, LG (corresponding author), Victoria Univ Wellington, Sch Geog Environm &amp; Earth Sci, POB 600, Wellington 6140, New Zealand.;Tielidze, LG (corresponding author), Ilia State Univ, Sch Nat Sci &amp; Med, Cholokashvili Ave 3-5, GE-0162 Tbilisi, Georgia.</t>
  </si>
  <si>
    <t>tielidzelevan@gmail.com</t>
  </si>
  <si>
    <t>Khromova, Tatiana/N-2383-2013; Tielidze, Levan G/E-2690-2018</t>
  </si>
  <si>
    <t>Tielidze, Levan G/0000-0002-4646-5458</t>
  </si>
  <si>
    <t>French-Russian-Georgian collaborative project DEGLaciation dans le grAnd Caucase DEGLAC [IRP 00008 Deglac]; ESA project Glaciers_cci [4000127593/19/I-NB]; Copernicus Climate Change Service (C3S) by the European Centre for MediumRange Weather Forecasts (ECMWF) on behalf of the European Commission; Institute of Geography RAS [0148-2019-0004]</t>
  </si>
  <si>
    <t>French-Russian-Georgian collaborative project DEGLaciation dans le grAnd Caucase DEGLAC; ESA project Glaciers_cci; Copernicus Climate Change Service (C3S) by the European Centre for MediumRange Weather Forecasts (ECMWF) on behalf of the European Commission; Institute of Geography RAS</t>
  </si>
  <si>
    <t>This study is financially supported by the French-Russian-Georgian collaborative project DEGLaciation dans le grAnd Caucase DEGLAC (IRP 00008 Deglac) (principal investigator -Vincent Jomelli). Frank Paul acknowledges financial support from the ESA project Glaciers_cci (grant no. 4000127593/19/I-NB) and the Copernicus Climate Change Service (C3S) that is implemented by the European Centre for MediumRange Weather Forecasts (ECMWF) on behalf of the European Commission. Gennady A. Nosenko and Tatiana E. Khromova's work was supported within the State Assignment Scientific Theme (no. 0148-2019-0004) of the Institute of Geography RAS.</t>
  </si>
  <si>
    <t>1994-0416</t>
  </si>
  <si>
    <t>1994-0424</t>
  </si>
  <si>
    <t>Cryosphere</t>
  </si>
  <si>
    <t>10.5194/tc-16-489-2022</t>
  </si>
  <si>
    <t>ZD4GN</t>
  </si>
  <si>
    <t>Green Submitted, Green Published, gold</t>
  </si>
  <si>
    <t>WOS:000758158000001</t>
  </si>
  <si>
    <t>Pitulko, VV; Pavlova, EY</t>
  </si>
  <si>
    <t>Pitulko, Vladimir V.; Pavlova, Elena Y.</t>
  </si>
  <si>
    <t>Structural Properties of Syngenetic Ice-Rich Permafrost, as Revealed by Archaeological Investigation of the Yana Site Complex (Arctic East Siberia, Russia): Implications for Quaternary Science</t>
  </si>
  <si>
    <t>Arctic East Siberia; ice complex; syngenetic permafrost development; cryoturbation; permafrost polygon pattern; Yana site complex; geoarchaeology; cultural layer</t>
  </si>
  <si>
    <t>INDIGHIRKA LOWLAND; CLIMATIC CHANGES; QIKIRTAQ ISLAND; TAYARA SITE; LAPTEV SEA; RHS SITE; RECORDS; YEDOMA; GEOARCHAEOLOGY; PLEISTOCENE</t>
  </si>
  <si>
    <t>Ice-rich syncryogenic (termed Ice Complex) deposits are common in northern East Siberia and constitute the most important feature of the Quaternary geology of the region. The Ice Complex formed throughout the Late Pleistocene and not only contains an archive of paleoenvironmental proxies such as Pleistocene faunal remains, but also comprises a record of human habitation spanning similar to 50,000 years, beginning with early MIS3. The development of syngenetic permafrost is an important variable in the formation of archaeological contexts in this depositional setting. Excavations of the Yana site complex in the lower Yana River area provide a unique opportunity to study archaeological finds preserved in Ice Complex deposits. Based on long-term field observations and dating results, we present important conclusions concerning the geology of the Yana sites. Taphonomic biases with potential to obscure the archaeological record are discussed. The thawing of frozen primary deposits has distorted depositional sequences, leading to the formation of secondary features and contexts, e.g., ice-wedge casts. Collapsed blocks of frozen sediment with undisturbed fragments of frozen layers containing artifacts and/or paleobiotic remains may become incorporated and refrozen into another depositional sequence and a source of misinterpretation and chronometric error. Furthermore, severe cryoturbation within the polygonal mounds warps the sediment in contact with the ice wedges; as a result, the contents of the sediment is uplifted with important consequences: 1) the hypsometric provenience of datable material is altered, creating chronometry problems; 2) in archaeology, there is an increased potential for misinterpretations with respect to dating, cultural classification, and human behavior; 3) transported material may form secondary concentrations at different hypsometric levels and thus bring further complications for its understanding; 4) in geology, the transportation of geochemical signatures may lead to erroneous interpretation of the geological potential of the area; 5) uplifted deposits contribute to increased Ice Complex thickness, which is thus not a direct function of sedimentation, but a combined result of sedimentation and redistribution of the deposits within an existing polygon deposit. Thus, the analysis of Ice Complex deposits during archaeological excavations at the Yana site complex has wider implications for Quaternary science.</t>
  </si>
  <si>
    <t>[Pitulko, Vladimir V.] Russian Acad Sci, Inst Hist Mat Culture, St Petersburg, Russia; [Pavlova, Elena Y.] Arctic &amp; Antarctic Res Inst, St Petersburg, Russia</t>
  </si>
  <si>
    <t>Russian Academy of Sciences; St. Petersburg Scientific Centre of the Russian Academy of Sciences; Institute for the History of Material Culture, Russian Academy of Sciences; Arctic &amp; Antarctic Research Institute</t>
  </si>
  <si>
    <t>Pitulko, VV (corresponding author), Russian Acad Sci, Inst Hist Mat Culture, St Petersburg, Russia.</t>
  </si>
  <si>
    <t>pitulkov@gmail.com</t>
  </si>
  <si>
    <t>Pitulko, Vladimir/N-4009-2019</t>
  </si>
  <si>
    <t>10.3389/feart.2021.744775</t>
  </si>
  <si>
    <t>ZH5QN</t>
  </si>
  <si>
    <t>WOS:000760993400001</t>
  </si>
  <si>
    <t>Fisher, R; Leis, JM; Hogan, JD; Bellwood, DR; Wilson, SK; Job, SD</t>
  </si>
  <si>
    <t>Fisher, Rebecca; Leis, Jeffrey M.; Hogan, J. Derek; Bellwood, David R.; Wilson, Shaun K.; Job, Suresh D.</t>
  </si>
  <si>
    <t>Tropical larval and juvenile fish critical swimming speed (U-crit) and morphology data</t>
  </si>
  <si>
    <t>SCIENTIFIC DATA</t>
  </si>
  <si>
    <t>Article; Data Paper</t>
  </si>
  <si>
    <t>CORAL-REEF FISH; ONTOGENY; CONNECTIVITY; BEHAVIOR; PRESETTLEMENT; ABILITIES; DISPERSAL; RELEVANT; DEMERSAL</t>
  </si>
  <si>
    <t>Fish swimming capacity is a key life history trait critical to many aspects of their ecology. U-crit (critical) swimming speeds provide a robust, repeatable relative measure of swimming speed that can serve as a useful surrogate for other measures of swimming performance. Here we collate and make available one the most comprehensive datasets on U-crit swimming abilities of tropical marine fish larvae and pelagic juveniles, most of which are reef associated as adults. The dataset includes U-crit speed measurements for settlement stage fishes across a large range of species and families obtained mostly from field specimens collected in light traps and crest nets; and the development of swimming abilities throughout ontogeny for a range of species using reared larvae. In nearly all instances, the size of the individual was available, and in many cases, data include other morphological measurements (e.g. propulsive area) useful for predicting swimming capacity. We hope these data prove useful for further studies of larval swimming performance and other broader syntheses.</t>
  </si>
  <si>
    <t>[Fisher, Rebecca] Australian Inst Marine Sci Crawley, Crawley, WA, Australia; [Fisher, Rebecca; Wilson, Shaun K.] Univ Western Australia, Oceans Inst, Crawley, WA, Australia; [Fisher, Rebecca; Wilson, Shaun K.] Sch Plant Biol, Crawley, WA, Australia; [Leis, Jeffrey M.] Univ Tasmania, Inst Marine &amp; Antarctic Studies, Hobart, Tas 7001, Australia; [Leis, Jeffrey M.] Australian Museum Res Inst, Dept Ichthyol, William St, Sydney, NSW 2001, Australia; [Hogan, J. Derek] Texas A&amp;M Univ, Dept Life Sci, 6300 Ocean Dr,Unit 5892, Corpus Christi, TX 78412 USA; [Bellwood, David R.] James Cook Univ, Dept Marine Biol, Townsville, Qld 4811, Australia; [Wilson, Shaun K.] Dept Biodivers Conservat &amp; Attract, Sci &amp; Conservat Div, Marine Sci Program, Kensington, WA 6151, Australia; [Job, Suresh D.] Batavia Coast Maritime Inst, Cent Reg TAFE, Geraldton, WA 6530, Australia</t>
  </si>
  <si>
    <t>University of Western Australia; University of Tasmania; Australian Museum; Texas A&amp;M University System; James Cook University</t>
  </si>
  <si>
    <t>Fisher, R (corresponding author), Australian Inst Marine Sci Crawley, Crawley, WA, Australia.;Fisher, R (corresponding author), Univ Western Australia, Oceans Inst, Crawley, WA, Australia.;Fisher, R (corresponding author), Sch Plant Biol, Crawley, WA, Australia.</t>
  </si>
  <si>
    <t>r.fisher@aims.gov.au</t>
  </si>
  <si>
    <t>Leis, Jeffrey M/JCE-0397-2023; Leis, Jeffrey M/E-7502-2012; Wilson, Shaun/K-8597-2019; Fisher, Rebecca/C-5459-2011</t>
  </si>
  <si>
    <t>Leis, Jeffrey M/0000-0003-0603-3447; Leis, Jeffrey M/0000-0003-0603-3447; Wilson, Shaun/0000-0002-4590-0948; Fisher, Rebecca/0000-0001-5148-6731</t>
  </si>
  <si>
    <t>Lizard Island Research Station (Australian Museum); Centre for Marine Resource Studies (The School for Field Studies, South Caicos Island); Department of Environment and Coastal Resources (South Caicos Island); Lizard Island Doctoral Fellowship (Australian Museum); CRC Reef Research Centre; Australia Research Council [FL190100062, DP0345876]; Australian Coral Reef Society; DST International Science Linkages Programme [ISL-CG03-0043]; NSERC; SharcNet funding; Ontario Graduate Scholarship for Science and Technology; Australian Research Council [DP0345876] Funding Source: Australian Research Council</t>
  </si>
  <si>
    <t>Lizard Island Research Station (Australian Museum); Centre for Marine Resource Studies (The School for Field Studies, South Caicos Island); Department of Environment and Coastal Resources (South Caicos Island); Lizard Island Doctoral Fellowship (Australian Museum); CRC Reef Research Centre(Australian GovernmentDepartment of Industry, Innovation and ScienceCooperative Research Centres (CRC) Programme); Australia Research Council(Australian Research Council); Australian Coral Reef Society; DST International Science Linkages Programme; NSERC(Natural Sciences and Engineering Research Council of Canada (NSERC)); SharcNet funding; Ontario Graduate Scholarship for Science and Technology(Ontario Graduate Scholarship); Australian Research Council(Australian Research Council)</t>
  </si>
  <si>
    <t>We thank I.C. Stobutzki, M. McCormick, R. Alford and R. Rowe for use of experimental and technical equipment, C. Nolan for providing samples from crest nets in Belize, and M. McCormick for providing some light trap caught specimens at Lizard Island. David Lecchini is thanked for the use of his crest net in Moorea. Larval rearing and experiment work were supported by the staff of the James Cook University Research Aquarium and the Lizard island research station. Field work and logistics for this research was supported by the Lizard Island Research Station (Australian Museum), the Centre for Marine Resource Studies (The School for Field Studies, South Caicos Island); the Department of Environment and Coastal Resources (South Caicos Island); and the staff of the University of Belize Institute of Marine Field Studies. Reared larvae were provided by Alain Duday, Charles Guion of Lautan Production. Rene Galzin facilitated research in Moorea and France. Yannick Chancerelle, Director of CRIOBE in Moorea, made work there possible. Work in Taiwan was made possible by K.-T. Shao, Academica Sinica, and the director, L.-S. Fang, and staff of National Museum of Marine Biology and Aquarium. L.-H. Chao spent many hours helping to obtain larvae from Taiwanese aquaculturists. The following volunteers provided valuable field and experimental assistance: S. Street, P. Hansen, H. Parks, K. Hutson, S. Golding, D. Fisher, R. Ferris, C. Nolan, D. Clarke, M. Gaither, A. Hay, A. Hicks, S. Bullock, R. Piola, K. Wright, C. Wen, and K. Kan. DNA barcode identifications were carried out by M. Gaither, R. Mason and R. Johnson. H. Motomura confirmed identifications of polynemid larvae. A. Hay provided data from the Australian Museum collection database on specimens from Moorea and Taiwan. Some experimental specimens were provided by S. Simpson, O. Haine and M. McCormick. Portions of the original data collection were funded and/or the researchers were supported through various grants, including a Lizard Island Doctoral Fellowship (Australian Museum) (RF), an augmentative research grant from the CRC Reef Research Centre (RF), the Australia Research Council (DRB[FL190100062], JML[DP0345876]), the Australian Coral Reef Society (RF), a DST International Science Linkages Programme (ISL-CG03-0043) (JML), NSERC and SharcNet funding (RF), and an Ontario Graduate Scholarship for Science and Technology (JDH). Research in France and Moorea was carried out while JML was Visiting Professor at Laboratoire Ecosystemes Aquatiques Tropicaux et Mediterraneens, USR 3278 CNRS-EPHE, Universite de Perpignan.</t>
  </si>
  <si>
    <t>2052-4463</t>
  </si>
  <si>
    <t>SCI DATA</t>
  </si>
  <si>
    <t>Sci. Data</t>
  </si>
  <si>
    <t>10.1038/s41597-022-01146-3</t>
  </si>
  <si>
    <t>YX1OR</t>
  </si>
  <si>
    <t>WOS:000753878600001</t>
  </si>
  <si>
    <t>Tang, KK; Smith, SY; Atkinson, BA</t>
  </si>
  <si>
    <t>Tang, Keana K.; Smith, Selena Y.; Atkinson, Brian A.</t>
  </si>
  <si>
    <t>Extending beyond Gondwana: Cretaceous Cunoniaceae from western North America</t>
  </si>
  <si>
    <t>NEW PHYTOLOGIST</t>
  </si>
  <si>
    <t>biotic exchange; Ceratopetalum; Cretaceous; Cunoniaceae; fossil fruits; Gondwana; phylogenetics</t>
  </si>
  <si>
    <t>CERATOPETALUM CUNONIACEAE; FOSSIL; FRUITS; JUGLANDACEAE; EVOLUTIONARY; TROPIDOGYNE; ANTARCTICA; PATAGONIA; PHYLOGENY; EOCENE</t>
  </si>
  <si>
    <t>Cunoniaceae are important elements of rainforests across the Southern Hemisphere. Many of these flowering plants are considered Paleo-Antarctic Rainforest Lineages that had a Gondwanan distribution since the Paleocene. Fossils of several modern genera within the family, such as Ceratopetalum, have indicated biogeographical connections between South America and Australia in the Cenozoic. Here, we report a dramatic geographical range extension for Ceratopetalum, and Cunoniaceae as a whole, based on two exceptionally preserved fossil winged fruits from Campanian (c. 82-80 Ma old) deposits on Sucia Island, Washington, USA. The fossils were studied using physical sectioning, light microscopy, micro-computed tomography scanning and multiple phylogenetic analyses. The fossil fruits share diagnostic characters with Ceratopetalum such as the presence of four to five persistent calyx lobes, a prominent nectary disk, persistent stamens, a semi-inferior ovary and two persistent styles. Based on morphological comparisons with fruits of extant species and support from phylogenetic analyses, the fossils are assigned to a new species Ceratopetalum suciensis. These fossils are the first unequivocal evidence of crown Cunoniaceae from the Cretaceous of North America, indicating a more complicated biogeographical history for this important Gondwanan family.</t>
  </si>
  <si>
    <t>[Tang, Keana K.; Atkinson, Brian A.] Univ Kansas, Dept Ecol &amp; Evolutionary Biol, Lawrence, KS 66045 USA; [Tang, Keana K.; Atkinson, Brian A.] Univ Kansas, Biodivers Inst, Lawrence, KS 66045 USA; [Smith, Selena Y.] Univ Michigan, Earth &amp; Environm Sci, Ann Arbor, MI 48109 USA; [Smith, Selena Y.] Univ Michigan, Museum Paleontol, Ann Arbor, MI 48109 USA</t>
  </si>
  <si>
    <t>University of Kansas; University of Kansas; University of Michigan System; University of Michigan; University of Michigan System; University of Michigan</t>
  </si>
  <si>
    <t>Tang, KK (corresponding author), Univ Kansas, Dept Ecol &amp; Evolutionary Biol, Lawrence, KS 66045 USA.;Tang, KK (corresponding author), Univ Kansas, Biodivers Inst, Lawrence, KS 66045 USA.</t>
  </si>
  <si>
    <t>keanatang@ku.edu</t>
  </si>
  <si>
    <t>Smith, Selena/I-6259-2012</t>
  </si>
  <si>
    <t>Smith, Selena/0000-0002-5923-0404; Tang, Keana/0000-0002-7032-0638</t>
  </si>
  <si>
    <t>Department of Earth &amp; Environmental Sciences; College of Literature, Science, and the Arts; Paleontological Society N. Gary Lane Student Research Award; Arthur James Boucot Research Grant; National Science Foundation (NSF) [OPP-1953993, OPP-1953960]</t>
  </si>
  <si>
    <t>Department of Earth &amp; Environmental Sciences; College of Literature, Science, and the Arts; Paleontological Society N. Gary Lane Student Research Award; Arthur James Boucot Research Grant; National Science Foundation (NSF)(National Science Foundation (NSF))</t>
  </si>
  <si>
    <t>We thank David W. Starr and Jim Goedert (Washington, USA) for the collection of fossils as well as Steven R. Manchester, Florida Museum of Natural History, University of Florida, for bringing the study material to our attention. Fossil material is credited to Washington State Parks and Recreation Commission. We thank Caleb Morse (McGregor Herbarium, University of Kansas), M. Alejandra Gandolfo (Cornell University), L.H. Bailey Hortorium Herbarium and Harvard University Gray Herbarium for facilitating access to extant fruits. This study includes data produced in the CTEES facility at University of Michigan, supported by the Department of Earth &amp; Environmental Sciences and College of Literature, Science, and the Arts. We are grateful for the constructive reviews provided by the anonymous reviewers. This work was funded in part by the Paleontological Society N. Gary Lane Student Research Award (awarded to KKT), Arthur James Boucot Research Grant, and National Science Foundation (NSF) grants OPP-1953993 (awarded to BAA) and OPP-1953960 (awarded to SYS). The authors declare no competing interests.</t>
  </si>
  <si>
    <t>0028-646X</t>
  </si>
  <si>
    <t>1469-8137</t>
  </si>
  <si>
    <t>NEW PHYTOL</t>
  </si>
  <si>
    <t>New Phytol.</t>
  </si>
  <si>
    <t>10.1111/nph.17976</t>
  </si>
  <si>
    <t>Plant Sciences</t>
  </si>
  <si>
    <t>ZV1GN</t>
  </si>
  <si>
    <t>WOS:000753539100001</t>
  </si>
  <si>
    <t>Green, CP; Ratcliffe, N; Mattern, T; Thompson, D; Lea, MA; Wotherspoon, S; Borboroglu, PG; Ellenberg, U; Morrison, KW; Pütz, K; Sagar, PM; Seddon, PJ; Torres, LG; Hindell, MA</t>
  </si>
  <si>
    <t>Green, Cara-Paige; Ratcliffe, Norman; Mattern, Thomas; Thompson, David; Lea, Mary-Anne; Wotherspoon, Simon; Borboroglu, Pablo Garcia; Ellenberg, Ursula; Morrison, Kyle W.; Puetz, Klemens; Sagar, Paul M.; Seddon, Philip J.; Torres, Leigh G.; Hindell, Mark A.</t>
  </si>
  <si>
    <t>The role of allochrony in influencing interspecific differences in foraging distribution during the non-breeding season between two congeneric crested penguin species</t>
  </si>
  <si>
    <t>EUDYPTES-CHRYSOLOPHUS; ROCKHOPPER PENGUINS; CHRYSOCOME PENGUINS; MARINE HABITAT; SEGREGATION; POPULATION; ECOLOGY; NICHE; ZOOPLANKTON; COMMUNITIES</t>
  </si>
  <si>
    <t>Mechanisms promoting coexistence between closely related species are fundamental for maintaining species diversity. Mechanisms of niche differentiation include allochrony which offsets the peak timing of resource utilisation between species. Many studies focus on spatial and temporal niche partitioning during the breeding season, few have investigated the role allochrony plays in influencing interspecific segregation of foraging distribution and ecology between congeneric species during the non-breeding season. We investigated the non-breeding migrations of Snares (Eudyptes robustus) and Fiordland penguins (Eudyptes pachyrhynchus), closely related species breeding between 100-350 km apart whose migration phenology differs by two months. Using light geolocation tracking, we examined the degree of overlap given the observed allochrony and a hypothetical scenario where the species commence migration simultaneously. We found that Fiordland penguins migrated to the Sub-Antarctic Frontal Zone and Polar Frontal Zone in the austral autumn whereas Snares penguins disperse westwards staying north of the Sub-Tropical Front in the austral winter. Our results suggest that allochrony is likely to be at the root of segregation because the relative profitability of the different water masses that the penguins forage in changes seasonally which results in the two species utilising different areas over their core non-breeding periods. Furthermore, allochrony reduces relatively higher levels of spatiotemporal overlap during the departure and arrival periods, when the close proximity of the two species' colonies would cause the birds to congregate in similar areas, resulting in high interspecific competition just before the breeding season. Available evidence from other studies suggests that the shift in phenology between these species has arisen from adaptive radiation and phenological matching to the seasonality of local resource availability during the breeding season and reduced competitive overlap over the non-breeding season is likely to be an incidental outcome.</t>
  </si>
  <si>
    <t>[Green, Cara-Paige; Lea, Mary-Anne; Wotherspoon, Simon; Hindell, Mark A.] Univ Tasmania, Inst Marine &amp; Antarctic Studies, Hobart, Tas, Australia; [Ratcliffe, Norman] British Antarctic Survey, Cambridge, England; [Mattern, Thomas; Borboroglu, Pablo Garcia] New Zealand Penguin Initiat, Dunedin, New Zealand; [Mattern, Thomas; Seddon, Philip J.] Univ Otago, Dept Zool, Dunedin, New Zealand; [Mattern, Thomas; Borboroglu, Pablo Garcia; Ellenberg, Ursula] Global Penguin Soc, Puerto Madryn, Chubut, Argentina; [Thompson, David; Morrison, Kyle W.] Natl Inst Water &amp; Atmospher Res Ltd, Wellington, New Zealand; [Lea, Mary-Anne; Hindell, Mark A.] Univ Tasmania, Australian Ctr Excellence Antarctic Sci, Hobart, Tas, Australia; [Wotherspoon, Simon] Australian Antarctic Div, Dept Agr Water &amp; Environm, Kingston, Tas, Australia; [Borboroglu, Pablo Garcia] Consejo Nacl Invest Cient &amp; Tecn, CESIMAR, Ctr El Estudio Sistemas Marinos, Puerto Madryn, Chubut, Argentina; [Ellenberg, Ursula] La Trobe Univ, Dept Ecol Environm &amp; Evolut, Melbourne, Vic, Australia; [Puetz, Klemens] Antarctic Res Trust, Bremervorde, Germany; [Sagar, Paul M.] Natl Inst Water &amp; Atmospher Res Ltd, Christchurch, New Zealand; [Torres, Leigh G.] Oregon State Univ, Marine Mammal Inst, Dept Fisheries &amp; Wildlife, Newport, OR USA</t>
  </si>
  <si>
    <t>University of Tasmania; UK Research &amp; Innovation (UKRI); Natural Environment Research Council (NERC); NERC British Antarctic Survey; University of Otago; National Institute of Water &amp; Atmospheric Research (NIWA) - New Zealand; University of Tasmania; Australian Antarctic Division; Consejo Nacional de Investigaciones Cientificas y Tecnicas (CONICET); Melbourne Genomics Health Alliance; La Trobe University; National Institute of Water &amp; Atmospheric Research (NIWA) - New Zealand; Oregon State University</t>
  </si>
  <si>
    <t>Green, CP (corresponding author), Univ Tasmania, Inst Marine &amp; Antarctic Studies, Hobart, Tas, Australia.</t>
  </si>
  <si>
    <t>carapaige.green@utas.edu.au</t>
  </si>
  <si>
    <t>Hindell, Mark A/K-1131-2013; Mattern, Thomas/AAJ-6325-2020; Seddon, Philip/G-8659-2011; Lea, Mary-Anne/E-9054-2013</t>
  </si>
  <si>
    <t>Mattern, Thomas/0000-0003-0745-8180; Green, Cara-Paige/0000-0002-3582-8321; Seddon, Philip/0000-0001-9076-9566; Lea, Mary-Anne/0000-0001-8318-9299</t>
  </si>
  <si>
    <t>Global Penguin Society; National Geographic; British Ornithologists' Union (BOU) John &amp; Pat Warham Studentship</t>
  </si>
  <si>
    <t>Global Penguin Society; National Geographic(National Geographic Society); British Ornithologists' Union (BOU) John &amp; Pat Warham Studentship</t>
  </si>
  <si>
    <t>This work was supported by donations from the Antarctic Research Trust, Global Penguin Society and National Geographic. The funders provided support in the form of salaries and/or by covering the costs of field work for authors KP, PGB and KWM, but did not have any additional role in the study design, data collection and analysis, decision to publish, or preparation of the manuscript. The specific roles of these authors are articulated in the Authors' contributions section. This study forms part of a PhD funded by a British Ornithologists' Union (BOU) John &amp; Pat Warham Studentship from a bequest left to the BOU by the late John and Pat Warham for the study of Sphenisciform and Procellariiform seabirds by a student from Commonwealth countries.</t>
  </si>
  <si>
    <t>FEB 9</t>
  </si>
  <si>
    <t>e0262901</t>
  </si>
  <si>
    <t>10.1371/journal.pone.0262901</t>
  </si>
  <si>
    <t>2S0NR</t>
  </si>
  <si>
    <t>Green Published, gold, Green Accepted</t>
  </si>
  <si>
    <t>WOS:000821499100015</t>
  </si>
  <si>
    <t>Jordanova, D; Jordanova, N; Dimov, D; Georgieva, B; Ishlyamski, D</t>
  </si>
  <si>
    <t>Jordanova, Diana; Jordanova, Neli; Dimov, Dimo; Georgieva, Bozhurka; Ishlyamski, Daniel</t>
  </si>
  <si>
    <t>The role of tephra additions on development of incipient soils from Livingston Island (Antarctic Peninsula) revealed by environmental magnetism</t>
  </si>
  <si>
    <t>CATENA</t>
  </si>
  <si>
    <t>Antarctic soils; Environmental magnetism; Iron oxides; Soil geochemical composition; Livingston Island</t>
  </si>
  <si>
    <t>SOUTH-SHETLAND ISLANDS; FREQUENCY-DEPENDENT SUSCEPTIBILITY; MCMURDO DRY VALLEYS; VERWEY TRANSITION; LOW-TEMPERATURE; HURD PENINSULA; COERCIVITY; MINERALOGY; REMANENCE; INDEXES</t>
  </si>
  <si>
    <t>Soils from maritime Antarctica store important information about initialization of pedogenesis and role of the major factors of soil formation. Deciphering the interplay among all contributing agents is however challenging and needs involvement of an interdisciplinary approach. The main aim of our study is to contribute to this goal by assessing mineral magnetic signature of a collection of topsoils from Livingston Island and investigate the major contributing factors, determining their magnetic properties. A set of 23 soil samples from Hurd Peninsula at Livingston Island were studied. Magnetic susceptibility and frequency dependent magnetic susceptibility measurements, anhysteretic remanent magnetization, hysteresis measurements at room temperature and low temperatures were carried out. Identification of magnetic minerals was achieved through thermomagnetic measurements of magnetic susceptibility and analysis of Isothermal Remanence acquisition. Magnetic measurements were supplemented by geochemical analyses of total elemental composition by X-ray fluorescence spectrometry and selective Fe- and Al- extractions by Dithionite-Citrate-Bicarbonate and ammonium oxalate. Magnetic results indicate that composition of iron oxides in soils differs significantly from that of bedrocks by the presence of titianomagnetite fractions with high- and medium Ti-content, while rocks' mineralogy is dominated by paramagnetic minerals or by coarse grained multi-domain magnetite. Titanomagnetite phases were ascribed to the input of tephra additions from the nearby Deception Island. Based on the magnetic susceptibility measurements at low temperatures it was concluded that a fraction of fine grained magnetite is present in soils, in addition to titanomagnetite. Geochemical data reveal differences between the composition of soils and main rock lithologies, which is also assigned to tephra input. Amount of ammonium-oxalate extractable iron and aluminum were higher than that extracted by dithionite, which was attributed to fast tephra weathering in cold polar climate.</t>
  </si>
  <si>
    <t>[Jordanova, Diana; Jordanova, Neli; Dimov, Dimo; Georgieva, Bozhurka; Ishlyamski, Daniel] Bulgarian Acad Sci, Natl Inst Geophys Geodesy &amp; Geog, Acad G Bonchev Str,Block 3, Sofia 1113, Bulgaria</t>
  </si>
  <si>
    <t>Bulgarian Academy of Sciences</t>
  </si>
  <si>
    <t>Jordanova, N (corresponding author), Bulgarian Acad Sci, Natl Inst Geophys Geodesy &amp; Geog, Acad G Bonchev Str,Block 3, Sofia 1113, Bulgaria.</t>
  </si>
  <si>
    <t>diana_jordanova77@abv.bg; neli_jordanova@hotmail.com; dimo@gea.uni-sofia.bg; bojurkageorgieva97@abv.bg; kirilishlyamski@abv.bg</t>
  </si>
  <si>
    <t>Jordanova, Diana/0000-0003-0595-3153; Georgieva, Bozhurka/0000-0002-5138-5460</t>
  </si>
  <si>
    <t>Bulgarian National Center for Polar Studies at Sofia University St. Kl. Ohridski [70.25-133]</t>
  </si>
  <si>
    <t>Bulgarian National Center for Polar Studies at Sofia University St. Kl. Ohridski</t>
  </si>
  <si>
    <t>This study is financially supported by grant No 70.25-133 of the Bulgarian National Center for Polar Studies at Sofia UniversityT St. Kl. Ohridski. We are grateful to Prof. Ann Hirt from ETH-Zurich for providing access to low-temperature measurements and hysteresis measurements and Prof. R. Kretzschmar from the Laboratory of Environmental Chemistry at ETH -Zurich for access to the laboratory facilities and guidance for performing geochemical analyses. We are grateful for the comments and suggestions made by the three Reviewers which helped for improvement of the manuscript.</t>
  </si>
  <si>
    <t>0341-8162</t>
  </si>
  <si>
    <t>1872-6887</t>
  </si>
  <si>
    <t>Catena</t>
  </si>
  <si>
    <t>10.1016/j.catena.2022.106103</t>
  </si>
  <si>
    <t>Geosciences, Multidisciplinary; Soil Science; Water Resources</t>
  </si>
  <si>
    <t>Geology; Agriculture; Water Resources</t>
  </si>
  <si>
    <t>0Y5NI</t>
  </si>
  <si>
    <t>WOS:000790436800005</t>
  </si>
  <si>
    <t>Li, JX; Zhang, D; Gao, FL; Sun, CJ; Cao, W; Jiang, FH</t>
  </si>
  <si>
    <t>Li, Jingxi; Zhang, Di; Gao, Fenglei; Sun, Chengjun; Cao, Wei; Jiang, Fenghua</t>
  </si>
  <si>
    <t>Occurrence and spatial distribution of trace metals in seawaters of the Drake Passage and Antarctic Peninsula</t>
  </si>
  <si>
    <t>Trace metals; Drake Passage; Seawater; Antarctic Peninsula</t>
  </si>
  <si>
    <t>KING GEORGE ISLAND; BAY ROSS SEA; FILDES PENINSULA; ADMIRALTY BAY; CONTAMINATION; SEDIMENTS; STATION; BIOACCUMULATION; MICROPLASTICS; ORGANISMS</t>
  </si>
  <si>
    <t>In this study, surface seawater was collected from 82 stations in the Drake Passage and Antarctic Peninsula sea area, and the distribution characteristics and correlations of 11 trace elements (i.e., V, Cr, Mn, Co, Cu, Zn, As, Mo, Cd, Pb, and U) in the seawater were analyzed. Results showed remarkable differences in the concentration of different elements, among which those of Mn (53.15%), Mo (22.77%), Zn (9.81%), and U (6.23%) were relatively high. The concentration of trace elements in Drake Passage water was relatively low, likely because a westerly drift that enhances large circulating currents exists in the sea area, thereby affecting the distribution of substances in the water. Mn, Co, Cu, Zn, Cd, and Pb showed relatively high concentrations at more stations than the other elements, and the high concentrations of Mn, Co, and Cd were mainly found in shallow water areas. U-V, Mo-V, As-V, As-Mo, As-U, and Mo-U demonstrated good linear correlations with correlation coefficients in the range of 0.878-0.961. These results could provide support for further explorations of the environmental behavior of trace elements in Antarctica.</t>
  </si>
  <si>
    <t>[Li, Jingxi; Zhang, Di; Gao, Fenglei; Sun, Chengjun; Cao, Wei; Jiang, Fenghua] Minist Nat Resources, Inst Oceanog 1, Key Lab Marine Ecoenvironm Sci &amp; Technol, Qingdao 266061, Peoples R China; [Li, Jingxi] Shandong Univ Sci &amp; Technol, Coll Safety &amp; Environm Engn, Qingdao 266590, Peoples R China; [Sun, Chengjun] Qingdao Natl Lab Marine Sci &amp; Technol, Lab Marine Drugs &amp; Biol Prod, Qingdao 266071, Peoples R China; [Gao, Fenglei] Ocean Univ China, Key Lab Marine Chem Theory &amp; Technol, Minist Educ, Qingdao 266100, Peoples R China</t>
  </si>
  <si>
    <t>Ministry of Natural Resources of the People's Republic of China; First Institute of Oceanography, Ministry of Natural Resources; Shandong University of Science &amp; Technology; Laoshan Laboratory; Ocean University of China</t>
  </si>
  <si>
    <t>Li, JX; Sun, CJ (corresponding author), Minist Nat Resources, Inst Oceanog 1, Key Lab Marine Ecoenvironm Sci &amp; Technol, Qingdao 266061, Peoples R China.</t>
  </si>
  <si>
    <t>jxli@fio.org.cn; csun@fio.org.cn</t>
  </si>
  <si>
    <t>JIANG, Feng/HTP-2862-2023</t>
  </si>
  <si>
    <t>Basic Scientific Fund for National Public Research Institutes of China [2020Q10]; Investigation and Evaluation of Microplastics in Seawater [ZY0721004]; Strategic Priority Research Program of the Chinese Academy of Sciences [XDA19090123]</t>
  </si>
  <si>
    <t>Basic Scientific Fund for National Public Research Institutes of China; Investigation and Evaluation of Microplastics in Seawater; Strategic Priority Research Program of the Chinese Academy of Sciences(Chinese Academy of Sciences)</t>
  </si>
  <si>
    <t>The authors gratefully acknowledge the Basic Scientific Fund for National Public Research Institutes of China (No. 2020Q10), Investigation and Evaluation of Microplastics in Seawater (No. ZY0721004) and the Strategic Priority Research Program of the Chinese Academy of Sciences (Grant No. XDA19090123).</t>
  </si>
  <si>
    <t>10.1016/j.marpolbul.2022.113387</t>
  </si>
  <si>
    <t>0P6CU</t>
  </si>
  <si>
    <t>WOS:000784314900007</t>
  </si>
  <si>
    <t>Tejedo, P; Benayas, J; Cajiao, D; Leung, YF; De Filippo, D; Liggett, D</t>
  </si>
  <si>
    <t>Tejedo, P.; Benayas, J.; Cajiao, D.; Leung, Y. -F.; De Filippo, D.; Liggett, D.</t>
  </si>
  <si>
    <t>What are the real environmental impacts of Antarctic tourism? Unveiling their importance through a comprehensive meta-analysis</t>
  </si>
  <si>
    <t>JOURNAL OF ENVIRONMENTAL MANAGEMENT</t>
  </si>
  <si>
    <t>Bibliometric analysis; Cumulative impacts; Monitoring; Adaptive Management; Strategic conservation; Natural protected areas</t>
  </si>
  <si>
    <t>TERM POPULATION TRENDS; GENTOO PENGUINS; LONG-TERM; GOUDIER ISLAND; HUMAN VISITORS; MANAGEMENT; SCIENCE; RESPONSES; ADELIE; SITE</t>
  </si>
  <si>
    <t>Human activities in Antarctica were increasing before the COVID-19 pandemic, and tourism was not an exception. The growth and diversification of Antarctic tourism over the last few decades have been extensively studied. However, environmental impacts associated with this activity have received less attention despite an increasing body of scholarship examining environmental issues related to Antarctic tourism. Aside from raising important research questions, the potential negative effects of tourist visits in Antarctica are also an issue discussed by Antarctic Treaty Consultative Parties. This study presents the results of a meta-analysis of scholarly publications that synthesizes and updates our current knowledge of environmental impacts resulting from Antarctic tourism. A first publication database containing 233 records that focussed on this topic was compiled and subjected to a general bibliometric and content analysis. Further, an in-depth content analysis was performed on a subset of 75 records, which were focussed on showing specific research on Antarctic tourism impacts. The main topic, methods, management proposals, and research gaps highlighted by the respective authors of these 75 publications were assessed. The range of research topics addressed, the methods used - including the application of established research designs from the field of environmental impact assessment -, and the conclusions reached by the study authors are discussed. Interestingly, almost one third of the studies did not detect a direct relationship between tourism and significant negative effects on the environment. Cumulative impacts of tourism have received little attention, and long-term and comprehensive monitoring programs have been discussed only rarely, leading us to assume that such long-term programs are scarce. More importantly, connections between research and policy or management do not always exist. This analysis highlights the need for a comprehensive strategy to investigate and monitor the environmental impacts of tourism in Antarctica. A first specific research and monitoring programme to stimulate a debate among members of the Antarctic scientific and policy communities is proposed, with the ultimate goal of advancing the regulation and management of Antarctic tourism collaboratively.</t>
  </si>
  <si>
    <t>[Tejedo, P.; Benayas, J.; Cajiao, D.] Univ Autonoma Madrid, Grp Invest ECOPOLAR Biol &amp; Ecol Ambientes Polares, Dept Ecol, C Darwin 2, E-28049 Madrid, Spain; [Cajiao, D.] Univ San Francisco Quito, Inst Ecol Aplicada ECOLAP USFQ, POB 1712841, Cumbaya, Ecuador; [Leung, Y. -F.] North Carolina State Univ, Dept Pk Recreat &amp; Tourism Management, 5107 Jordan Hall, Raleigh, NC 27695 USA; [Leung, Y. -F.] North Carolina State Univ, Ctr Geospatial Analyt, 5107 Jordan Hall, Raleigh, NC 27695 USA; [De Filippo, D.] Univ Carlos III Madrid, Lab Estudios Metr Informac LEMI, Dept Bibliotecon &amp; Documentac, E-28903 Getafe, Spain; [De Filippo, D.] UAM, UC3M, Res Inst Higher Educ &amp; Sci INAECU, E-28903 Getafe, Spain; [Liggett, D.] Univ Canterbury, Gateway Antarctica, Private Bag 4800, Christchurch 8140, New Zealand</t>
  </si>
  <si>
    <t>Autonomous University of Madrid; Universidad San Francisco de Quito; North Carolina State University; North Carolina State University; Universidad Carlos III de Madrid; Universidad Carlos III de Madrid; Autonomous University of Madrid; University of Canterbury</t>
  </si>
  <si>
    <t>Tejedo, P (corresponding author), Univ Autonoma Madrid, Grp Invest ECOPOLAR Biol &amp; Ecol Ambientes Polares, Dept Ecol, C Darwin 2, E-28049 Madrid, Spain.</t>
  </si>
  <si>
    <t>pablo.tejedo@uam.es; javier.benayas@uam.es; danicajiao@gmail.com; leung@ncsu.edu; daniela.liggett@canterbury.ac.nz; daniela.liggett@canterbury.ac.nz</t>
  </si>
  <si>
    <t>De Filippo, Daniela/F-6399-2013; Tejedo, Pablo/A-7163-2010; Benayas Del Alamo, Fco. Javier/E-5663-2017</t>
  </si>
  <si>
    <t>De Filippo, Daniela/0000-0001-9297-9970; Benayas Del Alamo, Fco. Javier/0000-0002-5906-9569; Leung, Yu-Fai/0000-0002-0928-798X</t>
  </si>
  <si>
    <t>ANTECO project - Spanish State Research Agency [CGL2017-89820-P]; Special Project Fund of the Academic Consortium for the 21st Century (AC21)</t>
  </si>
  <si>
    <t>ANTECO project - Spanish State Research Agency; Special Project Fund of the Academic Consortium for the 21st Century (AC21)</t>
  </si>
  <si>
    <t>This research was supported by ANTECO project (Ref. CGL2017-89820-P), funded by the Spanish State Research Agency. This paper also contributes to the AC21 Project: Developing a Collaborative Research Network for Antarctic Tourism, supported by the Special Project Fund of the Academic Consortium for the 21st Century (AC21).</t>
  </si>
  <si>
    <t>ACADEMIC PRESS LTD- ELSEVIER SCIENCE LTD</t>
  </si>
  <si>
    <t>24-28 OVAL RD, LONDON NW1 7DX, ENGLAND</t>
  </si>
  <si>
    <t>0301-4797</t>
  </si>
  <si>
    <t>1095-8630</t>
  </si>
  <si>
    <t>J ENVIRON MANAGE</t>
  </si>
  <si>
    <t>J. Environ. Manage.</t>
  </si>
  <si>
    <t>APR 15</t>
  </si>
  <si>
    <t>10.1016/j.jenvman.2022.114634</t>
  </si>
  <si>
    <t>Environmental Sciences</t>
  </si>
  <si>
    <t>Environmental Sciences &amp; Ecology</t>
  </si>
  <si>
    <t>0O9QC</t>
  </si>
  <si>
    <t>WOS:000783857300001</t>
  </si>
  <si>
    <t>Ma, YY; Li, F; Wang, ZM; Zou, XQ; An, JC; Li, B</t>
  </si>
  <si>
    <t>Ma, Yuanyuan; Li, Fei; Wang, Zemin; Zou, Xiaoqing; An, Jiachun; Li, Bing</t>
  </si>
  <si>
    <t>Landslide Assessment and Monitoring along the Jinsha River, Southwest China, by Combining InSAR and GPS Techniques</t>
  </si>
  <si>
    <t>JOURNAL OF SENSORS</t>
  </si>
  <si>
    <t>3 GORGES RESERVOIR; TIME-SERIES; DISTRIBUTED SCATTERERS; JIAJU LANDSLIDE; MOVEMENT; SLOPE; INTERFEROMETRY</t>
  </si>
  <si>
    <t>This paper focuses on ancient landslides located along the Jinsha River between the Ahai hydropower station (AHHs) and Liyuan hydropower station (LYHs). High-precision landslide monitoring and accurate understanding of inducing factors are important for landslide stability analysis. However, it is often difficult to monitor and analyze landslide movement due to rough terrain and the complex inducing factors in the mountain area. In this paper, the ancient landslides can be monitored by distributed scatterers-based interferometric synthetic aperture radar (DS-InSAR) technology and global positioning systems (GPS). DS-InSAR can obtain enough measurement points based on the persistent scatterers and distributed scatterers. Besides, we present the results of GPS measurement as a comparison and supplement to DS-InSAR. Our results illustrate that DS-InSAR measurement and GPS measurement show high-level consistency. To comprehensively analyze the triggering factors of landslide deformation, we derive the spatiotemporal movement characteristics of the XinJian (XJ) landslide and find that the XJ landslide movement is very nonuniform, which is closely related to soil weathering. The XJ landslide movement undergoes periodic acceleration. We deduce that the motion of the landslide may be affected by precipitation and water level fluctuation and indicate that the combination of precipitation and water level fluctuation is the most serious triggering factor. During the period from August to September, the rate of landslide movement reached a peak value, which was highly consistent with the precipitation and water level records. Additionally, the rescaled range method (R/S) is used to analyze the stability of the XJ landslide. The results show that hydrological conditions are an essential factor in the stability of the landslide. In other words, the more precipitation there is, the larger the water level changes and the more unstable the landslide.</t>
  </si>
  <si>
    <t>[Ma, Yuanyuan; Li, Fei] Wuhan Univ, Elect Informat Sch, Wuhan 430072, Hubei, Peoples R China; [Ma, Yuanyuan; Li, Fei; Wang, Zemin; An, Jiachun; Li, Bing] Wuhan Univ, Chinese Antarctic Ctr Surveying &amp; Mapping, Wuhan 430079, Hubei, Peoples R China; [Zou, Xiaoqing] Kunming Univ Sci &amp; Technol, Kunming 650093, Yunnan, Peoples R China</t>
  </si>
  <si>
    <t>Wuhan University; Wuhan University; Kunming University of Science &amp; Technology</t>
  </si>
  <si>
    <t>Li, F (corresponding author), Wuhan Univ, Elect Informat Sch, Wuhan 430072, Hubei, Peoples R China.;Li, F (corresponding author), Wuhan Univ, Chinese Antarctic Ctr Surveying &amp; Mapping, Wuhan 430079, Hubei, Peoples R China.</t>
  </si>
  <si>
    <t>mayuanyuan123@whu.edu.cn; feili_wh@163.com; zmwang@whu.edu.cn; 514012196@qq.com; jcan@whu.edu.cn; binglee@whu.edu.cn</t>
  </si>
  <si>
    <t>Li, bo/IWL-9318-2023; li, bing/GWQ-9617-2022; Li, Kun/JLL-6505-2023; li, bai/JNE-1502-2023; Li, Ye/JBS-2949-2023; wang, qiang/IZW-1751-2023</t>
  </si>
  <si>
    <t>Li, Kun/0000-0002-3638-2974;</t>
  </si>
  <si>
    <t>National Natural Science Foundation of China [41776195, 41531069]</t>
  </si>
  <si>
    <t>National Natural Science Foundation of China(National Natural Science Foundation of China (NSFC))</t>
  </si>
  <si>
    <t>This work was supported by the National Natural Science Foundation of China (Grant No. 41776195 and No. 41531069). The authors thank the ESA for arranging the Sentinel-1A data, NASA for providing the SRTM DEM data, and the ESA for releasing the POD data.</t>
  </si>
  <si>
    <t>HINDAWI LTD</t>
  </si>
  <si>
    <t>ADAM HOUSE, 3RD FLR, 1 FITZROY SQ, LONDON, W1T 5HF, ENGLAND</t>
  </si>
  <si>
    <t>1687-725X</t>
  </si>
  <si>
    <t>1687-7268</t>
  </si>
  <si>
    <t>J SENSORS</t>
  </si>
  <si>
    <t>J. Sens.</t>
  </si>
  <si>
    <t>10.1155/2022/9572937</t>
  </si>
  <si>
    <t>Engineering, Electrical &amp; Electronic; Instruments &amp; Instrumentation</t>
  </si>
  <si>
    <t>Engineering; Instruments &amp; Instrumentation</t>
  </si>
  <si>
    <t>ZY3LN</t>
  </si>
  <si>
    <t>WOS:000772489500002</t>
  </si>
  <si>
    <t>Gallagher, JB; Shelamoff, V; Layton, C</t>
  </si>
  <si>
    <t>Gallagher, John Barry; Shelamoff, Victor; Layton, Cayne</t>
  </si>
  <si>
    <t>Seaweed ecosystems may not mitigate CO2 emissions</t>
  </si>
  <si>
    <t>ICES JOURNAL OF MARINE SCIENCE</t>
  </si>
  <si>
    <t>carbon mitigation; golden carbon; net ecosystem production; seaweed aquaculture; subsidies</t>
  </si>
  <si>
    <t>BENTHIC PRIMARY PRODUCTION; KELP MACROCYSTIS-PYRIFERA; BLUE CARBON; INORGANIC CARBON; ATMOSPHERIC CO2; CLIMATE-CHANGE; COASTAL; RESPIRATION; CALCIFICATION; MACROALGAE</t>
  </si>
  <si>
    <t>Global seaweed carbon sequestration estimates are currently taken as the fraction of the net primary production (NPP) exported to the deep ocean. However, this perspective does not account for CO2 from the consumption of external subsidies. Here, we clarify: (i) the role of export relative to seaweed net ecosystem production (NEP) for a closed system and one more likely open to subsidies; (ii) the importance of subsidies by compiling published estimates of NEP from seaweed-dominated ecosystems; and (iii) discuss their impact on the global seaweed net carbon balance and other sequestration constraints as a mitigation service. Examples of seaweed NEP (n = 18) were sparse and variable. Nevertheless, the average NEP (-4.0 mmol C m(-2) d(-1) SE +/- 12.2) suggested that seaweed ecosystems are a C source, becoming increasingly heterotrophic as their export is consumed. Critically, mitigation of greenhouse gas emissions was mixed relative to their replacement or baseline states, and where CO2 is supplied independently of organic metabolism and atmospheric exchange, we caution a sole reliance on NEP or NPP. This will ensure a more accurate seaweed mitigation assessment, one that does exceed their capacity and is effective within a compliance and carbon trading scheme.</t>
  </si>
  <si>
    <t>[Gallagher, John Barry; Shelamoff, Victor; Layton, Cayne] Univ Tasmania, Inst Marine &amp; Antarctic Studies, 20 Castray Esplanade, Battery Point, Tas 7004, Australia; [Layton, Cayne] Univ Tasmania, Ctr Marine Socioecol, Hobart, Tas 7001, Australia</t>
  </si>
  <si>
    <t>University of Tasmania; University of Tasmania</t>
  </si>
  <si>
    <t>Gallagher, JB (corresponding author), Univ Tasmania, Inst Marine &amp; Antarctic Studies, 20 Castray Esplanade, Battery Point, Tas 7004, Australia.</t>
  </si>
  <si>
    <t>JohnBarry.Gallagher@utas.edu.au</t>
  </si>
  <si>
    <t>Gallagher, John/JVP-1711-2024; Layton, Cayne/J-8443-2013</t>
  </si>
  <si>
    <t>Layton, Cayne/0000-0002-3390-6437</t>
  </si>
  <si>
    <t>OXFORD UNIV PRESS</t>
  </si>
  <si>
    <t>GREAT CLARENDON ST, OXFORD OX2 6DP, ENGLAND</t>
  </si>
  <si>
    <t>1054-3139</t>
  </si>
  <si>
    <t>1095-9289</t>
  </si>
  <si>
    <t>ICES J MAR SCI</t>
  </si>
  <si>
    <t>ICES J. Mar. Sci.</t>
  </si>
  <si>
    <t>APR 29</t>
  </si>
  <si>
    <t>10.1093/icesjms/fsac011</t>
  </si>
  <si>
    <t>Fisheries; Marine &amp; Freshwater Biology; Oceanography</t>
  </si>
  <si>
    <t>0W4XE</t>
  </si>
  <si>
    <t>Bronze</t>
  </si>
  <si>
    <t>WOS:000756964400001</t>
  </si>
  <si>
    <t>Mchedlishvili, A; Spreen, G; Melsheimer, C; Huntemann, M</t>
  </si>
  <si>
    <t>Mchedlishvili, Alexander; Spreen, Gunnar; Melsheimer, Christian; Huntemann, Marcus</t>
  </si>
  <si>
    <t>Weddell Sea polynya analysis using SMOS-SMAP apparent sea ice thickness retrieval</t>
  </si>
  <si>
    <t>MAUD-RISE; MODEL; CIRCULATION; COASTAL</t>
  </si>
  <si>
    <t>The Weddell Sea is known to feature large openings in its winter sea ice field, otherwise known as open-ocean polynyas. An area within the Weddell Sea region that has repeatedly featured open-ocean polynyas in the past is that which encompasses the Maud Rise seamount. Within this area, after 40 years of intermittent, smaller openings, a larger, more persistent polynya appeared in early September 2017 and remained open for approximately 80 d until spring ice melt. In this study we present proof that polynya-favorable activity in the Maud Rise area is taking place more frequently and on a larger scale than previously assumed. By investigating thin (&lt; 50 cm) apparent sea ice thickness (ASIT) retrieved from the satellite microwave sensors Soil Moisture and Ocean Salinity (SMOS) and Soil Moisture Active Passive (SMAP), we find an anomaly of thin sea ice spanning an area comparable to the polynya of 2017 over Maud Rise which occurred in September 2018. In this paper, we look at sea ice above Maud Rise in August and September of 2017 and 2018 as well as all years from 2010 until 2020 in an 11-year time series. Using fifth-generation ECMWF Reanalysis (ERA5) surface wind reanalysis data, we corroborate previous findings (e.g., Campbell et al., 2019; Francis et al., 2019; Wilson et al., 2019) on the strong impact that storm activity can have on sea ice above Maud Rise and help consolidate the theory that the evolution of the Weddell Sea polynya is controlled by local atmospheric as well as oceanographic variability. Based on the results presented, we propose that the Weddell Sea polynya, rather than being a binary phenomenon with one principal cause, is a dynamic process caused by various different preconditioning factors that must occur simultaneously for it to appear and persist. Moreover, we show that rather than an abrupt stop to anomalous activity above Maud Rise in 2017, the very next year shows signs of polynya-favorable activity that, although insufficient to open the polynya, were present in the region. This phenomenon, as we have shown in the 11-year SMOS record, was not unique to 2018 and was also identified in 2010, 2013 and 2014. It is demonstrated that L-band microwave radiometry from the SMOS and SMAP satellites can provide additional useful information, which helps to better understand dynamic sea ice processes like polynya events when compared to the use of satellite sea ice concentration products alone.</t>
  </si>
  <si>
    <t>[Mchedlishvili, Alexander; Spreen, Gunnar; Melsheimer, Christian; Huntemann, Marcus] Univ Bremen, Inst Environm Phys, Bremen, Germany</t>
  </si>
  <si>
    <t>University of Bremen</t>
  </si>
  <si>
    <t>Mchedlishvili, A (corresponding author), Univ Bremen, Inst Environm Phys, Bremen, Germany.</t>
  </si>
  <si>
    <t>alexander.mchedlishvili@uni-bremen.de</t>
  </si>
  <si>
    <t>Spreen, Gunnar/A-4533-2010; amplification, ³ - Arctic/AAU-6640-2020</t>
  </si>
  <si>
    <t>Spreen, Gunnar/0000-0003-0165-8448; Melsheimer, Christian/0000-0001-7578-6536; Mchedlishvili, Alexander/0000-0002-0584-147X</t>
  </si>
  <si>
    <t>Deutsche Forschungsgemeinschaft (DFG) [SPP 1158, 365778379]; Transregional Collaborative Research Center [TRR 172, 268020496]; MOSAiCmicrowaveRS project [420499875]</t>
  </si>
  <si>
    <t>Deutsche Forschungsgemeinschaft (DFG)(German Research Foundation (DFG)); Transregional Collaborative Research Center; MOSAiCmicrowaveRS project</t>
  </si>
  <si>
    <t>This work was supported by the Deutsche Forschungsgemeinschaft (DFG) in the framework of the priority program Antarctic research with comparative investigations in Arctic ice areas SPP 1158 through grant SITAnt (project 365778379; Christian Melsheimer, Gunnar Spreen), the Transregional Collaborative Research Center TRR 172 Arctic Amplification: Climate Relevant Atmospheric and Surface Processes, and Feedback Mechanisms (AC)3 (project 268020496; Alexander Mchedlishvili, Gunnar Spreen), and the MOSAiCmicrowaveRS project (420499875; Marcus Huntemann, Gunnar Spreen).</t>
  </si>
  <si>
    <t>10.5194/tc-16-471-2022</t>
  </si>
  <si>
    <t>ZD3HX</t>
  </si>
  <si>
    <t>WOS:000758093900001</t>
  </si>
  <si>
    <t>Shen, XY; Ke, CQ; Li, HL</t>
  </si>
  <si>
    <t>Shen, Xiaoyi; Ke, Chang-Qing; Li, Haili</t>
  </si>
  <si>
    <t>Snow depth product over Antarctic sea ice from 2002 to 2020 using multisource passive microwave radiometers</t>
  </si>
  <si>
    <t>EARTH SYSTEM SCIENCE DATA</t>
  </si>
  <si>
    <t>AMSR-E; THICKNESS RETRIEVAL; AIRBORNE LASER; TEMPERATURE; VARIABILITY; CRYOSAT-2; FREEBOARD; ALTIMETRY</t>
  </si>
  <si>
    <t>Snow over sea ice controls energy budgets and affects sea ice growth and melting and thus has essential effects on the climate. Passive microwave radiometers can be used for basin-scale snow depth estimation at a daily scale; however, previously published methods applied to the Antarctic clearly underestimated snow depth, limiting their further application. Here, we estimated snow depth using passive microwave radiometers and a newly constructed, robust method by incorporating lower frequencies, which have been available from AMSR-E and AMSR-2 since 2002. A regression analysis using 7 years of Operation IceBridge (OIB) airborne snow depth measurements showed that the gradient ratio (GR) calculated using brightness temperatures in vertically polarized 37 and 7 GHz, i.e. GR(37/7), was optimal for deriving Antarctic snow depth, with a correlation coefficient of -0.64. We hence derived new coefficients based on GR(37/7) to improve the current snow depth estimation from passive microwave radiometers. Comparing the new retrieval with in situ measurements from the Australian Antarctic Data Centre showed that this method outperformed the previously available method (i.e. linear regression model based on GR(37/19)), with a mean difference of 5.64 cm and an RMSD of 13.79 cm, compared to values of -14.47 and 19.49 cm, respectively. A comparison to shipborne observations from Antarctic Sea Ice Processes and Climate indicated that in thin-ice regions, the proposed method performed slightly better than the previous method (with RMSDs of 16.85 and 17.61 cm, respectively). We generated a complete snow depth product over Antarctic sea ice from 2002 to 2020 on a daily scale, and negative trends could be found in all sea sectors and seasons. This dataset (including both snow depth and snow depth uncertainty) can be downloaded from the National Tibetan Plateau Data Center, Institute of Tibetan Plateau Research, Chinese Academy of Sciences at http://data.tpdc.ac.cn/en/disallow/61ea8177-7177-4507-aeeb-0c7b653d6fc3/ (last access: 7 February 2022) (Shen and Ke, 2021, ).</t>
  </si>
  <si>
    <t>[Shen, Xiaoyi; Ke, Chang-Qing; Li, Haili] Nanjing Univ, Sch Geog &amp; Ocean Sci, Nanjing 210023, Peoples R China; [Shen, Xiaoyi; Ke, Chang-Qing; Li, Haili] Nanjing Univ, Jiangsu Prov Key Lab Geog Informat Sci &amp; Technol, Nanjing 210023, Peoples R China</t>
  </si>
  <si>
    <t>Nanjing University; Nanjing University</t>
  </si>
  <si>
    <t>Ke, CQ (corresponding author), Nanjing Univ, Sch Geog &amp; Ocean Sci, Nanjing 210023, Peoples R China.;Ke, CQ (corresponding author), Nanjing Univ, Jiangsu Prov Key Lab Geog Informat Sci &amp; Technol, Nanjing 210023, Peoples R China.</t>
  </si>
  <si>
    <t>kecq@nju.edu.cn</t>
  </si>
  <si>
    <t>Li, Haili/0000-0001-5537-1886</t>
  </si>
  <si>
    <t>Programs for National Natural Science Foundation of China [41976212, 41830105]</t>
  </si>
  <si>
    <t>Programs for National Natural Science Foundation of China(National Natural Science Foundation of China (NSFC))</t>
  </si>
  <si>
    <t>This work is supported by the Programs for National Natural Science Foundation of China (grant nos. 41976212 and 41830105).</t>
  </si>
  <si>
    <t>1866-3508</t>
  </si>
  <si>
    <t>1866-3516</t>
  </si>
  <si>
    <t>EARTH SYST SCI DATA</t>
  </si>
  <si>
    <t>Earth Syst. Sci. Data</t>
  </si>
  <si>
    <t>10.5194/essd-14-619-2022</t>
  </si>
  <si>
    <t>ZD4MY</t>
  </si>
  <si>
    <t>WOS:000758174800001</t>
  </si>
  <si>
    <t>Singh, S; Tiwari, RK; Sood, V; Kaur, R; Prashar, S</t>
  </si>
  <si>
    <t>Singh, Sartajvir; Tiwari, Reet Kamal; Sood, Vishakha; Kaur, Ravneet; Prashar, Shivendu</t>
  </si>
  <si>
    <t>The Legacy of Scatterometers Review of applications and perspective</t>
  </si>
  <si>
    <t>IEEE GEOSCIENCE AND REMOTE SENSING MAGAZINE</t>
  </si>
  <si>
    <t>CHHOTA SHIGRI GLACIER; ANTARCTIC SEA-ICE; SOIL-MOISTURE; KU-BAND; SNOW COVER; ERS SCATTEROMETER; WIND VECTORS; SPACEBORNE SCATTEROMETER; SATELLITE SCATTEROMETER; SCATSAT-1 SCATTEROMETER</t>
  </si>
  <si>
    <t>[Singh, Sartajvir; Prashar, Shivendu] Chitkara Univ, Dept Elect &amp; Commun Engn, Baddi 174103, Himachal Prades, India; [Singh, Sartajvir] Indian Inst Technol Ropar, Sci &amp; Engn Res Board, Dept Sci &amp; Technol, Dept Civil Engn, Rupnagar, India; [Tiwari, Reet Kamal] Wadia Inst Himalayan Geol, Ctr Glaciol, Dehra Dun, Uttarakhand, India; [Tiwari, Reet Kamal] Indian Inst Technol Ropar, Dept Civil Engn, Rupnagar 140001, India; [Sood, Vishakha] Aoitron Automat, Palampur 140401, Himachal Prades, India; [Kaur, Ravneet] Shaheed Udham Singh Coll Engn &amp; Technol, Ajitgarh, India; [Kaur, Ravneet] Continental Inst Engn &amp; Technol, Sirhind, India; [Kaur, Ravneet] Maharaja Aggarsen Engn Coll, Reg Inst Management &amp; Technol, Delhi, India; [Kaur, Ravneet] Gobindgarh &amp; Baba Banda Singh Bahadur Engn Coll, Fatehgarh Sahib, India; [Kaur, Ravneet] Chandigarh Univ, Apex Inst Technol, Comp Sci Engn Dept, Ajitgarh 140413, Punjab, India; [Prashar, Shivendu] Guru Nanak Dev Univ, Dept Elect Technol, Amritsar, Punjab, India</t>
  </si>
  <si>
    <t>Indian Institute of Technology System (IIT System); Indian Institute of Technology (IIT) - Ropar; Department of Science &amp; Technology (India); Wadia Institute of Himalayan Geology (WIHG); Indian Institute of Technology System (IIT System); Indian Institute of Technology (IIT) - Ropar; Chandigarh University; Guru Nanak Dev University</t>
  </si>
  <si>
    <t>Singh, S (corresponding author), Chitkara Univ, Dept Elect &amp; Commun Engn, Baddi 174103, Himachal Prades, India.</t>
  </si>
  <si>
    <t>sartajvir.singh@chitkarauniversity.edu.in; reetkamal@iitrpr.ac.in; vishakha.sood@ieee.org; ravneet.e11361@cumail.in; shivendu.prashar@chitkarauniversity.edu.in</t>
  </si>
  <si>
    <t>Sood, Vishakha/M-7412-2019; Singh, Sartajvir/P-2503-2018; Kaur, Er. Ravneet/AAO-6681-2020</t>
  </si>
  <si>
    <t>Sood, Vishakha/0000-0003-1457-8033; Singh, Sartajvir/0000-0002-4451-4949; Kaur, Er. Ravneet/0000-0002-7672-3665; Tiwari, Reet/0000-0002-3867-6036; Prashar, Shivendu/0000-0002-3577-5952</t>
  </si>
  <si>
    <t>Science and Engineering Research Board (SERB), Department of Science and Technology (DST) India [TAR/2019/000354]; SERB, DST</t>
  </si>
  <si>
    <t>Science and Engineering Research Board (SERB), Department of Science and Technology (DST) India; SERB, DST(Department of Science &amp; Technology (India)Science Engineering Research Board (SERB), India)</t>
  </si>
  <si>
    <t>This research work is financially supported by the Science and Engineering Research Board (SERB), Department of Science and Technology (DST) India Under Teachers Associateship for Research Excellence (TARE) (grant TAR/2019/000354). We wish to acknowledge the valuable contributions of the presenters to the International Geoscience and Remote Sensing Symposium 2021 special session Earth Observation Using Scatterometer of Dr. Reet Kamal Tiwari and Dr. Sartajvir Singh. The scatterometer data were obtained from the Meteorological and Oceanographic Satellite Data Archival Center, ISRO, Government of India (https://www.mosdac.gov.in/) and ECMWF (http://www.ecmwf.int).Thanks are also due to the ESA's Earth Observation Portal (https://directory.eoportal.org/) for the technical details of satellite missions. Dr. Sartajvir Singh would also like to thank the SERB, DST, for the TARE research fellowship.</t>
  </si>
  <si>
    <t>IEEE-INST ELECTRICAL ELECTRONICS ENGINEERS INC</t>
  </si>
  <si>
    <t>PISCATAWAY</t>
  </si>
  <si>
    <t>445 HOES LANE, PISCATAWAY, NJ 08855-4141 USA</t>
  </si>
  <si>
    <t>2473-2397</t>
  </si>
  <si>
    <t>2168-6831</t>
  </si>
  <si>
    <t>IEEE GEOSC REM SEN M</t>
  </si>
  <si>
    <t>IEEE Geosci. Remote Sens. Mag.</t>
  </si>
  <si>
    <t>JUN</t>
  </si>
  <si>
    <t>10.1109/MGRS.2022.3145500</t>
  </si>
  <si>
    <t>Geochemistry &amp; Geophysics; Remote Sensing; Imaging Science &amp; Photographic Technology</t>
  </si>
  <si>
    <t>3Q8CP</t>
  </si>
  <si>
    <t>WOS:000754297100001</t>
  </si>
  <si>
    <t>Gunes, Y; Balci, N</t>
  </si>
  <si>
    <t>Gunes, Yagmur; Balci, Nurgul</t>
  </si>
  <si>
    <t>Sediment and water geochemistry record of water-rock interactions in King George Island, Antarctic Peninsula</t>
  </si>
  <si>
    <t>ANTARCTIC SCIENCE</t>
  </si>
  <si>
    <t>aerosol; chemical index of alteration; REE; trace elements; weathering</t>
  </si>
  <si>
    <t>SOUTH SHETLAND ISLANDS; RARE-EARTH-ELEMENTS; ADMIRALTY BAY; DISSOLUTION; ECOSYSTEMS; CHEMISTRY; EVOLUTION; PROFILES; SUMMER</t>
  </si>
  <si>
    <t>We used a multidisciplinary approach integrating major, trace and rare earth element geochemistry, mineralogy of rocks and sediments along with the ionic composition of water reservoirs of Admiralty Bay, King George Island, to evaluate the record of water-rock interactions under Maritime Antarctic conditions. Our results showed that the ionic compositions of the streams and meltwaters predominantly reflect the atmospheric inputs, while lake waters have higher Na/Cl, Ca/Mg and HCO3/Cl ratios related to chemical weathering in lake sediments, but this did not allow for distinguishing purely silicate sources. Consistent with the trace and rare earth element data, various alteration indices and Index of Compositional Variability values denote the low degree of chemical weathering in the lake sediments. The records from the previously unexplored Mud Lake and Upper Lake suggest that the lakes of Admiralty Bay are better places to trace the impacts of a succession of environmental changes that have occurred in the watershed, while the stream channel sediments, when accompanied by water chemistry data, may provide a more representative composition of the source rocks than the lake sediments. These findings may help revealing the intensity of contemporary weathering in a colder climate with relatively few mineralogical changes accompanied by a lesser degree of elemental loss.</t>
  </si>
  <si>
    <t>[Gunes, Yagmur; Balci, Nurgul] Istanbul Tech Univ, Geomicrobiol &amp; Biogeochem Lab, Dept Geol Engn, Istanbul, Turkey; [Gunes, Yagmur; Balci, Nurgul] ITU Fac Mines, Dept Geol Engn, Ayazaga Campus, TR-34469 Istanbul, Turkey</t>
  </si>
  <si>
    <t>Istanbul Technical University; Istanbul Technical University</t>
  </si>
  <si>
    <t>Gunes, Y (corresponding author), Istanbul Tech Univ, Geomicrobiol &amp; Biogeochem Lab, Dept Geol Engn, Istanbul, Turkey.;Gunes, Y (corresponding author), ITU Fac Mines, Dept Geol Engn, Ayazaga Campus, TR-34469 Istanbul, Turkey.</t>
  </si>
  <si>
    <t>ncelik@itu.edu.tr</t>
  </si>
  <si>
    <t>Gunes, Yagmur/ABC-7749-2020; BALCI, Nurgul/X-6747-2018</t>
  </si>
  <si>
    <t>Gunes, Yagmur/0000-0002-4873-9547; BALCI, Nurgul/0000-0002-4772-2348</t>
  </si>
  <si>
    <t>Presidency of the Republic of Turkey - Ministry of Industry and Technology; TUBITAK (the Scientific and Technological Research Council of Turkey) [119Y411]; ITU Scientific Research Projects Division [41729]</t>
  </si>
  <si>
    <t>Presidency of the Republic of Turkey - Ministry of Industry and Technology; TUBITAK (the Scientific and Technological Research Council of Turkey)(Turkiye Bilimsel ve Teknolojik Arastirma Kurumu (TUBITAK)); ITU Scientific Research Projects Division(Istanbul Technical University)</t>
  </si>
  <si>
    <t>This study was carried under the auspices of the Presidency of the Republic of Turkey, supported by the Ministry of Industry and Technology, and coordinated by Istanbul Technical University (ITU) Polar Research Center (PolReC). This study was conducted within the frame of the bilateral agreement with the Polish Institute of Biochemistry and Biophysics (IBB) and PolReC. This project was supported by TUBITAK (the Scientific and Technological Research Council of Turkey, grant 119Y411) to N. Balci and by the ITU Scientific Research Projects Division (Project ID: 41729).</t>
  </si>
  <si>
    <t>32 AVENUE OF THE AMERICAS, NEW YORK, NY 10013-2473 USA</t>
  </si>
  <si>
    <t>0954-1020</t>
  </si>
  <si>
    <t>1365-2079</t>
  </si>
  <si>
    <t>ANTARCT SCI</t>
  </si>
  <si>
    <t>Antarct. Sci.</t>
  </si>
  <si>
    <t>PII S0954102021000560</t>
  </si>
  <si>
    <t>10.1017/S0954102021000560</t>
  </si>
  <si>
    <t>Environmental Sciences; Geography, Physical; Geosciences, Multidisciplinary</t>
  </si>
  <si>
    <t>Environmental Sciences &amp; Ecology; Physical Geography; Geology</t>
  </si>
  <si>
    <t>ZT8TE</t>
  </si>
  <si>
    <t>WOS:000753183500001</t>
  </si>
  <si>
    <t>Moreau, C; Le Bourg, B; Balazy, P; Danis, B; Eléaume, M; Jossart, Q; Kuklinski, P; Lepoint, G; Saucède, T; van de Putte, A; Michel, LN</t>
  </si>
  <si>
    <t>Moreau, Camille; Le Bourg, Baptiste; Balazy, Piotr; Danis, Bruno; Eleaume, Marc; Jossart, Quentin; Kuklinski, Piotr; Lepoint, Gilles; Saucede, Thomas; Van de Putte, Anton; Michel, Loic N.</t>
  </si>
  <si>
    <t>Trophic markers and biometric measurements in Southern Ocean sea stars (1985-2017)</t>
  </si>
  <si>
    <t>ECOLOGY</t>
  </si>
  <si>
    <t>Antarctica; Asteroidea; benthos; biometric measurements; Echinodermata; elemental contents; invertebrates; marine ecosystems; sea stars; Southern Ocean; stable isotopes; subantarctic Islands</t>
  </si>
  <si>
    <t>Sea stars (Echinodermata: Asteroidea) are a key component of Southern Ocean benthos, with 16% of the known sea star species living there. In temperate marine environments, sea stars commonly play an important role in food webs, acting as keystone species. However, trophic ecology and functional role of Southern Ocean sea stars are still poorly known, notably due to the scarcity of large-scale studies. Here, we report 24,332 trophic marker (stable isotopes and elemental contents of C, N, and S of tegument and/or tube feet) and biometric (arm length, disk radius, arm to disk ratio) measurements in 2,456 specimens of sea stars. Samples were collected between 12 January 1985 and 8 October 2017 in numerous locations along the Antarctic littoral and subantarctic islands. The spatial scope of the data set covers a significant portion of the Southern Ocean (47.717 degrees S to 86.273 degrees S; 127.767 degrees W to 162.201 degrees E; depth, 6-5,338 m). The data set contains 133 distinct taxa, including 72 currently accepted species spanning 51 genera, 20 families, and multiple feeding guilds/functional groups (suspension feeders, sediment feeders, omnivores, predators of mobile or sessile prey). For 505 specimens, mitochondrial CO1 genes were sequenced to confirm and/or refine taxonomic identifications, and those sequences are already publicly available through the Barcode of Life Data System. This number will grow in the future, as molecular analyses are still in progress. Overall, thanks to its large taxonomic, spatial, and temporal extent, as well as its integrative nature (combining genetic, morphological, and ecological data), this data set can be of wide interest to Southern Ocean ecologists, invertebrate zoologists, benthic ecologists, and environmental managers dealing with associated areas. Please cite this data paper in research products derived from the data set, which is freely available without copyright restrictions.</t>
  </si>
  <si>
    <t>[Moreau, Camille; Danis, Bruno; Jossart, Quentin; Van de Putte, Anton] Univ Libre Bruxelles ULB, Marine Biol Lab, Brussels, Belgium; [Le Bourg, Baptiste; Lepoint, Gilles; Michel, Loic N.] Univ Liege, Freshwater &amp; Ocean Sci Unit reSearch FOCUS, Lab Oceanol, Liege, Belgium; [Balazy, Piotr; Kuklinski, Piotr] Polish Acad Sci IOPAN, Inst Oceanol, Sopot, Poland; [Eleaume, Marc] Sorbonne Univ, EPHE, Inst Systemat Evolut Biodivers ISYEB, Museum Natl Hist Nat MNHN,CNRS, Paris, France; [Jossart, Quentin] Vrije Univ Brussel VUB, Marine Biol, Brussels, Belgium; [Saucede, Thomas] Univ Bourgogne Franche Comte, UMR CNRS 6282, Biogeosci, Dijon, France; [Van de Putte, Anton] Royal Belgian Inst Nat Sci, OD Nat, Brussels, Belgium; [Michel, Loic N.] IFREMER, Ctr Bretagne, Lab Environm Profond, REM EEP, Plouzane, France</t>
  </si>
  <si>
    <t>Universite Libre de Bruxelles; University of Liege; Polish Academy of Sciences; Institute of Oceanology of the Polish Academy of Sciences; Centre National de la Recherche Scientifique (CNRS); Sorbonne Universite; Universite PSL; Ecole Pratique des Hautes Etudes (EPHE); Museum National d'Histoire Naturelle (MNHN); Vrije Universiteit Brussel; Centre National de la Recherche Scientifique (CNRS); CNRS - Institute of Ecology &amp; Environment (INEE); Universite de Bourgogne; Royal Belgian Institute of Natural Sciences; Universite de Bretagne Occidentale; Ifremer</t>
  </si>
  <si>
    <t>Michel, LN (corresponding author), Univ Liege, Freshwater &amp; Ocean Sci Unit reSearch FOCUS, Lab Oceanol, Liege, Belgium.;Michel, LN (corresponding author), IFREMER, Ctr Bretagne, Lab Environm Profond, REM EEP, Plouzane, France.</t>
  </si>
  <si>
    <t>loicnmichel@gmail.com</t>
  </si>
  <si>
    <t>; Balazy, Piotr/D-2949-2018; Lepoint, Gilles/I-1130-2014</t>
  </si>
  <si>
    <t>Jossart, Quentin/0000-0002-2280-243X; Van de Putte, Anton/0000-0003-1336-5554; Danis, Bruno/0000-0002-9037-7623; Balazy, Piotr/0000-0002-1126-3151; Lepoint, Gilles/0000-0003-4375-0357; Moreau, Camille/0000-0002-0981-7442; Le Bourg, Baptiste/0000-0002-1455-2020</t>
  </si>
  <si>
    <t>Australian Antarctic Division [53]; Belgian Federal Science Policy Office [BR/132/A1/VERSO, BR/154/A1/RECTO]; Fonds pour la Formation a la Recherche dans l'Industrie et dans l'Agriculture [1.E091.16]; Institut Polaire Francais Paul Emile Victor [1044 PROTEKER, 1124]; Narodowe Centrum Nauki [2020/37/B/ST10/02905]</t>
  </si>
  <si>
    <t>Australian Antarctic Division; Belgian Federal Science Policy Office(Belgian Federal Science Policy Office); Fonds pour la Formation a la Recherche dans l'Industrie et dans l'Agriculture(Fonds de la Recherche Scientifique - FNRS); Institut Polaire Francais Paul Emile Victor; Narodowe Centrum Nauki(National Science Centre, Poland)</t>
  </si>
  <si>
    <t>Australian Antarctic Division, Grant/Award Number: IPY project 53 CEAMARC; Belgian Federal Science Policy Office, Grant/Award Numbers: BR/132/A1/VERSO, BR/154/A1/RECTO; Fonds pour la Formation a la Recherche dans l'Industrie et dans l'Agriculture, Grant/Award Number: 1.E091.16; Institut Polaire Francais Paul Emile Victor, Grant/Award Numbers: IPEV research program 1044 PROTEKER, IPEV research program 1124 REVOLTA; Narodowe Centrum Nauki, Grant/Award Number: OPUS grant number 2020/37/B/ST10/02905</t>
  </si>
  <si>
    <t>0012-9658</t>
  </si>
  <si>
    <t>1939-9170</t>
  </si>
  <si>
    <t>Ecology</t>
  </si>
  <si>
    <t>e3611</t>
  </si>
  <si>
    <t>10.1002/ecy.3611</t>
  </si>
  <si>
    <t>ZJ5MY</t>
  </si>
  <si>
    <t>Green Published, Bronze</t>
  </si>
  <si>
    <t>WOS:000752940600001</t>
  </si>
  <si>
    <t>Liu, XD; Schjott, SR; Granquist, SM; Rosing-Asvid, A; Dietz, R; Teilmann, J; Galatius, A; Cammen, K; O'Corry-Crowe, G; Harding, K; Härkönen, T; Hall, A; Carroll, EL; Kobayashi, Y; Hammill, M; Stenson, G; Frie, AK; Lydersen, C; Kovacs, KM; Andersen, LW; Hoffman, J; Goodman, SJ; Vieira, FG; Heller, R; Moltke, I; Olsen, MT</t>
  </si>
  <si>
    <t>Liu, Xiaodong; Schjott, Suzanne Ronhoj; Granquist, Sandra M.; Rosing-Asvid, Aqqalu; Dietz, Rune; Teilmann, Jonas; Galatius, Anders; Cammen, Kristina; O'Corry-Crowe, Greg; Harding, Karin; Harkonen, Tero; Hall, Ailsa; Carroll, Emma L.; Kobayashi, Yumi; Hammill, Mike; Stenson, Garry; Frie, Anne Kirstine; Lydersen, Christian; Kovacs, Kit M.; Andersen, Liselotte W.; Hoffman, Joseph, I; Goodman, Simon J.; Vieira, Filipe G.; Heller, Rasmus; Moltke, Ida; Olsen, Morten Tange</t>
  </si>
  <si>
    <t>Origin and expansion of the world's most widespread pinniped: Range-wide population genomics of the harbour seal (Phoca vitulina)</t>
  </si>
  <si>
    <t>colonization; genetic diversity; harbour seals; origin; population structure; subspecies delineation</t>
  </si>
  <si>
    <t>BOTTLE-NOSED DOLPHINS; TURSIOPS-TRUNCATUS; GENETIC DIVERSITY; DISTEMPER VIRUS; GREY SEALS; PHILOPATRY; SPECIATION; MOVEMENTS; EVOLUTION; HOKKAIDO</t>
  </si>
  <si>
    <t>The harbour seal (Phoca vitulina) is the most widely distributed pinniped, occupying a wide variety of habitats and climatic zones across the Northern Hemisphere. Intriguingly, the harbour seal is also one of the most philopatric seals, raising questions as to how it colonized its current range. To shed light on the origin, remarkable range expansion, population structure and genetic diversity of this species, we used genotyping-by-sequencing to analyse similar to 13,500 biallelic single nucleotide polymorphisms from 286 individuals sampled from 22 localities across the species' range. Our results point to a Northeast Pacific origin of the harbour seal, colonization of the North Atlantic via the Canadian Arctic, and subsequent stepping-stone range expansions across the North Atlantic from North America to Europe, accompanied by a successive loss of genetic diversity. Our analyses further revealed a deep divergence between modern North Pacific and North Atlantic harbour seals, with finer-scale genetic structure at regional and local scales consistent with strong philopatry. The study provides new insights into the harbour seal's remarkable ability to colonize and adapt to a wide range of habitats. Furthermore, it has implications for current harbour seal subspecies delineations and highlights the need for international and national red lists and management plans to ensure the protection of genetically and demographically isolated populations.</t>
  </si>
  <si>
    <t>[Liu, Xiaodong; Heller, Rasmus; Moltke, Ida] Univ Copenhagen, Dept Biol, Sect Computat &amp; RNA Biol, Copenhagen, Denmark; [Schjott, Suzanne Ronhoj; Olsen, Morten Tange] Univ Copenhagen, Globe Inst, Sect Evolutionary Genom, Copenhagen, Denmark; [Granquist, Sandra M.] Iceland Seal Ctr, Hvammstangi, Iceland; [Granquist, Sandra M.] Inst Freshwater Fisheries, Marine &amp; Freshwater Res Inst, Hafnarfjordur, Iceland; [Rosing-Asvid, Aqqalu] Greenland Inst Nat Resources, Nuuk, Greenland; [Dietz, Rune; Teilmann, Jonas; Galatius, Anders] Aarhus Univ, Dept Ecosci, Marine Mammal Res, Roskilde, Denmark; [Cammen, Kristina] Univ Maine, Sch Marine Sci, Orono, ME USA; [O'Corry-Crowe, Greg] Florida Atlantic Univ, Wildlife Evolut &amp; Behav Program, Boca Raton, FL USA; [Harding, Karin] Univ Gothenburg, Dept Biol &amp; Environm Sci, Gothenburg, Sweden; [Harkonen, Tero] Maritimas AB, Karna, Sweden; [Hall, Ailsa] Univ St Andrews, Scottish Oceans Inst, Sea Mammal Res Unit, St Andrews, Fife, Scotland; [Carroll, Emma L.] Univ Auckland, Sch Biol Sci, Auckland, New Zealand; [Kobayashi, Yumi] Hokkaido Univ, Res Fac Agr, Lab Anim Ecol, Sapporo, Hokkaido, Japan; [Hammill, Mike] Fisheries &amp; Oceans Canada, Maurice Lamontagne Inst, Mont Joli, PQ, Canada; [Stenson, Garry] Fisheries &amp; Oceans Canada, Northwest Atlantic Fisheries Ctr, St John, NL, Canada; [Frie, Anne Kirstine] Inst Marine Res, Bergen, Norway; [Lydersen, Christian; Kovacs, Kit M.] Fram Ctr, Norwegian Polar Inst, Tromso, Norway; [Andersen, Liselotte W.] Aarhus Univ, Dept Ecosci, Aarhus, Denmark; [Hoffman, Joseph, I] Univ Bielefeld, Dept Anim Behav, Bielefeld, Germany; [Hoffman, Joseph, I] British Antarctic Survey, Cambridge, England; [Goodman, Simon J.] Univ Leeds, Fac Biol Sci, Sch Biol, Leeds, W Yorkshire, England; [Vieira, Filipe G.] Copenhagen Univ Hosp, Ctr Genom Med, Copenhagen, Denmark</t>
  </si>
  <si>
    <t>University of Copenhagen; University of Copenhagen; Marine &amp; Freshwater Research Institute (MFRI); Greenland Institute of Natural Resources; Aarhus University; University of Maine System; University of Maine Orono; State University System of Florida; Florida Atlantic University; University of Gothenburg; University of St Andrews; University of Auckland; Hokkaido University; Fisheries &amp; Oceans Canada; Fisheries &amp; Oceans Canada; Institute of Marine Research - Norway; Norwegian Polar Institute; Aarhus University; University of Bielefeld; UK Research &amp; Innovation (UKRI); Natural Environment Research Council (NERC); NERC British Antarctic Survey; University of Leeds; University of Copenhagen</t>
  </si>
  <si>
    <t>Moltke, I (corresponding author), Univ Copenhagen, Dept Biol, Sect Computat &amp; RNA Biol, Copenhagen, Denmark.;Olsen, MT (corresponding author), Univ Copenhagen, Globe Inst, Sect Evolutionary Genom, Copenhagen, Denmark.</t>
  </si>
  <si>
    <t>ida@binf.ku.dk; morten.olsen@sund.ku.dk</t>
  </si>
  <si>
    <t>Goodman, Simon/JGM-0743-2023; Moltke, Ida/C-6158-2011; Hoffman, Joseph i/K-7725-2012; Teilmann, Jonas/J-7828-2013; Rosing-Asvid, Aqqalu/GRN-7660-2022; Hall, Ailsa J/E-1596-2011; Heller, Rasmus/M-2580-2014; Vieira, Filipe FGV Garrett/B-9464-2015; Carroll, Emma/U-9133-2019; Olsen, Morten T/J-4783-2013; Galatius, Anders/AGG-7831-2022; Andersen, Liselotte Wesley/J-3307-2013</t>
  </si>
  <si>
    <t>Goodman, Simon/0000-0003-4118-8575; Moltke, Ida/0000-0001-7052-8554; Teilmann, Jonas/0000-0002-4376-4700; Carroll, Emma/0000-0003-3193-7288; Andersen, Liselotte Wesley/0000-0003-3225-9917; Hall, Ailsa/0000-0002-7562-1771; Granquist, Sandra/0000-0001-6503-5499</t>
  </si>
  <si>
    <t>Academy of Finland [311966]; Stiftelsen for Miljostrategisk Forskning; Innovationsfonden [6180-00001B, 6180-00002B]; Villum Fonden [19114]; German Federal Ministry of Education and Research [FKZ 03F0767A]; NERC [NE/R015007/1] Funding Source: UKRI</t>
  </si>
  <si>
    <t>Academy of Finland(Research Council of Finland); Stiftelsen for Miljostrategisk Forskning; Innovationsfonden; Villum Fonden(Villum Fonden); German Federal Ministry of Education and Research(Federal Ministry of Education &amp; Research (BMBF)); NERC(UK Research &amp; Innovation (UKRI)Natural Environment Research Council (NERC))</t>
  </si>
  <si>
    <t>Funding information Academy of Finland, Grant/Award Number: 311966; Stiftelsen for Miljostrategisk Forskning; Innovationsfonden, Grant/Award Number: 6180-00001B and 6180-00002B; Villum Fonden, Grant/Award Number: 19114; German Federal Ministry of Education and Research, Grant/Award Number: FKZ 03F0767A</t>
  </si>
  <si>
    <t>10.1111/mec.16365</t>
  </si>
  <si>
    <t>Green Published, hybrid, Green Accepted</t>
  </si>
  <si>
    <t>WOS:000752798300001</t>
  </si>
  <si>
    <t>Cocking, J; Narayanaswamy, BE; Waluda, CM; Williamson, BJ</t>
  </si>
  <si>
    <t>Cocking, Jennifer; Narayanaswamy, Bhavani E.; Waluda, Claire M.; Williamson, Benjamin J.</t>
  </si>
  <si>
    <t>Aerial detection of beached marine plastic using a novel, hyperspectral short-wave infrared (SWIR) camera</t>
  </si>
  <si>
    <t>hyperspectral; macroplastics; plastic pollution; remote sensing; shoreline; short-wave infrared; spectral angle mapping</t>
  </si>
  <si>
    <t>DEBRIS; MICROPLASTICS; DISCRIMINATION; CLASSIFICATION; LITTER; SYSTEM; IMAGES; MODEL; OCEAN</t>
  </si>
  <si>
    <t>Plastic pollution in the marine environment is a pervasive, global problem that threatens wildlife and human health. Routine monitoring is required to determine pollution hotspots, focus clean-up efforts, and assess the efficacy of legislation implemented to reduce environmental contamination. The shoreline represents an accessible area, relative to open water, from which to monitor this. Unmanned aerial vehicles (UAVs) offer a low-cost platform for remote sensing that operates below cloud coverage, which can interfere with satellite imagery. Detection of plastic using visible light is limited however, and results may be improved by using short-wave infrared (SWIR) imagery to collect chemical information. Within the commercial recycling industry, plastic items are sorted successfully based on their composition using SWIR instrumentation that measures the chemical spectra of waste items under controlled illumination. Here, proof of concept is established for aerial detection of domestic and shoreline-harvested plastic items on a beach under natural sunlight with a lightweight (800 g), hyperspectral SWIR camera deployed at an altitude of similar to 5 m over similar to 30-m transects. The results of spectral correlation mapping to compare imagery spectra to polyethylene and polypropylene reference spectra demonstrate that these two polymers can be successfully detected with this novel method.</t>
  </si>
  <si>
    <t>[Cocking, Jennifer; Narayanaswamy, Bhavani E.] Univ Highlands &amp; Isl, Scottish Assoc Marine Sci, Oban PA37 1QA, England; [Waluda, Claire M.] British Antarctic Survey, Nat Environm Res Council, Cambridge CB3 0ET, England; [Williamson, Benjamin J.] Univ Highlands &amp; Isl, North Highland Coll, Environm Res Inst, Thurso KW14 7EE, England</t>
  </si>
  <si>
    <t>UHI Millennium Institute; UK Research &amp; Innovation (UKRI); Natural Environment Research Council (NERC); NERC British Antarctic Survey; UHI Millennium Institute</t>
  </si>
  <si>
    <t>Cocking, J (corresponding author), Univ Highlands &amp; Isl, Scottish Assoc Marine Sci, Oban PA37 1QA, England.</t>
  </si>
  <si>
    <t>jennifer.cocking@sams.ac.uk</t>
  </si>
  <si>
    <t>Williamson, Benjamin/0000-0002-7107-7713; Narayanaswamy, Bhavani/0000-0002-5810-9127</t>
  </si>
  <si>
    <t>UK Natural Environment Research Council (NERC) [1971900]; NERC [bas0100035, 1971900] Funding Source: UKRI</t>
  </si>
  <si>
    <t>UK Natural Environment Research Council (NERC)(UK Research &amp; Innovation (UKRI)Natural Environment Research Council (NERC)); NERC(UK Research &amp; Innovation (UKRI)Natural Environment Research Council (NERC))</t>
  </si>
  <si>
    <t>This work has been completed within the NEXUSS Centre for Doctoral Training granted by the UK Natural Environment Research Council (NERC) (grant numberNE/R012156/1, studentship 1971900).</t>
  </si>
  <si>
    <t>10.1093/icesjms/fsac006</t>
  </si>
  <si>
    <t>hybrid, Green Accepted</t>
  </si>
  <si>
    <t>WOS:000768440200001</t>
  </si>
  <si>
    <t>Li, T; Dawson, GJ; Chuter, SJ; Bamber, JL</t>
  </si>
  <si>
    <t>Li, Tian; Dawson, Geoffrey J.; Chuter, Stephen J.; Bamber, Jonathan L.</t>
  </si>
  <si>
    <t>A high-resolution Antarctic grounding zone product from ICESat-2 laser altimetry</t>
  </si>
  <si>
    <t>ROSS ICE SHELF; SEA-LEVEL RISE; WEST ANTARCTICA; LINE RETREAT; PINE ISLAND; EAST ANTARCTICA; KOHLER GLACIERS; MASS-LOSS; REASSESSMENT; COLLAPSE</t>
  </si>
  <si>
    <t>The Antarctic grounding zone, which is the transition between the fully grounded ice sheet to freely floating ice shelf, plays a critical role in ice sheet stability, mass budget calculations, and ice sheet model projections. It is therefore important to continuously monitor its location and migration over time. Here we present the first ICESat-2-derived high-resolution grounding zone product of the Antarctic Ice Sheet, including three important boundaries: the inland limit of tidal flexure (Point F), inshore limit of hydrostatic equilibrium (Point H), and the break in slope (Point Ib). This dataset was derived from automated techniques developed in this study, using ICESat-2 laser altimetry repeat tracks between 30 March 2019 and 30 September 2020. The new grounding zone product has a near-complete coverage of the Antarctic Ice Sheet with a total of 21 346 Point F, 18 149 Point H, and 36 765 Point Ib locations identified, including the difficult-to-survey grounding zones, such as the fast-flowing glaciers draining into the Amundsen Sea embayment. The locations of newly derived ICESat-2 landward limit of tidal flexure agree well with the most recent differential synthetic aperture radar interferometry (DInSAR) observations in 2018, with a mean absolute separation and standard deviation of 0.02 and 0.02 km, respectively. By comparing the ICESat-2-derived grounding zone with the previous grounding zone products, we find a grounding line retreat of up to 15 km on the Crary Ice Rise of Ross Ice Shelf and a pervasive landward grounding line migration along the Amundsen Sea embayment during the past 2 decades. We also identify the presence of ice plains on the Filchner-Ronne Ice Shelf and the influence of oscillating ocean tides on grounding zone migration.</t>
  </si>
  <si>
    <t>[Li, Tian; Dawson, Geoffrey J.; Chuter, Stephen J.; Bamber, Jonathan L.] Univ Bristol, Sch Geog Sci, Bristol Glaciol Ctr, Bristol BS8 1SS, Avon, England; [Bamber, Jonathan L.] Tech Univ Munich, Dept Aerosp &amp; Geodesy Data Sci Earth Observat, D-85521 Ottobrunn, Germany</t>
  </si>
  <si>
    <t>University of Bristol; Technical University of Munich</t>
  </si>
  <si>
    <t>Li, T (corresponding author), Univ Bristol, Sch Geog Sci, Bristol Glaciol Ctr, Bristol BS8 1SS, Avon, England.</t>
  </si>
  <si>
    <t>tian.li@bristol.ac.uk</t>
  </si>
  <si>
    <t>Bamber, Jonathan/C-7608-2011</t>
  </si>
  <si>
    <t>Bamber, Jonathan/0000-0002-2280-2819; Dawson, Geoffrey/0000-0001-9873-2266; Li, Tian/0000-0002-1577-4004; Chuter, Stephen/0000-0002-2189-6235</t>
  </si>
  <si>
    <t>China Scholarship Council (CSC)-University of Bristol; European Research Council [694188]; German Federal Ministry of Education and Research (BMBF) [01DD20001]; European Research Council (ERC) [694188] Funding Source: European Research Council (ERC)</t>
  </si>
  <si>
    <t>China Scholarship Council (CSC)-University of Bristol(China Scholarship Council); European Research Council(European Research Council (ERC)); German Federal Ministry of Education and Research (BMBF)(Federal Ministry of Education &amp; Research (BMBF)); European Research Council (ERC)(European Research Council (ERC)Spanish Government)</t>
  </si>
  <si>
    <t>Tian Li received funding by the China Scholarship Council (CSC)-University of Bristol joint-funded PhD scholarship. Jonathan L. Bamber and Stephen J. Chuter received funding by the European Research Council (GlobalMass; grant no. 694188). Jonathan L. Bamber also received funding by the German Federal Ministry of Education and Research (BMBF) in the framework of the international future lab AI4EO (grant no. 01DD20001).</t>
  </si>
  <si>
    <t>FEB 8</t>
  </si>
  <si>
    <t>10.5194/essd-14-535-2022</t>
  </si>
  <si>
    <t>ZD3AP</t>
  </si>
  <si>
    <t>WOS:000758074900001</t>
  </si>
  <si>
    <t>Matula, CV; Quartino, ML; Nunez, JD; Zacher, K; Bartsch, I</t>
  </si>
  <si>
    <t>Veronica Matula, Carolina; Liliana Quartino, Maria; Dario Nunez, Jesus; Zacher, Katharina; Bartsch, Inka</t>
  </si>
  <si>
    <t>Effects of seawater temperature and seasonal irradiance on growth, reproduction, and survival of the endemic Antarctic brown alga Desmarestia menziesii (Phaeophyceae)</t>
  </si>
  <si>
    <t>Algal growth; Life history stage; Polar macroalgae; Survival temperature; Physiological response</t>
  </si>
  <si>
    <t>SOUTH SHETLAND ISLANDS; CLIMATE-CHANGE; MACROALGAL ASSEMBLAGES; LAMINARIA-SACCHARINA; UNDARIA-PINNATIFIDA; SETTLEMENT DENSITY; LIFE-HISTORY; POTTER COVE; PHOTOSYNTHESIS; TOLERANCE</t>
  </si>
  <si>
    <t>Endemic Antarctic macroalgae are especially adapted to live in extreme Antarctic conditions. Their potential biogeographic distribution niche is primarily controlled by the photoperiodic regime and seawater temperatures, since these parameters regulate growth, reproduction, and survival during the entire life cycle. Here we analyzed the upper survival temperature (UST) of juvenile sporophytes and the temperature range for sporophyte formation from gametophytes of Desmarestia menziesii, one of the dominant endemic Antarctic brown algal species. This process is a missing link to better evaluate the full biogeographical niche of this species. Two laboratory experiments were conducted. First, growth and maximum quantum yield of juvenile sporophytes were analyzed under a temperature gradient (0, 5, 10, 12, 13, 14, 15, and 16 degrees C) in a 16:8 h light:dark (LD) regime (Antarctic spring condition) for 2 weeks. Second, the formation of sporophytes from gametophytes (as a proxy of gametophyte reproduction) was evaluated during a 7 weeks period under a temperature gradient (0, 4, 8, 12, and 16 degrees C), and two different photoperiods: 6:18 h LD regime simulating winter conditions and a light regime simulating the Antarctic shift from winter to spring by gradually increasing the light period from 7.5:16.5 h LD (late winter) to 18.5:5.5 h LD (late spring). Sporophytes of D. menziesii were able to grow and survive up to 14 degrees C for 2 weeks without visible signs of morphological damage. Thus, this species shows the highest UST of all endemic Antarctic Desmarestiales species. In turn, gametophyte reproduction solely took place at 0 degrees C but not at 4-8 degrees C. The number of emerging sporophytes was six times higher under the light regime simulating the transition from winter to spring than under constant short day winter conditions. There was a negative relationship between the number of sporophytes formed and the gametophyte density at the beginning of the experiment, which provides evidence that gametophyte density exerts some control upon reproduction in D. menziesii. Results strongly indicate that although sporophytes and gametophytes may survive in warmer temperatures, the northernmost distribution limit of D. menziesii in South Georgia Islands is set by the low temperature requirements for gametophyte reproduction. Hence, global warming could have an impact on the distribution of this and other Antarctic species, by influencing their growth and reproduction.</t>
  </si>
  <si>
    <t>[Veronica Matula, Carolina; Liliana Quartino, Maria] Inst Antartico Argentino, 25 Mayo 1143, RA-1650 Buenos Aires, DF, Argentina; [Liliana Quartino, Maria] Museo Argentino Ciencias Nat Bernardino Rivadavia, Av Angel Gallardo 470, RA-1405 Buenos Aires, DF, Argentina; [Dario Nunez, Jesus] Univ Nacl Mar del Plata, CONICET, IIMYC, Inst Invest Marina &amp; Costeras,FCEyN, Funes 3250, RA-7600 Mar Del Plata, Buenos Aires, Argentina; [Veronica Matula, Carolina; Zacher, Katharina; Bartsch, Inka] Helmholtz Ctr Polar &amp; Marine Res, Alfred Wegener Inst, Handelshafen 12, D-27570 Bremerhaven, Germany</t>
  </si>
  <si>
    <t>Instituto Antartico Argentino; Museo Argentino de Ciencias Naturales Bernardino Rivadavia (MACN); National University of Mar del Plata; Consejo Nacional de Investigaciones Cientificas y Tecnicas (CONICET); Helmholtz Association; Alfred Wegener Institute, Helmholtz Centre for Polar &amp; Marine Research</t>
  </si>
  <si>
    <t>Matula, CV (corresponding author), Inst Antartico Argentino, 25 Mayo 1143, RA-1650 Buenos Aires, DF, Argentina.;Matula, CV (corresponding author), Helmholtz Ctr Polar &amp; Marine Res, Alfred Wegener Inst, Handelshafen 12, D-27570 Bremerhaven, Germany.</t>
  </si>
  <si>
    <t>ucv@mrecic.gov.ar</t>
  </si>
  <si>
    <t>Zacher, Katharina/0000-0001-8897-1255</t>
  </si>
  <si>
    <t>Instituto Antartico Argentino/Direccion Nacional del Antartico; ANPCyT-DNA [PICT 2017-2691]; EU project Research Network IMCONet - Marie Curie Action IRSES IMCONet (FP7 IRSES) [318718]; MINCYT - BMBF [SEACOAST - AL/17/06]; EU [872690]; Deutsche Forschungsgemeinschaft (DFG) [Za735/1-1]; Marie Curie Actions (MSCA) [872690] Funding Source: Marie Curie Actions (MSCA)</t>
  </si>
  <si>
    <t>Instituto Antartico Argentino/Direccion Nacional del Antartico; ANPCyT-DNA; EU project Research Network IMCONet - Marie Curie Action IRSES IMCONet (FP7 IRSES)(European Union (EU)Marie Curie Actions); MINCYT - BMBF(Federal Ministry of Education &amp; Research (BMBF)); EU(European Union (EU)); Deutsche Forschungsgemeinschaft (DFG)(German Research Foundation (DFG)); Marie Curie Actions (MSCA)(Marie Curie Actions)</t>
  </si>
  <si>
    <t>This study was performed with the financial support of Instituto Antartico Argentino/Direccion Nacional del Antartico, ANPCyT-DNA (PICT 2017-2691), the EU project Research Network IMCONet funded by the Marie Curie Action IRSES IMCONet (FP7 IRSES, Action No. 318718), the cooperation project between Argentina and Germany, MINCYT - BMBF 2017 (SEACOAST - AL/17/06), and EU 872690 (Horizon 2020-Marie Skodowska-Curie Action RISE - 2019 - Research and Innovation Staff Exchange) Coastal ecosystem carbon balance in times of rapid glacier melt (CoastCarb). This work was further supported by the Deutsche Forschungsgemeinschaft (DFG) in the framework of the priority programme 'Antarctic Research with comparative investigations in Arctic ice areas' by a grant Za735/1-1. We thank Andreas Wagner and Claudia Daniel for their technical support in the laboratory.</t>
  </si>
  <si>
    <t>10.1007/s00300-021-02991-5</t>
  </si>
  <si>
    <t>WOS:000753902500001</t>
  </si>
  <si>
    <t>Arkhipkin, A; Shcherbich, Z; Busbridge, T; Blake, A; Lee, B</t>
  </si>
  <si>
    <t>Arkhipkin, Alexander; Shcherbich, Zhanna; Busbridge, Thomas; Blake, Alex; Lee, Brendon</t>
  </si>
  <si>
    <t>Sexual dimorphism in age, growth and sexual maturity in channel bull blenny Cottoperca trigloides (Forster, 1801) (Bovichtidae: Notothenioidei) on the Patagonian Shelf, Southwest Atlantic</t>
  </si>
  <si>
    <t>Cottoperca trigloides; Bovichtidae; Sexual dimorphism; Age; Growth; Maturation; Southwest Atlantic</t>
  </si>
  <si>
    <t>TOOTHFISH DISSOSTICHUS-MAWSONI; PATAGONOTOTHEN-RAMSAYI; LIFE-HISTORY; VALIDATION; FISHES; PRECISION; EVOLUTION; PATTERNS; ICEFISH; SQUID</t>
  </si>
  <si>
    <t>Perciform fish of the suborder Notothenioidei radiated in the cold marine environments of the Southern Ocean around Antarctica where they evolved a diverse array of ecological forms. Despite their relatively high abundance and important roles in the Antarctic and sub-Antarctic ecosystems, many aspects of their life history are still poorly known. In the present study, age, growth and sexual maturity of channel bull blenny Cottoperca trigloides were analysed using the data of 28,229 specimens collected over the last 30 years in the southern part of the Patagonian Shelf in the Southwest Atlantic. It was found that C. trigloides features sexual dimorphism with males attaining larger sizes than females, an unusual characteristic for notothenioid fish. Males also had higher growth rates, older maximum ages and slower maturation. The peak in gonad maturation and spawning in C. trigloides was revealed to take place in austral winter, similar to other notothenioids from the Patagonian Shelf, thus matching larval hatch with the spring bloom of zooplankton. Sexual dimorphism may be advantageous for large territorial males during competitive interactions, particularly in an environment characterised by strong patchiness of rocky areas that are most suitable for spawning. Evolution of life history traits that placed C. trigloides close to the r-end within the r/K strategy continuum evolved by notothenioid fishes, enabled this species to successfully compete with other medium-large and large predators in resources-rich environment of the Patagonian Shelf.</t>
  </si>
  <si>
    <t>[Arkhipkin, Alexander; Shcherbich, Zhanna; Busbridge, Thomas; Blake, Alex; Lee, Brendon] Falkland Isl Govt Fisheries Dept, Bypass Rd,FIQQ 1ZZ, Stanley, Falkland Island; [Lee, Brendon] Rhodes Univ, Dept Ichthyol &amp; Fisheries Sci, POB 94, ZA-6140 Grahamstown, South Africa</t>
  </si>
  <si>
    <t>Rhodes University</t>
  </si>
  <si>
    <t>Arkhipkin, A (corresponding author), Falkland Isl Govt Fisheries Dept, Bypass Rd,FIQQ 1ZZ, Stanley, Falkland Island.</t>
  </si>
  <si>
    <t>aarkhipkin@fisheries.gov.fk</t>
  </si>
  <si>
    <t>Arkhipkin, Alexander/0000-0001-6725-6869; Lee, Brendon/0000-0003-1682-8905</t>
  </si>
  <si>
    <t>10.1007/s00300-021-03003-2</t>
  </si>
  <si>
    <t>WOS:000753902500003</t>
  </si>
  <si>
    <t>Simó, R; Cortés-Greus, P; Rodríguez-Ros, P; Masdeu-Navarro, M</t>
  </si>
  <si>
    <t>Simo, Rafel; Cortes-Greus, Pau; Rodriguez-Ros, Pablo; Masdeu-Navarro, Marta</t>
  </si>
  <si>
    <t>Substantial loss of isoprene in the surface ocean due to chemical and biological consumption</t>
  </si>
  <si>
    <t>SECONDARY ORGANIC AEROSOLS; MARINE ISOPRENE; GAS-EXCHANGE; MIXED-LAYER; EMISSIONS; SEAWATER; PRODUCTS; BACTERIA; FLUXES; WATERS</t>
  </si>
  <si>
    <t>Isoprene contributes to the formation of ozone and secondary organic aerosol in the atmosphere, and thus influences cloud albedo and climate. Isoprene is ubiquitous in the surface open ocean where it is produced by phytoplankton, however emissions from the global ocean are poorly constrained, in part due to a lack of knowledge of oceanic sink or degradation terms. Here, we present analyses of ship-based seawater incubation experiments with samples from the Mediterranean, Atlantic, tropical Pacific and circum-Antarctic and Subantarctic oceans to determine chemical and biological isoprene consumption in the surface ocean. We find the total isoprene loss to be comprised of a constant chemical loss rate of 0.05 +/- 0.01 d(-1) and a biological consumption rate that varied between 0 and 0.59 d(-1) (median 0.03 d(-1)) and was correlated with chlorophyll-a concentration. We suggest that isoprene consumption rates in the surface ocean are of similar magnitude or greater than ventilation rates to the atmosphere, especially in chlorophyll-a rich waters. Isoprene loss through chemical and biological consumption in the surface ocean is comparable or greater than loss via outgassing to the atmosphere, according to seawater incubation experiments conducted across contrasting regions of the global ocean.</t>
  </si>
  <si>
    <t>[Simo, Rafel; Cortes-Greus, Pau; Rodriguez-Ros, Pablo; Masdeu-Navarro, Marta] ICM CSIC, Inst Ciencies Mar, Barcelona, Spain</t>
  </si>
  <si>
    <t>Consejo Superior de Investigaciones Cientificas (CSIC); CSIC - Centro Mediterraneo de Investigaciones Marinas y Ambientales (CMIMA); CSIC - Instituto de Ciencias del Mar (ICM)</t>
  </si>
  <si>
    <t>Simó, R (corresponding author), ICM CSIC, Inst Ciencies Mar, Barcelona, Spain.</t>
  </si>
  <si>
    <t>rsimo@icm.csic.es</t>
  </si>
  <si>
    <t>Simo, Rafel/0000-0003-3276-7663</t>
  </si>
  <si>
    <t>Spanish national funding plan for science [CTM2012-37615, CTM2016-81008-R]; Severo Ochoa Centre of Excellence' accreditation [CEX2019-000928-S]; Spanish national funding plan for science; 'La Caixa' Foundation; European Research Council Advanced Grant [ERC-2018-ADG-834162]</t>
  </si>
  <si>
    <t>Spanish national funding plan for science; Severo Ochoa Centre of Excellence' accreditation; Spanish national funding plan for science; 'La Caixa' Foundation(La Caixa Foundation); European Research Council Advanced Grant(European Research Council (ERC))</t>
  </si>
  <si>
    <t>We are thankful to colleagues who provided chlorophyll and bacterial data: J.M. Gasol and J. Aristegui (HOTMIX), S. Nunes, M. Estrada and M.M. Sala (PEGASO and TransPEGASO), and C. Marrase and M. Cabrera (Mo'orea). We are grateful to the crews and technicians on board the R/Vs Sarmiento de Gamboa and Hesperides, and to the managers and staff of the Gump Station in Mo'orea (administered by UC Berkeley). This research was supported by the Spanish national funding plan for science through projects PEGASO (CTM2012-37615) and BIOGAPS (CTM2016-81008-R) to RS, and through the 'Severo Ochoa Centre of Excellence' accreditation (CEX2019-000928-S) to the ICM-CSIC. PC-G and MM-N were supported by FPI Ph.D. fellowships from the Spanish national funding plan for science, while PR-R was supported by a 'La Caixa' Foundation Ph.D. fellowship. RS is a holder of a European Research Council Advanced Grant (ERC-2018-ADG-834162) under the EU's Horizon H2020 research and innovation programme.</t>
  </si>
  <si>
    <t>10.1038/s43247-022-00352-6</t>
  </si>
  <si>
    <t>YV7LV</t>
  </si>
  <si>
    <t>WOS:000752909100001</t>
  </si>
  <si>
    <t>Xu, BC; Li, SZ; Burnett, WC; Zhao, SB; Santos, IR; Lian, EG; Chen, XY; Yu, ZG</t>
  </si>
  <si>
    <t>Xu, Bochao; Li, Sanzhong; Burnett, William C.; Zhao, Shibin; Santos, Isaac R.; Lian, Ergang; Chen, Xianyao; Yu, Zhigang</t>
  </si>
  <si>
    <t>Radium-226 in the global ocean as a tracer of thermohaline circulation: Synthesizing half a century of observations</t>
  </si>
  <si>
    <t>EARTH-SCIENCE REVIEWS</t>
  </si>
  <si>
    <t>Ra-226; GEOTRACES; GEOSECS; Deep ocean; Thermohaline circulation</t>
  </si>
  <si>
    <t>SUBMARINE GROUNDWATER DISCHARGE; CRUSTAL RESIDENCE TIME; DEEP-SEA SEDIMENTS; PACIFIC-OCEAN; ARCTIC-OCEAN; HYDROTHERMAL FLUIDS; MARINE GEOCHEMISTRY; BARITE FORMATION; ANTARCTIC OCEAN; VENT FIELDS</t>
  </si>
  <si>
    <t>Naturally occurring radium isotopes are powerful natural tracers of marine processes and support the quantification of elemental budgets. Ra-226 is the most abundant radium isotope in the ocean with the longest half-life (1600 years). Initially, Ra-226 was used to understand global scale deep ocean circulation and later was applied as a tracer of submarine groundwater discharge and benthic fluxes. Here, we synthesize historical dissolved Ra-226 data from multiple international research programs including GEOSECS, TTO and GEOTRACES to build a global picture of Ra-226 distribution throughout the global ocean. The activities of Ra-226 in the world's ocean increases along the thermohaline circulation pathways. Deep and bottom water masses are found with characteristic Ra-226 properties confirming that Ra-226 is a good thermohaline tracer. The vertical Ra-226 distribution is consistent with the penetration of the Antarctic Bottom Water (AABW) into all three major oceans (Atlantic, Indian and Pacific) along their western boundaries. The North Atlantic Deep Water (NADW) flows southward and merge into the Antarctic Circumpolar current (ACC) mainly along the western boundary. The eastern flow branch of the NADW is relatively weak as it enters the Indian Ocean. North Pacific Deep Water (NPDW) is transported mostly southward along the eastern boundary. The East Pacific Rise splits the NPDW Ra-226 signal and later merges into the ACC at intermediate depths (2000 m-3000 m) in the western South Pacific. A combination of the natural tracers Ra-226, Si and Ba can provide additional insights into water mixing as well as source/sink behaviors of these elements. Considering that Ra-226 originates mainly from the bottom (sediments), it complements widely used top-down geochemical tracers such as C-14 that penetrates the ocean from the atmosphere. With improved abilities to measure Ra-226 in small volume samples, Ra-226 can now be more widely applied as a geochemical tracer for oceanographic investigations to assess deep ocean mixing, transport, and residence times</t>
  </si>
  <si>
    <t>[Xu, Bochao; Li, Sanzhong; Zhao, Shibin; Yu, Zhigang] Ocean Univ China, Frontiers Sci Ctr Deep Ocean Multispheres &amp; Earth, Minist Educ, Qingdao 266100, Peoples R China; [Xu, Bochao; Zhao, Shibin; Yu, Zhigang] Ocean Univ China, Key Lab Marine Chem Theory &amp; Technol, Minist Educ, Qingdao 266100, Peoples R China; [Xu, Bochao; Zhao, Shibin; Yu, Zhigang] Qingdao Natl Lab Marine Sci &amp; Technol, Lab Marine Ecol &amp; Environm Sci, Qingdao 266071, Peoples R China; [Li, Sanzhong] Ocean Univ China, Key Lab Submarine Geosci &amp; Prospecting Tech, Minist Educ, Qingdao 266100, Peoples R China; [Li, Sanzhong] Ocean Univ China, Coll Marine Geosci, Qingdao 266100, Peoples R China; [Li, Sanzhong] Qingdao Natl Lab Marine Sci &amp; Technol, Lab Marine Geol, Qingdao 266237, Peoples R China; [Burnett, William C.] Florida State Univ, Dept Earth Ocean &amp; Atmospher Sci, Tallahassee, FL 32306 USA; [Santos, Isaac R.] Univ Gothenburg, Dept Marine Sci, Gothenburg, Sweden; [Lian, Ergang] Tongji Univ, State Key Lab Marine Geol, Shanghai, Peoples R China; [Chen, Xianyao] Ocean Univ China, Phys Oceanog Lab, CIMST, Qingdao 266100, Peoples R China</t>
  </si>
  <si>
    <t>Ocean University of China; Ocean University of China; Laoshan Laboratory; Ocean University of China; Ocean University of China; Laoshan Laboratory; State University System of Florida; Florida State University; University of Gothenburg; Tongji University; Ocean University of China</t>
  </si>
  <si>
    <t>Yu, ZG (corresponding author), Ocean Univ China, Frontiers Sci Ctr Deep Ocean Multispheres &amp; Earth, Minist Educ, Qingdao 266100, Peoples R China.;Yu, ZG (corresponding author), Ocean Univ China, Key Lab Marine Chem Theory &amp; Technol, Minist Educ, Qingdao 266100, Peoples R China.</t>
  </si>
  <si>
    <t>zhigangyu@ouc.edu.cn</t>
  </si>
  <si>
    <t>许, 许博超/HMP-0149-2023; Santos, Isaac R./A-3960-2019; Li, Sanzhong/F-6111-2013</t>
  </si>
  <si>
    <t>许, 许博超/0000-0002-5069-3824; Santos, Isaac R./0000-0003-0524-842X; Lian, Ergang/0000-0001-8155-6462</t>
  </si>
  <si>
    <t>Natural Science Foundation of China [41876075, 42130410, 91958214]; Fundamental Research Funds for the Central Universities China [201962003, 202072001]</t>
  </si>
  <si>
    <t>Natural Science Foundation of China(National Natural Science Foundation of China (NSFC)); Fundamental Research Funds for the Central Universities China(Fundamental Research Funds for the Central Universities)</t>
  </si>
  <si>
    <t>We would like to thank Prof. Matthew A. Charette from Woods Hole Oceanographic Institution for offering TTO data. We also thank Prof. Min Chen from Xiamen University for offering Arctic data from the 6th Chinese Arctic Research Expedition. All data used here are open access. The GEOSECS data were downloaded from GEOSECS Operations Group Volumes (Vol. 1-7). The TTO voyage data are cited from Technical Reports. The GEOTRACES data are cited from GEOTRACES 2021 Intermediate Data Product (IDP2021), which represents an international collaboration endorsed by the Scientific Committee on Oceanic Research (SCOR). We are grateful to the many researchers and funding agencies responsible for the collection of data and quality control. We are very grateful to Dr. Yu Zhang, Zhiwei Zhang, Zhaoxia Jiang and Chun Zhou from Ocean University of China for their constructive comments. The authors from Ocean University of China were funded by the Natural Science Foundation of China (41876075, 42130410 and 91958214), and Fundamental Research Funds for the Central Universities China (201962003 and 202072001). The authors have no conflicts of interest to declare.</t>
  </si>
  <si>
    <t>0012-8252</t>
  </si>
  <si>
    <t>1872-6828</t>
  </si>
  <si>
    <t>EARTH-SCI REV</t>
  </si>
  <si>
    <t>Earth-Sci. Rev.</t>
  </si>
  <si>
    <t>10.1016/j.earscirev.2022.103956</t>
  </si>
  <si>
    <t>2Q0OK</t>
  </si>
  <si>
    <t>WOS:000820128600002</t>
  </si>
  <si>
    <t>Oyarzún-Salazar, R; Martínez, D; Nualart, D; Muñoz, JLP; Vargas-Chacoff, L</t>
  </si>
  <si>
    <t>Oyarzun-Salazar, R.; Martinez, D.; Nualart, D.; Munoz, J. L. P.; Vargas-Chacoff, L.</t>
  </si>
  <si>
    <t>The fasted and post-prandial physiological responses of the Patagonian blennie Eleginops maclovinus</t>
  </si>
  <si>
    <t>COMPARATIVE BIOCHEMISTRY AND PHYSIOLOGY A-MOLECULAR &amp; INTEGRATIVE PHYSIOLOGY</t>
  </si>
  <si>
    <t>INTERMEDIARY METABOLISM; PISCIRICKETTSIA-SALMONIS; ENERGY-METABOLISM; FISH; OSMOREGULATION; CORTISOL; PARAMETERS; SYSTEM; GILLS; LIVER</t>
  </si>
  <si>
    <t>Eleginops maclovinus is a native species with potential for Chilean aquaculture. Understanding the variations between the post-prandial and fasted metabolic responses can contribute to improving the aquaculture of this species. This study aimed to characterize variations in intermediate metabolism during the course of the day in the liver, serum, and gills of fed and unfed fish. For this, 72 fish were assigned to two experimental groups, fed  and fasted . The first group was fed ad libitum  at 8.30, while the fasted group was not fed for 24 h. Samples were taken from both groups at 9:00, and every 2 h: 11:00, 13:00, 15:00, 17:00, and 19:00. In the fed group, food spent a long time in the gastrointestinal tract, with a large increase in stomach size and without evidence of complete emptying of the stomach at 19:00 (10.5 h post-feeding). In serum, the levels of amino acids, glucose, and triglycerides presented significant differences with peak levels at different times of day in the fed group. The cortisol in the fasted group presented a diurnal pattern with high levels during the morning and very low levels after 13:00, while in the fed group, the high cortisol variability did not allow a clear pattern to be established. In the liver, the effect of time on the enzymatic activity of the intermediary metabolism was greater compared to the effect of feeding. In the liver, enzyme activity decreased at later hours of the day, while glycogen levels increased at later hours of the day in both groups: but its levels were higher in the fed group. In gills, as well as in the liver, time had a greater effect than feeding on intermediate metabolism, since feeding only had a significant effect on the levels of hexokinase, lactate, and amino acids, suggesting an effect on carbohydrate metabolism. Meanwhile, time significantly affected the levels of Na+, K+-ATPase, glutamate dehydrogenase, aspartate aminotransferase, amino acids, and proteins, suggesting an effect on amino acid metabolism. In conclusion, the intermediate metabolism of E. maclovinus presents variations according to the time of day, with an increased metabolism during the morning and decreased metabolism as the day progresses, especially at the hepatic level. The gill tissue, despite not being a metabolic organ, presents feeding-dependent variations in its metabolism. Additional studies will be required to corroborate if coordinating a feeding strategy during the first hours of the day when metabolism is greater would improve the growth of E. maclovinus.</t>
  </si>
  <si>
    <t>[Oyarzun-Salazar, R.; Martinez, D.; Nualart, D.; Vargas-Chacoff, L.] Univ Austral Chile, Inst Ciencias Marinas &amp; Limnol, Valdivia, Chile; [Vargas-Chacoff, L.] Univ Austral Chile, Ctr Fondap Invest Altas Latitudes IDEAL, Casilla 567, Valdivia, Chile; [Munoz, J. L. P.] Univ Los Lagos, Ctr I Mar, Puerto Montt, Chile; [Vargas-Chacoff, L.] Univ Austral Chile, Millennium Inst Biodivers Antarctic &amp; Subantarct, BASE, Valdivia, Chile; [Martinez, D.] Fac Ciencias Vet, Inst Patol Anim, Lab Inmunol &amp; Estres Organismos Acuat, La Pintana, Chile</t>
  </si>
  <si>
    <t>Universidad Austral de Chile; Universidad Austral de Chile; Universidad de Los Lagos; Universidad Austral de Chile</t>
  </si>
  <si>
    <t>Oyarzún-Salazar, R; Vargas-Chacoff, L (corresponding author), Univ Austral Chile, Inst Ciencias Marinas &amp; Limnol, Valdivia, Chile.</t>
  </si>
  <si>
    <t>ricardo.oyarzun@uach.cl; luis.vargas@uach.cl</t>
  </si>
  <si>
    <t>Oyarzún-Salazar, Ricardo/HGU-6035-2022</t>
  </si>
  <si>
    <t>Munoz Perez, Jose Luis/0000-0002-4645-0176; Oyarzun-Salazar, Ricardo/0000-0003-3177-399X; MARTINEZ GONZALEZ, DANIXA PAMELA/0000-0002-7363-419X</t>
  </si>
  <si>
    <t>Fondap-Ideal Grant [15150003]; Fondecyt [1160877]; Conicyt-PCHA/Doctorado nacional [201621160204]; VIDCA of the Universidad Austral de Chile</t>
  </si>
  <si>
    <t>Fondap-Ideal Grant; Fondecyt(Comision Nacional de Investigacion Cientifica y Tecnologica (CONICYT)CONICYT FONDECYT); Conicyt-PCHA/Doctorado nacional; VIDCA of the Universidad Austral de Chile</t>
  </si>
  <si>
    <t>This study was funded by Fondap-Ideal Grant N. 15150003, Fondecyt Regular N.1160877, Conicyt-PCHA/Doctorado nacional/201621160204 and the VIDCA of the Universidad Austral de Chile.</t>
  </si>
  <si>
    <t>1095-6433</t>
  </si>
  <si>
    <t>1531-4332</t>
  </si>
  <si>
    <t>COMP BIOCHEM PHYS A</t>
  </si>
  <si>
    <t>Comp. Biochem. Physiol. A-Mol. Integr. Physiol.</t>
  </si>
  <si>
    <t>10.1016/j.cbpa.2022.111158</t>
  </si>
  <si>
    <t>Biochemistry &amp; Molecular Biology; Physiology; Zoology</t>
  </si>
  <si>
    <t>1D3VW</t>
  </si>
  <si>
    <t>WOS:000793732700015</t>
  </si>
  <si>
    <t>Zhang, YL; Gao, TG; Kang, SC; Shi, HH; Mai, L; Allen, D; Allen, S</t>
  </si>
  <si>
    <t>Zhang, Yulan; Gao, Tanguang; Kang, Shichang; Shi, Huahong; Mai, Lei; Allen, Deonie; Allen, Steve</t>
  </si>
  <si>
    <t>Current status and future perspectives of microplastic pollution in typical cryospheric regions</t>
  </si>
  <si>
    <t>Microplastics; Snow; Glaciers; Sea ice; Cryosphere</t>
  </si>
  <si>
    <t>TIBETAN PLATEAU; SEA; GLACIER; PLASTICS; MICROSPECTROSCOPY; IDENTIFICATION; CONTAMINATION; ACCUMULATION; IMPACTS; SCIENCE</t>
  </si>
  <si>
    <t>The cryosphere is the term used to describe the frozen areas of the Earth, including all forms of snow and ice, which are primarily influenced by anthropogenic pollutants through atmospheric transport. In this review, we described the current status of newly emergent pollutant-microplastics-in the snow and ice of typical cryospheric regions (e.g., Arctic, Antarctic, Alps, Tibetan Plateau, and Andes), discussed their transport pathways, and provided perspectives for future research. A brief summary of snow and ice sampling, pretreatment, and the identification of microplastics in cryospheric regions suggested that standard procedures were inadequate and urgently required improvement. Microplastics were widely distributed in snow and ice across the typical cryospheric regions, indicating the ubiquitous distribution of microplastics in such environments. However, the abundance, size distribution, shape, and polymer composition of the microplastics in snow and ice showed significant differences. Sea ice was especially important for the temporal storage, transport, and release of microplastics in the Arctic and Antarctic. Microplastics in land snow cover and mountain glaciers emphasized the importance of atmospheric transport in the transferal of microplastics to cryospheric regions. In particular, the non-polar cryospheric regions (e.g., Tibetan Plateau, Andes, or Alps) were highlighted as important receptors of mid-latitude emissions of microplastics, which might indicate a future climatic risk considering the ability of microplastics to absorb radiation and accelerate the melting of snow. Microplastics retrieved from mountain glacier ice cores may also provide new insights into the historical variations of anthropogenic pollutants. The potential impact of microplastics in snow and ice on the carbon cycle and the climatic risk needs to be further addressed in the future.</t>
  </si>
  <si>
    <t>[Zhang, Yulan; Kang, Shichang] Chinese Acad Sci, Northwest Inst Ecoenvironm &amp; Resources, State Key Lab Cryospher Sci, Lanzhou 730000, Peoples R China; [Gao, Tanguang; Kang, Shichang] Lanzhou Univ, Coll Earth &amp; Environm Sci, Lanzhou 730000, Peoples R China; [Shi, Huahong] East China Normal Univ, State Key Lab Estuarine &amp; Coastal Res, Shanghai 200241, Peoples R China; [Mai, Lei] Jinan Univ, Sch Environm, Guangdong Key Lab Environm Pollut &amp; Hlth, Guangzhou 511443, Peoples R China; [Allen, Deonie; Allen, Steve] Univ Strathclyde, Dept Civil &amp; Environm Engn, Glasgow, Lanark, Scotland; [Allen, Steve] Univ Birmingham, Sch Geog Earth &amp; Environm Sci, Birmingham B15 2TT, W Midlands, England; [Kang, Shichang] Univ Chinese Acad Sci, Beijing 10049, Peoples R China</t>
  </si>
  <si>
    <t>Chinese Academy of Sciences; Lanzhou University; East China Normal University; Jinan University; University of Strathclyde; University of Birmingham; Chinese Academy of Sciences; University of Chinese Academy of Sciences, CAS</t>
  </si>
  <si>
    <t>Kang, SC (corresponding author), Chinese Acad Sci, Northwest Inst Ecoenvironm &amp; Resources, State Key Lab Cryospher Sci, Lanzhou 730000, Peoples R China.;Kang, SC (corresponding author), Lanzhou Univ, Coll Earth &amp; Environm Sci, Lanzhou 730000, Peoples R China.;Allen, S (corresponding author), Univ Strathclyde, Dept Civil &amp; Environm Engn, Glasgow, Lanark, Scotland.;Allen, S (corresponding author), Univ Birmingham, Sch Geog Earth &amp; Environm Sci, Birmingham B15 2TT, W Midlands, England.;Kang, SC (corresponding author), Univ Chinese Acad Sci, Beijing 10049, Peoples R China.</t>
  </si>
  <si>
    <t>shichang.kang@lzb.ac.cn; steve.allen@strath.ac.uk</t>
  </si>
  <si>
    <t>Shichang, Kang/AAB-5341-2020; Kang, Shichang/I-6830-2018</t>
  </si>
  <si>
    <t>Shichang, Kang/0000-0002-2344-9519; Allen, Steve/0000-0002-2333-6514; allen, deonie/0000-0002-4038-9394; Kang, Shichang/0000-0003-2115-9005</t>
  </si>
  <si>
    <t>National Key Research and Development Program of China [2020YFA0608503]; National Natural Science Foundation of China [42071082]; State Key Laboratory of Cryospheric Science [SKLCS-ZZ-2021]; CAS Light of West China Program; Leverhulme Trust [ECF-2019-309]; Carnegie Trust; University of Strathclyde (UK); second Tibetan Plateau Scientific Expedition and Research Program [2019QZKK0605]</t>
  </si>
  <si>
    <t>National Key Research and Development Program of China; National Natural Science Foundation of China(National Natural Science Foundation of China (NSFC)); State Key Laboratory of Cryospheric Science; CAS Light of West China Program; Leverhulme Trust(Leverhulme Trust); Carnegie Trust(Ministry of Education, Culture, Sports, Science and Technology, Japan (MEXT)Japan Society for the Promotion of Science); University of Strathclyde (UK); second Tibetan Plateau Scientific Expedition and Research Program</t>
  </si>
  <si>
    <t>This study was supported by the National Key Research and Development Program of China (2020YFA0608503), the second Tibetan Plateau Scientific Expedition and Research Program (2019QZKK0605), the National Natural Science Foundation of China (42071082), the State Key Laboratory of Cryospheric Science (SKLCS-ZZ-2021), and CAS Light of West China Program. The study was also supported by the Leverhulme Trust, ECF-2019-309, the Carnegie Trust, and the University of Strathclyde (UK).</t>
  </si>
  <si>
    <t>10.1016/j.earscirev.2022.103924</t>
  </si>
  <si>
    <t>0H7TG</t>
  </si>
  <si>
    <t>Green Accepted, hybrid, Green Published</t>
  </si>
  <si>
    <t>WOS:000778933500002</t>
  </si>
  <si>
    <t>Wang, YY; Ma, LB; He, J; He, ZL; Wang, MH; Liu, ZX; Li, ZM; Wang, LM; Weng, SP; Guo, CJ; He, JG</t>
  </si>
  <si>
    <t>Wang, Yuanyuan; Ma, Lingbo; He, Jian; He, Zhili; Wang, Muhua; Liu, Zixuan; Li, Zhimin; Wang, Lumin; Weng, Shaoping; Guo, Changjun; He, Jianguo</t>
  </si>
  <si>
    <t>Environmental risk characteristics of bacterial antibiotic resistome in Antarctic krill</t>
  </si>
  <si>
    <t>ECOTOXICOLOGY AND ENVIRONMENTAL SAFETY</t>
  </si>
  <si>
    <t>Antarctica; Antibiotic resistance genes; Antarctic krill; Ecological risks</t>
  </si>
  <si>
    <t>RESISTANCE GENES ARGS; BETA-LACTAMASES; SAMPLES; MICROORGANISMS; WATER</t>
  </si>
  <si>
    <t>Antibiotic resistance genes (ARGs) are ubiquitous in nature, especially in the current era of antibiotic abuse, and their existence is a global concern. In the present study, we discovered that Antarctic krill-related culturable bacteria are resistant to beta-lactam, tetracyclines, aminoglycosides, and sulphamethoxazole/trimethoprim based on the antibiotic efflux mechanism. In addition, the co-occurrence of ARGs with insertion sequence (IS) (tnpA, IS91) and Intl1 on the isolates and the phylogenetic analysis results of the whole-genome revealed low-frequency ARG transfer events, implying the transferability of these ARGs. These findings provide an early warning for the wide assessment of Antarctic microbiota in the spread of ARGs. Our work provides novel insights into understanding ARGs in culturable host-associated microorganisms, and their ecological risks and has important implications for future risk assessments of antibiotic resistance in extreme environments.</t>
  </si>
  <si>
    <t>[Wang, Yuanyuan; He, Jian; Wang, Muhua; Liu, Zixuan; Li, Zhimin; Guo, Changjun; He, Jianguo] Sun Yat Sen Univ, Sch Marine, State Key Lab Biocontrol, Southern Marine Sci &amp; Engn Guangdong Lab Zhuhai, 135 Xingang Rd West, Guangzhou 510275, Peoples R China; [Weng, Shaoping; Guo, Changjun; He, Jianguo] Sun Yat Sen Univ, Guangdong Prov Key Lab Marine Resources, 135 Xingang Rd West, Guangzhou 510275, Peoples R China; [Weng, Shaoping; Guo, Changjun; He, Jianguo] Sun Yat Sen Univ, Coastal Engn &amp; Guangdong Prov Key Lab Aquat Econ, 135 Xingang Rd West, Guangzhou 510275, Peoples R China; [Ma, Lingbo; Wang, Lumin] Minist Agr, East China Sea Fisheries Res Inst, Key Lab East China Sea &amp; Ocean Fishery Resources, Shanghai 116023, Peoples R China; [He, Zhili] Sun Yat Sen Univ, Environm Microbi Res Ctr, Sch Environm Sci &amp; Engn, Southern Marine Sci &amp; Engn Guangdong Lab Zhuhai, Guangzhou 510006, Peoples R China</t>
  </si>
  <si>
    <t>Southern Marine Science &amp; Engineering Guangdong Laboratory; Southern Marine Science &amp; Engineering Guangdong Laboratory (Zhuhai); Sun Yat Sen University; Sun Yat Sen University; Sun Yat Sen University; Ministry of Agriculture &amp; Rural Affairs; Chinese Academy of Fishery Sciences; East China Sea Fisheries Research Institute, CAFS; Southern Marine Science &amp; Engineering Guangdong Laboratory; Southern Marine Science &amp; Engineering Guangdong Laboratory (Zhuhai); Sun Yat Sen University</t>
  </si>
  <si>
    <t>Guo, CJ; He, JG (corresponding author), Sun Yat Sen Univ, Sch Marine, State Key Lab Biocontrol, Southern Marine Sci &amp; Engn Guangdong Lab Zhuhai, 135 Xingang Rd West, Guangzhou 510275, Peoples R China.</t>
  </si>
  <si>
    <t>gchangj@mail.sysu.edu.cn; lsshjg@mail.sysu.edu.cn</t>
  </si>
  <si>
    <t>wang, yu/IUQ-6654-2023; Lv, Yuanjie/AER-0767-2022; He, Zhili/C-2879-2012; WANG, YUANYUAN/IQR-4295-2023; wangwangwang, yuanyaunyuan/HHN-6432-2022; Wang, Yuan/GRF-3621-2022; Wang, Yu/GZL-9655-2022; Wang, Yuan/HHC-1520-2022</t>
  </si>
  <si>
    <t>He, Zhili/0000-0001-8225-7333;</t>
  </si>
  <si>
    <t>National Key Research and Development Program of China [2018YFD0900504, 2018YFD0900501]; Science and Technology Planning Project of Guangzhou [201904020043]; China Agriculture Research System [CARS-46]; Guangdong Key Research and Development Program [2019B020217001]; National Natural ScienceFoundation of China [31702381]; Research and Development Project for Jinwan yellowfin seabream breeding system construction [K20-42000-0180]</t>
  </si>
  <si>
    <t>National Key Research and Development Program of China; Science and Technology Planning Project of Guangzhou; China Agriculture Research System; Guangdong Key Research and Development Program; National Natural ScienceFoundation of China(National Natural Science Foundation of China (NSFC)); Research and Development Project for Jinwan yellowfin seabream breeding system construction</t>
  </si>
  <si>
    <t>This work was supported by the National Key Research and Development Program of China (Nos. 2018YFD0900504 and 2018YFD0900501) , the Science and Technology Planning Project of Guangzhou (No. 201904020043) , the China Agriculture Research System (No. CARS-46) , the Guangdong Key Research and Development Program (No. 2019B020217001) , the National Natural Science Foundation of China (No. 31702381) and the Research and Development Project for Jinwan yellowfin seabream breeding system construction (No. K20-42000-0180) .</t>
  </si>
  <si>
    <t>0147-6513</t>
  </si>
  <si>
    <t>1090-2414</t>
  </si>
  <si>
    <t>ECOTOX ENVIRON SAFE</t>
  </si>
  <si>
    <t>Ecotox. Environ. Safe.</t>
  </si>
  <si>
    <t>10.1016/j.ecoenv.2022.113289</t>
  </si>
  <si>
    <t>Environmental Sciences; Toxicology</t>
  </si>
  <si>
    <t>Environmental Sciences &amp; Ecology; Toxicology</t>
  </si>
  <si>
    <t>0L3DI</t>
  </si>
  <si>
    <t>WOS:000781357900006</t>
  </si>
  <si>
    <t>Liu, NY; Proelss, A; Schatz, V</t>
  </si>
  <si>
    <t>Liu, Nengye; Proelss, Alexander; Schatz, Valentin</t>
  </si>
  <si>
    <t>Regulating Exceptions for Research and Exploratory Fishing in Southern Ocean Marine Protected Areas: A Comparative Analysis on Balancing Conservation and Commercial Use</t>
  </si>
  <si>
    <t>OCEAN DEVELOPMENT AND INTERNATIONAL LAW</t>
  </si>
  <si>
    <t>central Arctic Ocean; fisheries; MPA; Southern Ocean; whaling</t>
  </si>
  <si>
    <t>CENTRAL ARCTIC-OCEAN; HIGH SEAS FISHERIES; DECISION; SANCTUARIES; AGREEMENT; WHALES; JAPAN</t>
  </si>
  <si>
    <t>This article examines the concepts of research fishing and directed fishing under the Ross Sea region Marine Protected Area (RSrMPA) with specific regard to MPAs as a conservation tool, drawing comparisons with related concepts contained in two other agreements, namely, the 1946 International Convention for the Regulation of Whaling (ICRW) and the 2018 Agreement to Prevent Unregulated High Seas Fisheries in the Central Arctic Ocean (CAOF Agreement). It first reviews the negotiation processes of the RSrMPA, focusing on debates between so called fishing states and conservation states, as well as the political compromise that led to the establishment of the RSrMPA. Second, it takes a detailed look at the regulation of research fishing and directed fishing, which may be conducted in the RSrMPA and the three zones into which it is divided. Third, it analyzes how scientific research activities and exploratory fishing are regulated in the CAOF Agreement. Thereafter, this article examines the role of the concept of whaling for purposes of scientific research under the ICRW. It concludes with an assessment of differences and similarities between the analyzed regulatory instruments, which identifies recommended lessons for the design of Conservation and Management Measures establishing MPAs that both reflect the precautionary approach and strike a balance between conservation and utilization.</t>
  </si>
  <si>
    <t>[Liu, Nengye] Macquarie Univ, Ctr Environm Law, Macquarie Law Sch, 6 First Walk, Sydney, NSW 2109, Australia; [Proelss, Alexander; Schatz, Valentin] Univ Hamburg, Inst Law Sea &amp; Maritime Law, Hamburg, Germany</t>
  </si>
  <si>
    <t>Macquarie University; University of Hamburg</t>
  </si>
  <si>
    <t>Liu, NY (corresponding author), Macquarie Univ, Ctr Environm Law, Macquarie Law Sch, 6 First Walk, Sydney, NSW 2109, Australia.</t>
  </si>
  <si>
    <t>nengye.liu@mq.edu.au</t>
  </si>
  <si>
    <t>/0000-0002-2995-5017; Schatz, Valentin/0000-0002-4033-2996</t>
  </si>
  <si>
    <t>Australian Research Council Discovery Project 'Geopolitical Change; Antarctic Treaty System</t>
  </si>
  <si>
    <t>Australian Research Council Discovery Project 'Geopolitical Change(Australian Research Council); Antarctic Treaty System</t>
  </si>
  <si>
    <t>This paper is a resulting publication of the DAAD-Universities Australia, Australia-Germany Joint Research Collaboration Project Conservation of Marine Living Resources in the Polar Regions (2017-2018). Prof. Nengye Liu would also like to acknowledge the support of Australian Research Council Discovery Project 'Geopolitical Change and the Antarctic Treaty System' (2019-2022).</t>
  </si>
  <si>
    <t>TAYLOR &amp; FRANCIS INC</t>
  </si>
  <si>
    <t>PHILADELPHIA</t>
  </si>
  <si>
    <t>530 WALNUT STREET, STE 850, PHILADELPHIA, PA 19106 USA</t>
  </si>
  <si>
    <t>0090-8320</t>
  </si>
  <si>
    <t>1521-0642</t>
  </si>
  <si>
    <t>OCEAN DEV INT LAW</t>
  </si>
  <si>
    <t>Ocean Dev. Int. Law</t>
  </si>
  <si>
    <t>MAR 28</t>
  </si>
  <si>
    <t>10.1080/00908320.2022.2035287</t>
  </si>
  <si>
    <t>International Relations; Law</t>
  </si>
  <si>
    <t>International Relations; Government &amp; Law</t>
  </si>
  <si>
    <t>0J4YV</t>
  </si>
  <si>
    <t>WOS:000771287100001</t>
  </si>
  <si>
    <t>Horwath, M; Gutknecht, BD; Cazenave, A; Palanisamy, HK; Marti, F; Marzeion, B; Paul, F; Le Bris, R; Hogg, AE; Otosaka, I; Shepherd, A; Döll, P; Cáceres, D; Schmied, HM; Johannessen, JA; Nilsen, JEO; Raj, RP; Forsberg, R; Sorensen, LS; Barletta, VR; Simonsen, SB; Knudsen, P; Andersen, OB; Ranndal, H; Rose, SK; Merchant, CJ; Macintosh, CR; von Schuckmann, K; Novotny, K; Groh, A; Restano, M; Benveniste, J</t>
  </si>
  <si>
    <t>Horwath, Martin; Gutknecht, Benjamin D.; Cazenave, Anny; Palanisamy, Hindumathi Kulaiappan; Marti, Florence; Marzeion, Ben; Paul, Frank; Le Bris, Raymond; Hogg, Anna E.; Otosaka, Ines; Shepherd, Andrew; Doell, Petra; Caceres, Denise; Mueller Schmied, Hannes; Johannessen, Johnny A.; Nilsen, Jan Even Oie; Raj, Roshin P.; Forsberg, Rene; Sandberg Sorensen, Louise; Barletta, Valentina R.; Simonsen, Sebastian B.; Knudsen, Per; Andersen, Ole Baltazar; Ranndal, Heidi; Rose, Stine K.; Merchant, Christopher J.; Macintosh, Claire R.; von Schuckmann, Karina; Novotny, Kristin; Groh, Andreas; Restano, Marco; Benveniste, Jerome</t>
  </si>
  <si>
    <t>Global sea-level budget and ocean-mass budget, with a focus on advanced data products and uncertainty characterisation</t>
  </si>
  <si>
    <t>ISOSTATIC-ADJUSTMENT MODEL; GREENLAND ICE-SHEET; COMPLETE INVENTORY; WATER STORAGE; GRAVITY-FIELD; DATA RECORDS; RISE; GRACE; CLIMATE; SURFACE</t>
  </si>
  <si>
    <t>Studies of the global sea-level budget (SLB) and the global ocean-mass budget (OMB) are essential to assess the reliability of our knowledge of sea-level change and its contributors. Here we present datasets for times series of the SLB and OMB elements developed in the framework of ESA's Climate Change Initiative. We use these datasets to assess the SLB and the OMB simultaneously, utilising a consistent framework of uncertainty characterisation. The time series, given at monthly sampling and available at https://doi.org/10.5285/17c2ce31784048de93996275ee976fff (Horwath et al., 2021), include global mean sea-level (GMSL) anomalies from satellite altimetry, the global mean steric component from Argo drifter data with incorporation of sea surface temperature data, the ocean-mass component from Gravity Recovery and Climate Experiment (GRACE) satellite gravimetry, the contribution from global glacier mass changes assessed by a global glacier model, the contribution from Greenland Ice Sheet and Antarctic Ice Sheet mass changes assessed by satellite radar altimetry and by GRACE, and the contribution from land water storage anomalies assessed by the global hydrological model WaterGAP (Water Global Assessment and Prognosis). Over the period January 1993-December 2016 (P1, covered by the satellite altimetry records), the mean rate (linear trend) of GMSL is 3.05 +/- 0.24 mm yr(-1). The steric component is 1.15 +/- 0.12 mm yr(-1) (38% of the GMSL trend), and the mass component is 1.75 +/- 0.12 mm yr(-1) (57 %). The mass component includes 0.64 +/- 0.03 mm yr(-1) (21% of the GMSL trend) from glaciers outside Greenland and Antarctica, 0.60 +/- 0.04 mm yr(-1) (20 %) from Greenland, 0.19 +/- 0.04 mm yr(-1) (6 %) from Antarctica, and 0.32 +/- 0.10 mm yr(-1) (10 %) from changes of land water storage. In the period January 2003-August 2016 (P2, covered by GRACE and the Argo drifter system), GMSL rise is higher than in P1 at 3.64 +/- 0.26 mm yr(-1). This is due to an increase of the mass contributions, now about 2.40 +/- 0.13 mm yr(-1) (66% of the GMSL trend), with the largest increase contributed from Greenland, while the steric contribution remained similar at 1.19 +/- 0.17 mm yr(-1) (now 33 %). The SLB of linear trends is closed for P1 and P2; that is, the GMSL trend agrees with the sum of the steric and mass components within their combined uncertainties. The OMB, which can be evaluated only for P2, shows that our preferred GRACE-based estimate of the ocean-mass trend agrees with the sum of mass contributions within 1.5 times or 0.8 times the combined 1 sigma uncertainties, depending on the way of assessing the mass contributions. Combined uncertainties (1 sigma) of the elements involved in the budgets are between 0.29 and 0.42 mm yr(-1), on the order of 10% of GMSL rise. Interannual variations that overlie the long-term trends are coherently represented by the elements of the SLB and the OMB. Even at the level of monthly anomalies the budgets are closed within uncertainties, while also indicating possible origins of remaining misclosures.</t>
  </si>
  <si>
    <t>[Horwath, Martin; Gutknecht, Benjamin D.; Novotny, Kristin; Groh, Andreas] Tech Univ Dresden, Inst Planetare Geodasie, Dresden, Germany; [Cazenave, Anny; Palanisamy, Hindumathi Kulaiappan; Marti, Florence] LEGOS, Toulouse, France; [Cazenave, Anny] Int Space Sci Inst, Bern, Switzerland; [Palanisamy, Hindumathi Kulaiappan] Meteorol Serv Singapore, Ctr Climate Res Singapore, Singapore, Singapore; [Marzeion, Ben] Univ Bremen, Inst Geog, Bremen, Germany; [Marzeion, Ben] Univ Bremen, MARUM Ctr Marine Environm Sci, Bremen, Germany; [Paul, Frank; Le Bris, Raymond] Univ Zurich, Dept Geog, Zurich, Switzerland; [Hogg, Anna E.; Otosaka, Ines; Shepherd, Andrew] Univ Leeds, Ctr Polar Observat &amp; Modelling, Leeds, W Yorkshire, England; [Doell, Petra; Caceres, Denise; Mueller Schmied, Hannes] Goethe Univ Frankfurt, Inst Phys Geog, Frankfurt, Germany; [Doell, Petra; Mueller Schmied, Hannes] Senckenberg Biodivers &amp; Climate Res Ctr SBiK F, Frankfurt, Germany; [Johannessen, Johnny A.; Nilsen, Jan Even Oie; Raj, Roshin P.] Nansen Environm &amp; Remote Sensing Ctr, Bergen, Norway; [Nilsen, Jan Even Oie] Inst Marine Res, Dept Oceanog &amp; Climate, Bergen, Norway; [Forsberg, Rene; Sandberg Sorensen, Louise; Barletta, Valentina R.; Simonsen, Sebastian B.; Knudsen, Per; Andersen, Ole Baltazar; Ranndal, Heidi; Rose, Stine K.] Tech Univ Denmark, DTU Space, Lyngby, Denmark; [Merchant, Christopher J.; Macintosh, Claire R.] Univ Reading, Dept Meteorol, Reading, Berks, England; [Merchant, Christopher J.; Macintosh, Claire R.] Univ Reading, Natl Ctr Earth Observat, Reading, Berks, England; [von Schuckmann, Karina] Mercator Ocean Int, Toulouse, France; [Restano, Marco] ESRIN, Serco, Frascati, Italy; [Benveniste, Jerome] ESA, ESRIN, Frascati, Italy</t>
  </si>
  <si>
    <t>Technische Universitat Dresden; Universite de Toulouse; Universite Toulouse III - Paul Sabatier; Centre National de la Recherche Scientifique (CNRS); Institut de Recherche pour le Developpement (IRD); Laboratoire d'Etudes en Geophysique et oceanographie spatiales; Meteorological Service Singapore; University of Bremen; University of Bremen; University of Zurich; Goethe University Frankfurt; Senckenberg Biodiversitat &amp; Klima- Forschungszentrum (BiK-F); Senckenberg Gesellschaft fur Naturforschung (SGN); Nansen Environmental &amp; Remote Sensing Center (NERSC); Institute of Marine Research - Norway; Technical University of Denmark; University of Reading; UK Research &amp; Innovation (UKRI); Natural Environment Research Council (NERC); NERC National Centre for Earth Observation; University of Reading; European Space Agency; European Space Agency</t>
  </si>
  <si>
    <t>Horwath, M (corresponding author), Tech Univ Dresden, Inst Planetare Geodasie, Dresden, Germany.</t>
  </si>
  <si>
    <t>martin.horwath@tu-dresden.de</t>
  </si>
  <si>
    <t>Benveniste, Jérôme/JWP-2537-2024; Barletta, Valentina R./E-9128-2012; Merchant, Christopher/KHY-0611-2024; Simonsen, Sebastian Bjerregaard/F-4791-2013; Merchant, Christopher J/E-1180-2014; Schmied, Hannes Müller/K-6231-2013; Rose, Stine Kildegaard/AAX-5563-2020; Döll, Petra/A-3784-2009; Horwath, Martin/ABH-4320-2020; Sorensen, Louise Sandberg/E-5282-2014; Andersen, Ole Baltazar/H-7481-2016; Marzeion, Ben/G-6514-2013</t>
  </si>
  <si>
    <t>Simonsen, Sebastian Bjerregaard/0000-0001-9569-1294; Merchant, Christopher J/0000-0003-4687-9850; Schmied, Hannes Müller/0000-0001-5330-9923; Rose, Stine Kildegaard/0000-0003-4902-9093; Döll, Petra/0000-0003-2238-4546; Sorensen, Louise Sandberg/0000-0002-3771-4061; Marti, Florence/0000-0003-1656-6124; , Roshin/0000-0001-5863-5269; Gutknecht, Benjamin/0000-0002-0186-3014; Andersen, Ole Baltazar/0000-0002-6685-3415; Forsberg, Rene/0000-0002-7288-9545; Ranndal, Heidi/0000-0002-0503-5048; Knudsen, Per/0000-0003-4640-6746; Horwath, Martin/0000-0001-5797-244X; Marzeion, Ben/0000-0002-6185-3539; Barletta, Valentina Roberta/0000-0003-4427-0830; Otosaka, Ines Natsuki/0000-0001-9740-3735</t>
  </si>
  <si>
    <t>European Space Agency through the Sea Level Budget Closure Climate Change Initiative (CCI) project [4000119910/17/I-NB]; NERC [NE/J005681/1, nceo020006] Funding Source: UKRI</t>
  </si>
  <si>
    <t>European Space Agency through the Sea Level Budget Closure Climate Change Initiative (CCI) project; NERC(UK Research &amp; Innovation (UKRI)Natural Environment Research Council (NERC))</t>
  </si>
  <si>
    <t>This study was supported by the European Space Agency through the Sea Level Budget Closure Climate Change Initiative (CCI) project (contract no. 4000119910/17/I-NB). We thank the editor, Giuseppe Manzella, and the reviewers, Jianli Chen, Riccardo Riva, and an anonymous reviewer, as well as Jean-Francois Legeais, for their constructive and insightful comments which helped to improve this manuscript. We thank the German Space Operations Center (GSOC) of the German Aerospace Center (DLR) for providing continuous and nearly 100% of the raw telemetry data of the twin GRACE satellites.</t>
  </si>
  <si>
    <t>FEB 7</t>
  </si>
  <si>
    <t>10.5194/essd-14-411-2022</t>
  </si>
  <si>
    <t>ZD2LV</t>
  </si>
  <si>
    <t>Green Submitted, Green Accepted, Green Published, gold</t>
  </si>
  <si>
    <t>WOS:000758036300001</t>
  </si>
  <si>
    <t>Smith, S; Altieri, KE; Mdutyana, M; Walker, DR; Parrott, RG; Gallie, S; Spence, KAM; Burger, JM; Fawcett, SE</t>
  </si>
  <si>
    <t>Smith, Shantelle; Altieri, Katye E.; Mdutyana, Mhlangabezi; Walker, David R.; Parrott, Ruan G.; Gallie, Sedick; Spence, Kurt A. M.; Burger, Jessica M.; Fawcett, Sarah E.</t>
  </si>
  <si>
    <t>Biogeochemical controls on ammonium accumulation in the surface layer of the Southern Ocean</t>
  </si>
  <si>
    <t>NITROGEN UPTAKE REGIME; PHYTOPLANKTON COMMUNITY STRUCTURE; SUB-ANTARCTIC ZONE; WEDDELL-SCOTIA SEA; INDIAN SECTOR; MIXED-LAYER; PRIMARY PRODUCTIVITY; ATLANTIC SECTOR; PACIFIC SECTOR; ISOTOPE FRACTIONATION</t>
  </si>
  <si>
    <t>The production and removal of ammonium (NH4+) are essential upper-ocean nitrogen cycle pathways, yet in the Southern Ocean where NH4+ has been observed to accumulate in surface waters, its mixed-layer cycling remains poorly understood. For surface seawater samples collected between Cape Town and the Marginal Ice Zone in winter 2017, we found that NH4+ concentrations were 5-fold higher than is typical for summer and lower north than south of the Subantarctic Front (0.01-0.26 mu M versus 0.19-0.70 mu M). Our observations confirm that NH4+ accumulates in the Southern Ocean's winter mixed layer, particularly in polar waters. NH4+ assimilation rates were highest near the Polar Front (12.9 +/- 0.4 nM d(-1)) and in the Subantarctic Zone (10.0 +/- 1.5 nM d(-1)), decreasing towards the Marginal Ice Zone (3.0 +/- 0.8 nM d(-1)) despite the high ambient NH4+ concentrations in these southernmost waters, likely due to the low temperatures and limited light availability. By contrast, rates of NH4+ oxidation were higher south than north of the Polar Front (16.0 +/- 0.8 versus 11.1 +/- 0.5 nM d(-1)), perhaps due to the lower-light and higher-iron conditions characteristic of polar waters. NH4+ concentrations were also measured along five transects of the Southern Ocean (Subtropical Zone to Marginal Ice Zone) spanning the 2018/19 annual cycle. These measurements reveal that mixed-layer NH4+ accumulation south of the Subantarctic Front derives from sustained heterotrophic NH4+ production in late summer through winter that, in net, outpaces NH4+ removal by temperature-, light-, and iron-limited microorganisms. Our observations thus imply that the Southern Ocean becomes a biological source of CO2 to the atmosphere in autumn and winter not only because nitrate drawdown is weak but also because the ambient conditions favour net heterotrophy and NH4+ accumulation.</t>
  </si>
  <si>
    <t>[Smith, Shantelle; Altieri, Katye E.; Mdutyana, Mhlangabezi; Parrott, Ruan G.; Spence, Kurt A. M.; Burger, Jessica M.; Fawcett, Sarah E.] Univ Cape Town, Dept Oceanog, Private Bag X3, Cape Town, South Africa; [Mdutyana, Mhlangabezi] CSIR, Southern Ocean Carbon &amp; Climate Observ SOCCO, Cape Town, South Africa; [Walker, David R.; Gallie, Sedick] Cape Peninsula Univ Technol, Dept Conservat &amp; Marine Sci, Cape Town, South Africa; [Fawcett, Sarah E.] Univ Cape Town, Marine &amp; Antarctic Res Ctr Innovat &amp; Sustainabil, Cape Town, South Africa</t>
  </si>
  <si>
    <t>University of Cape Town; Council for Scientific &amp; Industrial Research (CSIR) - South Africa; Cape Peninsula University of Technology; University of Cape Town</t>
  </si>
  <si>
    <t>Fawcett, SE (corresponding author), Univ Cape Town, Dept Oceanog, Private Bag X3, Cape Town, South Africa.;Fawcett, SE (corresponding author), Univ Cape Town, Marine &amp; Antarctic Res Ctr Innovat &amp; Sustainabil, Cape Town, South Africa.</t>
  </si>
  <si>
    <t>sarah.fawcett@uct.ac.za</t>
  </si>
  <si>
    <t>Altieri, Katye/GWV-4512-2022</t>
  </si>
  <si>
    <t>Altieri, Katye/0000-0002-6778-4079; Parrott, Ruan/0000-0003-0592-9903; Spence, Kurt/0000-0003-0837-3234; Walker, David/0000-0002-4235-1699; Fawcett, Sarah/0000-0002-0878-6496</t>
  </si>
  <si>
    <t>National Research Foundation [110732, 105539, 110735, 129232, 118615, 111716, 115335, 120105, 112380, 113193, 108757]; University of Cape Town (Vice-Chancellor's Scholarship); University of Cape Town (Harry Crossley Foundation Research Fellowship); University of Cape Town (ViceChancellor Future Leaders 2030 programme); University of Cape Town (University Research Council Launching Grant); University of Cape Town (University Equipment Committee); African Academy of Sciences; Royal Society (FLAIR fellowship); Department of Science and Innovation, South Africa (Biogeochemistry Research Infrastructure Platform); Department of Forestry, Fisheries, and the Environment, South Africa</t>
  </si>
  <si>
    <t>National Research Foundation; University of Cape Town (Vice-Chancellor's Scholarship); University of Cape Town (Harry Crossley Foundation Research Fellowship); University of Cape Town (ViceChancellor Future Leaders 2030 programme); University of Cape Town (University Research Council Launching Grant); University of Cape Town (University Equipment Committee); African Academy of Sciences; Royal Society (FLAIR fellowship); Department of Science and Innovation, South Africa (Biogeochemistry Research Infrastructure Platform); Department of Forestry, Fisheries, and the Environment, South Africa</t>
  </si>
  <si>
    <t>This research has been supported by the National Research Foundation (grant nos. 110732, 105539, 110735, 129232, 118615, 111716, 115335, 120105, 112380, 113193, and 108757); the University of Cape Town (Vice-Chancellor's Scholarship, Harry Crossley Foundation Research Fellowship, ViceChancellor Future Leaders 2030 programme, University Research Council Launching Grant, and University Equipment Committee grant); the African Academy of Sciences and Royal Society (FLAIR fellowship); the Department of Science and Innovation, South Africa (Biogeochemistry Research Infrastructure Platform); and the Department of Forestry, Fisheries, and the Environment, South Africa.</t>
  </si>
  <si>
    <t>10.5194/bg-19-715-2022</t>
  </si>
  <si>
    <t>ZD3MR</t>
  </si>
  <si>
    <t>WOS:000758106300001</t>
  </si>
  <si>
    <t>Prechelt, R; Wissel, SA; Romero-Wolf, A; Burch, C; Gorham, PW; Allison, P; Alvarez-Muñiz, J; Banerjee, O; Batten, L; Beatty, JJ; Belov, K; Besson, DZ; Binns, WR; Bugaev, V; Cao, P; Carvalho, W; Chen, CH; Chen, P; Chen, Y; Clem, JM; Connolly, A; Cremonesi, L; Dailey, B; Deaconu, C; Dowkontt, PF; Fox, BD; Gordon, JWH; Hast, C; Hill, B; Hsu, SY; Huang, JJ; Hughes, K; Hupe, R; Israel, MH; Liewer, KM; Liu, TC; Ludwig, AB; Macchiarulo, L; Matsuno, S; McBride, K; Miki, C; Mulrey, K; Nam, J; Naudet, C; Nichol, RJ; Novikov, A; Oberla, E; Prohira, S; Rauch, BF; Ripa, J; Roberts, JM; Rotter, B; Russell, JW; Saltzberg, D; Seckel, D; Schoorlemmer, H; Shiao, J; Stafford, S; Stockham, J; Stockham, M; Strutt, B; Sutherland, MS; Varner, GS; Vieregg, AG; Wang, N; Wang, SH; Zas, E; Zeolla, A</t>
  </si>
  <si>
    <t>Prechelt, R.; Wissel, S. A.; Romero-Wolf, A.; Burch, C.; Gorham, P. W.; Allison, P.; Alvarez-Muniz, J.; Banerjee, O.; Batten, L.; Beatty, J. J.; Belov, K.; Besson, D. Z.; Binns, W. R.; Bugaev, V; Cao, P.; Carvalho, W., Jr.; Chen, C. H.; Chen, P.; Chen, Y.; Clem, J. M.; Connolly, A.; Cremonesi, L.; Dailey, B.; Deaconu, C.; Dowkontt, P. F.; Fox, B. D.; Gordon, J. W. H.; Hast, C.; Hill, B.; Hsu, S. Y.; Huang, J. J.; Hughes, K.; Hupe, R.; Israel, M. H.; Liewer, K. M.; Liu, T. C.; Ludwig, A. B.; Macchiarulo, L.; Matsuno, S.; McBride, K.; Miki, C.; Mulrey, K.; Nam, J.; Naudet, C.; Nichol, R. J.; Novikov, A.; Oberla, E.; Prohira, S.; Rauch, B. F.; Ripa, J.; Roberts, J. M.; Rotter, B.; Russell, J. W.; Saltzberg, D.; Seckel, D.; Schoorlemmer, H.; Shiao, J.; Stafford, S.; Stockham, J.; Stockham, M.; Strutt, B.; Sutherland, M. S.; Varner, G. S.; Vieregg, A. G.; Wang, N.; Wang, S. H.; Zas, E.; Zeolla, A.</t>
  </si>
  <si>
    <t>ANITA Collaboration</t>
  </si>
  <si>
    <t>Analysis of a tau neutrino origin for the near-horizon air shower events observed by the fourth flight of the Antarctic Impulsive Transient Antenna</t>
  </si>
  <si>
    <t>PHYSICAL REVIEW D</t>
  </si>
  <si>
    <t>SIMULATIONS; PULSES; ENERGY</t>
  </si>
  <si>
    <t>We study in detail the sensitivity of the Antarctic Impulsive Transient Antenna (ANITA) to possible nu(tau) point source fluxes detected via tau-lepton-induced air showers. This investigation is framed around the observation of four upward-going extensive air shower events very close to the horizon seen in ANITA-IV. We find that these four upgoing events are not observationally inconsistent with tau-induced EASs from Earth-skimming nu(tau), both in their spectral properties as well as in their observed locations on the sky. These four events as well as the overall diffuse and point source exposure to Earth-skimming nu(tau) are also compared against published ultrahigh-energy neutrino limits from the Pierre Auger Observatory. While none of these four events occurred at sky locations simultaneously visible by Auger, the implied fluence necessary for ANITA to observe these events is in strong tension with limits set by Auger across a wide range of energies and is additionally in tension with ANITA's Askaryan in-ice neutrino channel above 10(19) eV. We conclude by discussing some of the technical challenges with simulating and analyzing these near horizon events and the potential for future observatories to observe similar events.</t>
  </si>
  <si>
    <t>[Prechelt, R.; Gorham, P. W.; Fox, B. D.; Hill, B.; Macchiarulo, L.; Matsuno, S.; Miki, C.; Roberts, J. M.; Rotter, B.; Russell, J. W.; Schoorlemmer, H.; Varner, G. S.] Univ Hawaii Manoa, Dept Phys &amp; Astron, Honolulu, HI 96822 USA; [Wissel, S. A.; Zeolla, A.] Penn State Univ, Dept Phys, Dept Astron &amp; Astrophys, University Pk, PA 16802 USA; [Wissel, S. A.] Calif Polytech State Univ San Luis Obispo, Phys Dept, San Luis Obispo, CA 93407 USA; [Romero-Wolf, A.; Belov, K.; Liewer, K. M.; Naudet, C.] CALTECH, Jet Prop Lab, 4800 Oak Grove Dr, Pasadena, CA 91109 USA; [Burch, C.] Harvard Univ, Cambridge, MA 02138 USA; [Allison, P.; Banerjee, O.; Beatty, J. J.; Connolly, A.; Dailey, B.; Gordon, J. W. H.; Hughes, K.; Hupe, R.; McBride, K.; Prohira, S.; Stafford, S.; Sutherland, M. S.] Ohio State Univ, Ctr Cosmol &amp; AstroParticle Phys, Dept Phys, Columbus, OH 43210 USA; [Alvarez-Muniz, J.; Zas, E.] Univ Santiago de Compostela, Inst Galego Fis Altas Enerxias, Santiago De Compostela 15705, Spain; [Batten, L.; Cremonesi, L.; Nichol, R. J.] UCL, Dept Phys &amp; Astron, London WC1E 6BT, England; [Besson, D. Z.; Novikov, A.; Prohira, S.; Stockham, J.; Stockham, M.] Univ Kansas, Dept Phys &amp; Astron, Lawrence, KS 66045 USA; [Besson, D. Z.] Moscow Engn Phys Inst, Moscow, Russia; [Binns, W. R.; Bugaev, V; Dowkontt, P. F.; Israel, M. H.; Rauch, B. F.] Washington Univ, McDonnell Ctr Space Sci, Dept Phys, St Louis, MO 63130 USA; [Cao, P.; Clem, J. M.; Mulrey, K.; Seckel, D.] Univ Delaware, Dept Phys, Newark, DE 19716 USA; [Carvalho, W., Jr.] Radboud Univ Nijmegen, IMAPP, NL-6525 XZ Nijmegen, Netherlands; [Chen, C. H.; Chen, P.; Chen, Y.; Hsu, S. Y.; Huang, J. J.; Liu, T. C.; Nam, J.; Ripa, J.; Shiao, J.; Wang, S. H.] Natl Taiwan Univ, Leung Ctr Cosmol &amp; Particle Astrophys, Grad Inst Astrophys, Dept Phys, Taipei 10617, Taiwan; [Deaconu, C.; Hughes, K.; Ludwig, A. B.; Oberla, E.; Vieregg, A. G.] Univ Chicago, Enrico Fermi Inst, Kavli Inst Cosmol Phys, Dept Phys, Chicago, IL 60637 USA; [Hast, C.] SLAC Natl Accelerator Lab, Menlo Pk, CA 94025 USA; [Roberts, J. M.] Univ Calif San Diego, Ctr Astrophys &amp; Space Sci, La Jolla, CA 92093 USA; [Saltzberg, D.; Strutt, B.; Wang, N.] Univ Calif Los Angeles, Dept Phys &amp; Astron, Los Angeles, CA 90095 USA</t>
  </si>
  <si>
    <t>University of Hawaii System; University of Hawaii Manoa; Pennsylvania Commonwealth System of Higher Education (PCSHE); Pennsylvania State University; Pennsylvania State University - University Park; California State University System; California Polytechnic State University San Luis Obispo; California Institute of Technology; National Aeronautics &amp; Space Administration (NASA); NASA Jet Propulsion Laboratory (JPL); Harvard University; University System of Ohio; Ohio State University; Universidade de Santiago de Compostela; University of London; University College London; University of Kansas; National Research Nuclear University MEPhI (Moscow Engineering Physics Institute); Washington University (WUSTL); University of Delaware; Radboud University Nijmegen; National Taiwan University; University of Chicago; Stanford University; United States Department of Energy (DOE); SLAC National Accelerator Laboratory; University of California System; University of California San Diego; University of California System; University of California Los Angeles</t>
  </si>
  <si>
    <t>Prechelt, R (corresponding author), Univ Hawaii Manoa, Dept Phys &amp; Astron, Honolulu, HI 96822 USA.</t>
  </si>
  <si>
    <t>Nichol, Ryan/C-1645-2008; Jakub, Ripa/F-7526-2017; Beatty, James/D-9310-2011; zas, enrique/I-5556-2015; Huang, Jian Jang/L-9953-2016; Chen, Pisin/IAO-8769-2023; Alvarez-Muniz, Jaime/H-1857-2015</t>
  </si>
  <si>
    <t>Nichol, Ryan/0000-0003-0557-0443; Jakub, Ripa/0000-0003-3994-7528; Beatty, James/0000-0003-0481-4952; Chen, Pisin/0000-0001-5251-7210; Alvarez-Muniz, Jaime/0000-0002-2367-0803; Cremonesi, Linda/0000-0003-0711-1056; Allison, Patrick/0000-0001-8141-2653; Wissel, Stephanie/0000-0003-0569-6978; Macchiarulo, Luca/0009-0004-1141-0344; Deaconu, Cosmin/0000-0002-4953-6397; Hughes, Kaeli/0000-0002-4551-9581; Zeolla, Andrew/0000-0002-9663-2082; Romero-Wolf, Andrew/0000-0002-4992-4162; Gorham, Peter/0000-0002-0923-9363</t>
  </si>
  <si>
    <t>Kavli Institute for Cosmological Physics at the University of Chicago; University of Hawai'i Manoa; NASA; California Polytechnic State University Frost Fund; Xunta de Galicia (Centro singular de investigacion de Galicia accreditation 2019-2022); European Union ERDF; Maria de Maeztu Units of Excellence program [MDM-2016-0692]; Spanish Research State Agency; Ministerio de Ciencia e Innovacion [PID2019-105544 GB-I00, RED2018-102661-T]; National Science Foundation through CAREER award [1255557]; Leverhulme Trust; Taiwans Ministry of Science and Technology (MOST) under its Vanguard Program [106-2119-M-002-011]; Direct For Mathematical &amp; Physical Scien; Division Of Physics [1255557] Funding Source: National Science Foundation; STFC [ST/S00095X/1] Funding Source: UKRI</t>
  </si>
  <si>
    <t>Kavli Institute for Cosmological Physics at the University of Chicago(University of Chicago); University of Hawai'i Manoa; NASA(National Aeronautics &amp; Space Administration (NASA)); California Polytechnic State University Frost Fund; Xunta de Galicia (Centro singular de investigacion de Galicia accreditation 2019-2022); European Union ERDF(European Union (EU)); Maria de Maeztu Units of Excellence program; Spanish Research State Agency; Ministerio de Ciencia e Innovacion(Instituto de Salud Carlos IIISpanish Government); National Science Foundation through CAREER award; Leverhulme Trust(Leverhulme Trust); Taiwans Ministry of Science and Technology (MOST) under its Vanguard Program; Direct For Mathematical &amp; Physical Scien; Division Of Physics(National Science Foundation (NSF)NSF - Directorate for Mathematical &amp; Physical Sciences (MPS)); STFC(UK Research &amp; Innovation (UKRI)Science &amp; Technology Facilities Council (STFC))</t>
  </si>
  <si>
    <t>We are especially grateful to the staff of the Columbia Scientific Balloon Facility for their generous support. We would like to thank NASA, the National Science Foundation, and those who dedicate their careers to making our science possible in Antarctica. This work was sup-ported by the Kavli Institute for Cosmological Physics at the University of Chicago, the University of Hawai'i Manoa, and NASA bridge funding for ANITA-IV and ANITA's successor, PUEO. S. Wissel would also like to thank the California Polytechnic State University Frost Fund. This work has received financial support from Xunta de Galicia (Centro singular de investigacion de Galicia accreditation 2019-2022) , by European Union ERDF, bythe Maria de Maeztu Units of Excellence program No. MDM-2016-0692, the Spanish Research State Agency and from Ministerio de Ciencia e Innovacion No. PID2019-105544 GB-I00 and No. RED2018-102661-T (RENATA) . Computing resources were provided by the Research Computing Center at the University of Chicago and the Ohio Supercomputing Center at The Ohio State University. A. Connolly would like to thank the National Science Foundation for their support through CAREER award No. 1255557. The University College London group was also supported by the Leverhulme Trust. The National Taiwan University group is supported by Taiwans Ministry of Science and Technology (MOST) under its Vanguard Program No. 106-2119-M-002-011. The following open-source tools were used in the prepa-ration of this paper: CORNER [57] , EMCEE [36] , NumPy [58] , Matplotlib [59] , Scipy [60] , and WebPlotDigitizer [61] .</t>
  </si>
  <si>
    <t>AMER PHYSICAL SOC</t>
  </si>
  <si>
    <t>COLLEGE PK</t>
  </si>
  <si>
    <t>ONE PHYSICS ELLIPSE, COLLEGE PK, MD 20740-3844 USA</t>
  </si>
  <si>
    <t>2470-0010</t>
  </si>
  <si>
    <t>2470-0029</t>
  </si>
  <si>
    <t>PHYS REV D</t>
  </si>
  <si>
    <t>Phys. Rev. D</t>
  </si>
  <si>
    <t>10.1103/PhysRevD.105.042001</t>
  </si>
  <si>
    <t>Astronomy &amp; Astrophysics; Physics, Particles &amp; Fields</t>
  </si>
  <si>
    <t>Astronomy &amp; Astrophysics; Physics</t>
  </si>
  <si>
    <t>YW4JY</t>
  </si>
  <si>
    <t>Green Published, Green Submitted</t>
  </si>
  <si>
    <t>WOS:000753381900005</t>
  </si>
  <si>
    <t>Rabe, B; Heuzé, C; Regnery, J; Aksenov, Y; Allerholt, J; Athanase, M; Bai, YC; Basque, C; Bauch, D; Baumann, TM; Chen, DK; Cole, ST; Craw, L; Davies, A; Damm, E; Dethloff, K; Divine, DV; Doglioni, F; Ebert, F; Fang, YC; Fer, I; Fong, AA; Gradinger, R; Granskog, MA; Graupner, R; Haas, C; He, H; He, Y; Hoppmann, M; Janout, M; Kadko, D; Kanzow, T; Karam, S; Kawaguchi, Y; Koenig, Z; Kong, B; Krishfield, RA; Krumpen, T; Kuhlmey, D; Kuznetsov, I; Lan, MS; Laukert, G; Lei, RB; Li, T; Lin, LN; Lin, L; Liu, HL; Liu, N; Loose, B; Ma, XB; McKay, R; Mallet, M; Mallett, RDC; Maslowski, W; Mertens, C; Mohrholz, V; Muilwijk, M; Nicolaus, M; O'Brien, JK; Perovich, D; Ren, J; Rex, M; Ribeiro, N; Rinke, A; Schaffer, J; Schuffenhauer, I; Schulz, K; Shupe, MD; Shaw, W; Sokolov, V; Sommerfeld, A; Spreen, G; Stanton, T; Stephens, M; Su, J; Sukhikh, N; Sundfjord, A; Thomisch, K; Tippenhauer, S; Toole, JM; Vredenborg, M; Walter, M; Wang, HZ; Wang, L; Wang, YT; Wendisch, M; Zhao, JP; Zhou, M; Zhu, JL</t>
  </si>
  <si>
    <t>Rabe, Benjamin; Heuze, Celine; Regnery, Julia; Aksenov, Yevgeny; Allerholt, Jacob; Athanase, Marylou; Bai, Youcheng; Basque, Chris; Bauch, Dorothea; Baumann, Till M.; Chen, Dake; Cole, Sylvia T.; Craw, Lisa; Davies, Andrew; Damm, Ellen; Dethloff, Klaus; Divine, Dmitry, V; Doglioni, Francesca; Ebert, Falk; Fang, Ying-Chih; Fer, Ilker; Fong, Allison A.; Gradinger, Rolf; Granskog, Mats A.; Graupner, Rainer; Haas, Christian; He, Hailun; He, Yan; Hoppmann, Mario; Janout, Markus; Kadko, David; Kanzow, Torsten; Karam, Salar; Kawaguchi, Yusuke; Koenig, Zoe; Kong, Bin; Krishfield, Richard A.; Krumpen, Thomas; Kuhlmey, David; Kuznetsov, Ivan; Lan, Musheng; Laukert, Georgi; Lei, Ruibo; Li, Tao; Lin, Lina; Lin, Long; Liu, Hailong; Liu, Na; Loose, Brice; Ma, Xiaobing; McKay, Rosalie; Mallet, Maria; Mallett, Robbie D. C.; Maslowski, Wieslaw; Mertens, Christian; Mohrholz, Volker; Muilwijk, Morven; Nicolaus, Marcel; O'Brien, Jeffrey K.; Perovich, Donald; Ren, Jian; Rex, Markus; Ribeiro, Natalia; Rinke, Annette; Schaffer, Janin; Schuffenhauer, Ingo; Schulz, Kirstin; Shupe, Matthew D.; Shaw, William; Sokolov, Vladimir; Sommerfeld, Anja; Spreen, Gunnar; Stanton, Timothy; Stephens, Mark; Su, Jie; Sukhikh, Natalia; Sundfjord, Arild; Thomisch, Karolin; Tippenhauer, Sandra; Toole, John M.; Vredenborg, Myriel; Walter, Maren; Wang, Hangzhou; Wang, Lei; Wang, Yuntao; Wendisch, Manfred; Zhao, Jinping; Zhou, Meng; Zhu, Jialiang</t>
  </si>
  <si>
    <t>Overview of the MOSAiC expedition: Physical oceanography</t>
  </si>
  <si>
    <t>ELEMENTA-SCIENCE OF THE ANTHROPOCENE</t>
  </si>
  <si>
    <t>Physical oceanography; MOSAiC; Arctic; Coupled; Drift; Sea ice</t>
  </si>
  <si>
    <t>RADIOGENIC NEODYMIUM ISOTOPES; ARCTIC-OCEAN; SEA-ICE; FRESH-WATER; EURASIAN BASIN; SURFACE-TEMPERATURE; METHANE EMISSIONS; INTERNAL WAVES; HEAT-FLUX; CIRCULATION</t>
  </si>
  <si>
    <t>Arctic Ocean properties and processes are highly relevant to the regional and global coupled climate system, yet still scarcely observed, especially in winter. Team OCEAN conducted a full year of physical oceanography observations as part of the Multidisciplinary drifting Observatory for the Study of the Arctic Climate (MOSAiC), a drift with the Arctic sea ice from October 2019 to September 2020. An international team designed and implemented the program to characterize the Arctic Ocean system in unprecedented detail, from the seafloor to the air-sea ice-ocean interface, from sub-mesoscales to pan-Arctic. The oceanographic measurements were coordinated with the other teams to explore the ocean physics and linkages to the climate and ecosystem. This paper introduces the major components of the physical oceanography program and complements the other team overviews of the MOSAiC observational program. Team OCEAN's sampling strategy was designed around hydrographic ship-, ice- and autonomous platform-based measurements to improve the understanding of regional circulation and mixing processes. Measurements were carried out both routinely, with a regular schedule, and in response to storms or opening leads. Here we present along-drift time series of hydrographic properties, allowing insights into the seasonal and regional evolution of the water column from winter in the Laptev Sea to early summer in Fram Strait: freshening of the surface, deepening of the mixed layer, increase in temperature and salinity of the Atlantic Water. We also highlight the presence of Canada Basin deep water intrusions and a surface meltwater layer in leads. MOSAiC most likely was the most comprehensive program ever conducted over the ice-covered Arctic Ocean. While data analysis and interpretation are ongoing, the acquired datasets will support a wide range of physical oceanography and multi-disciplinary research. They will provide a significant foundation for assessing and advancing modeling capabilities in the Arctic Ocean.</t>
  </si>
  <si>
    <t>[Rabe, Benjamin; Regnery, Julia; Allerholt, Jacob; Athanase, Marylou; Doglioni, Francesca; Fang, Ying-Chih; Fong, Allison A.; Graupner, Rainer; Haas, Christian; Hoppmann, Mario; Janout, Markus; Kanzow, Torsten; Krumpen, Thomas; Kuhlmey, David; Kuznetsov, Ivan; Mallet, Maria; Nicolaus, Marcel; Schaffer, Janin; Schulz, Kirstin; Thomisch, Karolin; Tippenhauer, Sandra; Vredenborg, Myriel] Helmholtz Zentrum Polar &amp; Meeresforsch, Alfred Wegener Inst, Bremerhaven, Germany; [Karam, Salar] Univ Gothenburg, Dept Earth Sci, Gothenburg, Sweden; [Aksenov, Yevgeny] Natl Oceanog Ctr, Marine Syst Modelling, Southampton, Hants, England; [Bai, Youcheng; He, Hailun; Lin, Long; Ren, Jian; Wang, Yuntao] Minist Nat Resources, Inst Oceanog SIO 2, Hangzhou, Peoples R China; [Bai, Youcheng; Ren, Jian] Minist Nat Resources, Inst Oceanog 2, Key Lab Marine Ecosyst Dynam, Hangzhou, Peoples R China; [Basque, Chris; Cole, Sylvia T.; Davies, Andrew; Krishfield, Richard A.; Laukert, Georgi; O'Brien, Jeffrey K.; Toole, John M.] Woods Hole Oceanog Inst, Woods Hole, MA 02543 USA; [Bauch, Dorothea] Univ Kiel CAU, Leibniz Lab, Kiel, Germany; [Baumann, Till M.; Fer, Ilker; Koenig, Zoe; Muilwijk, Morven] Univ Bergen, Geophys Inst, Bergen, Norway; [Baumann, Till M.; Fer, Ilker; Koenig, Zoe; Muilwijk, Morven] Bjerknes Ctr Climate Res, Bergen, Norway; [Chen, Dake; He, Hailun; Lin, Long] Minist Nat Resources, State Key Lab Satellite Ocean Environm Dynam, Inst Oceanog 2, Hangzhou, Peoples R China; [Chen, Dake] Southern Marine Sci &amp; Engn Guangdong Lab, Zhuhai, Peoples R China; [Chen, Dake; Liu, Hailong; Zhou, Meng] Shanghai Jiao Tong Univ, Sch Oceanog, Shanghai, Peoples R China; [Craw, Lisa; Ribeiro, Natalia] Univ Tasmania, Inst Marine &amp; Antarctic Studies, Hobart, Tas, Australia; [Damm, Ellen; Dethloff, Klaus; Rex, Markus; Rinke, Annette; Sommerfeld, Anja] Helmholtz Zentrum Polar &amp; Meeresforsch, Alfred Wegener Inst, Potsdam, Germany; [Divine, Dmitry, V; Granskog, Mats A.; Koenig, Zoe; Muilwijk, Morven; Sundfjord, Arild] Norwegian Polar Res Inst, Tromso, Norway; [Ebert, Falk] Herder Gymnasium, Berlin, Germany; [Fang, Ying-Chih] Natl Sun Yat Sen Univ, Kaohsiung, Taiwan; [Gradinger, Rolf; McKay, Rosalie] UiT Arctic Univ Norway, Tromso, Norway; [Haas, Christian; Kanzow, Torsten; Mertens, Christian; Spreen, Gunnar; Sukhikh, Natalia; Walter, Maren] Univ Bremen, Inst Environm Phys, Bremen, Germany; [He, Yan; Kong, Bin; Lin, Lina; Liu, Na; Ma, Xiaobing] Minist Nat Resources, Key Lab Marine Sci &amp; Numer Modeling, Inst Oceanog 1, Qingdao, Peoples R China; [He, Yan; Kong, Bin; Lin, Lina; Liu, Na; Ma, Xiaobing] Pilot Natl Lab Marine Sci &amp; Technol, Lab Reg Oceanog &amp; Numer Modeling, Qingdao, Peoples R China; [He, Yan; Kong, Bin; Lin, Lina; Liu, Na; Ma, Xiaobing] Shandong Key Lab Marine Sci &amp; Numer Modeling, Qingdao, Peoples R China; [Kadko, David; Stephens, Mark] Florida Int Univ, Miami, FL 33199 USA; [Heuze, Celine; Kawaguchi, Yusuke] Univ Tokyo, Atmosphere &amp; Ocean Res Inst, Chiba, Japan; [Lan, Musheng; Lei, Ruibo] Polar Res Inst China, Shanghai, Peoples R China; [Laukert, Georgi] Dalhousie Univ, Ocean Frontier Inst, Halifax, NS, Canada; [Laukert, Georgi] GEOMAR Helmholtz Ctr Ocean Res, Kiel, Germany; [Li, Tao; Su, Jie; Zhao, Jinping; Zhu, Jialiang] Ocean Univ China, Coll Ocean &amp; Atmospher Sci, Qingdao, Peoples R China; [Li, Tao; Su, Jie; Zhao, Jinping] Pilot Natl Lab Marine Sci &amp; Technol, Qingdao, Peoples R China; [Loose, Brice] Univ Rhode Isl, Kingston, RI 02881 USA; [Mallett, Robbie D. C.] UCL, Dept Earth Sci, Ctr Polar Observat &amp; Modelling, London, England; [Maslowski, Wieslaw; Shaw, William; Stanton, Timothy] Naval Postgrad Sch, Monterey, CA USA; [Mohrholz, Volker; Schuffenhauer, Ingo] Leibniz Inst Ostseeforsch Warnemunde, Rostock, Germany; [Perovich, Donald] Dartmouth Coll, Thayer Sch Engn, Hanover, NH 03755 USA; [Rex, Markus] Univ Potsdam, Inst Phys &amp; Astron, Potsdam, Germany; [Shupe, Matthew D.] Univ Colorado, Cooperat Inst Res Environm Sci, Boulder, CO USA; [Shupe, Matthew D.] NOAA, Phys Sci Lab, Boulder, CO USA; [Sokolov, Vladimir] Arctic &amp; Antarctic Res Inst, St Petersburg, Russia; [Stanton, Timothy] Moss Landing Marine Labs, Pob 450, Moss Landing, CA 95039 USA; [Sukhikh, Natalia] Univ Bremen, MARUM, Bremen, Germany; [Wang, Hangzhou] Zhejiang Univ, Hangzhou, Peoples R China; [Wang, Lei] Beijing Normal Univ, State Key Lab Earth Surface Proc &amp; Resource Ecol, Beijing, Peoples R China; [Wendisch, Manfred] Univ Leipzig, Leipzig Inst Meteorol, Leipzig, Germany</t>
  </si>
  <si>
    <t>Helmholtz Association; Alfred Wegener Institute, Helmholtz Centre for Polar &amp; Marine Research; University of Gothenburg; NERC National Oceanography Centre; Ministry of Natural Resources of the People's Republic of China; Ministry of Natural Resources of the People's Republic of China; Woods Hole Oceanographic Institution; University of Bergen; Bjerknes Centre for Climate Research; Ministry of Natural Resources of the People's Republic of China; Southern Marine Science &amp; Engineering Guangdong Laboratory; Shanghai Jiao Tong University; University of Tasmania; Helmholtz Association; Alfred Wegener Institute, Helmholtz Centre for Polar &amp; Marine Research; Norwegian Polar Institute; National Sun Yat Sen University; UiT The Arctic University of Tromso; University of Bremen; First Institute of Oceanography, Ministry of Natural Resources; Ministry of Natural Resources of the People's Republic of China; Laoshan Laboratory; State University System of Florida; Florida International University; University of Tokyo; Polar Research Institute of China; Dalhousie University; Helmholtz Association; GEOMAR Helmholtz Center for Ocean Research Kiel; Ocean University of China; Laoshan Laboratory; University of Rhode Island; University of London; University College London; United States Department of Defense; United States Navy; Naval Postgraduate School; Leibniz Institut fur Ostseeforschung Warnemunde; Dartmouth College; University of Potsdam; University of Colorado System; University of Colorado Boulder; National Oceanic Atmospheric Admin (NOAA) - USA; Arctic &amp; Antarctic Research Institute; Moss Landing Marine Laboratories; University of Bremen; Zhejiang University; Beijing Normal University; Leipzig University</t>
  </si>
  <si>
    <t>Rabe, B (corresponding author), Helmholtz Zentrum Polar &amp; Meeresforsch, Alfred Wegener Inst, Bremerhaven, Germany.;Heuzé, C (corresponding author), Univ Tokyo, Atmosphere &amp; Ocean Res Inst, Chiba, Japan.</t>
  </si>
  <si>
    <t>benjamin.rabe@awi.de; celine.heuze@gu.se</t>
  </si>
  <si>
    <t>Cole, Sylvia T/K-6388-2013; Nicolaus, Marcel/A-3658-2013; Ren, Jian/K-6951-2018; Heuzé, Céline/U-5058-2017; liu, jianyang/JXL-6273-2024; LIU, JIALIN/JXN-8034-2024; Rabe, Benjamin/G-2999-2011; Athanase, Marylou/AAS-8206-2021; xiao, ming/KHT-1774-2024; Kuznetsov, Ivan/ABC-6870-2020; Hoppmann, Mario/KFB-0363-2024; Rinke, Annette/B-4922-2014; Craw, Lisa/V-5681-2018; Torres-Valdés, Sinhué/O-6436-2019; Shupe, Matthew/F-8754-2011; Horn, Myriel/ADD-5177-2022; Doglioni, Francesca/JBR-8251-2023; wang, lei/JQV-5907-2023; Wendisch, Manfred/E-4175-2013; Spreen, Gunnar/A-4533-2010; Krumpen, Thomas/D-5163-2011; amplification, ³ - Arctic/AAU-6640-2020; Fer, Ilker/C-7820-2012; Rex, Markus/A-6054-2009</t>
  </si>
  <si>
    <t>Nicolaus, Marcel/0000-0003-0903-1746; Ren, Jian/0000-0002-1889-5661; Heuzé, Céline/0000-0002-8850-5868; Rabe, Benjamin/0000-0001-5794-9856; Athanase, Marylou/0000-0001-6603-9870; Kuznetsov, Ivan/0000-0001-5910-8081; Hoppmann, Mario/0000-0003-1294-9531; Torres-Valdés, Sinhué/0000-0003-2749-4170; Horn, Myriel/0000-0003-1884-2065; Wendisch, Manfred/0000-0002-4652-5561; Spreen, Gunnar/0000-0003-0165-8448; Krumpen, Thomas/0000-0001-6234-8756; Fer, Ilker/0000-0002-2427-2532; Rex, Markus/0000-0001-7847-8221; Tippenhauer, Sandra/0000-0003-3405-6275; Aksenov, Yevgeny/0000-0001-6132-3434; Regnery, Julia/0000-0003-2704-7813; Bauch, Dorothea/0000-0002-1419-9714</t>
  </si>
  <si>
    <t>Swedish Research Council [2018-03859]; United Kingdom Research and Innovation (UKRI) Natural Environment Research Council (NERC); Bundesministerium fr Bildung und Forschung (BMBF); CAO projects Advective Pathways of nutrients and key Ecological substances in the ARctic (APEAR) [NE/R012865/1, NE/R012865/2, 03V01461]; Escalating Arctic NUTrient fluxeS grant [03F0804A]; Research Council of Norway [294396, 280292, 280531]; Collaborative Research: Thermodynamics and Dynamic Drivers of the Arctic Sea Ice Mass Budget at Multidisciplinary drifting Observatory; National Science Foundation (NSF) [1723400, OPP-1724551]; Helmholtz society strategic investment Frontiers in Arctic Marine monitoring (FRAM); Deutsche Forschungsgemeinschaft (German Research Foundation) through the Transregional Collaborative Research Centre [TRR 172, 268020496]; Japan Society for the Promotion of Science [JP18H03745, JP18KK0292, JP17KK0083]; COLE grant of U. Tokyo; National Key Research and Development Plan SubProject of Ministry of Science and Technology of China [2016YFA0601804]; Simulation, Prediction and Regional Climate Response of Global Warming Hiatus [2016/07-2021/06]; National Science Foundation [OPP1756100]; Chinese Polar Environmental Comprehensive Investigation and Assessment Programs - Chinese Arctic and Antarctic Administration; Marine Science and Technology Fund of Shandong Province for Qingdao National Laboratory for Marine Science and Technology [2018SDKJ0104-1]; Chinese Natural Science Foundation [41941012]; UK NERC Long-term Science Multiple Centre National Capability Programme North Atlantic Climate System Integrated Study (ACSIS) [NE/N018044/1]; London NERC Doctoral Training Partnership [NE/L002485/1]; NSF [OPP-1753423]; Alfred-Wegener-Institut Helmholtz-Zentrum fur Polar-und Meeresforschung (AWI); Swedish Research Council [2018-03859] Funding Source: Swedish Research Council</t>
  </si>
  <si>
    <t>Swedish Research Council(Swedish Research Council); United Kingdom Research and Innovation (UKRI) Natural Environment Research Council (NERC)(UK Research &amp; Innovation (UKRI)Natural Environment Research Council (NERC)); Bundesministerium fr Bildung und Forschung (BMBF)(Federal Ministry of Education &amp; Research (BMBF)); CAO projects Advective Pathways of nutrients and key Ecological substances in the ARctic (APEAR); Escalating Arctic NUTrient fluxeS grant; Research Council of Norway(Research Council of Norway); Collaborative Research: Thermodynamics and Dynamic Drivers of the Arctic Sea Ice Mass Budget at Multidisciplinary drifting Observatory; National Science Foundation (NSF)(National Science Foundation (NSF)); Helmholtz society strategic investment Frontiers in Arctic Marine monitoring (FRAM); Deutsche Forschungsgemeinschaft (German Research Foundation) through the Transregional Collaborative Research Centre(German Research Foundation (DFG)); Japan Society for the Promotion of Science(Ministry of Education, Culture, Sports, Science and Technology, Japan (MEXT)Japan Society for the Promotion of Science); COLE grant of U. Tokyo; National Key Research and Development Plan SubProject of Ministry of Science and Technology of China; Simulation, Prediction and Regional Climate Response of Global Warming Hiatus; National Science Foundation(National Science Foundation (NSF)); Chinese Polar Environmental Comprehensive Investigation and Assessment Programs - Chinese Arctic and Antarctic Administration; Marine Science and Technology Fund of Shandong Province for Qingdao National Laboratory for Marine Science and Technology; Chinese Natural Science Foundation(National Natural Science Foundation of China (NSFC)); UK NERC Long-term Science Multiple Centre National Capability Programme North Atlantic Climate System Integrated Study (ACSIS); London NERC Doctoral Training Partnership; NSF(National Science Foundation (NSF)); Alfred-Wegener-Institut Helmholtz-Zentrum fur Polar-und Meeresforschung (AWI); Swedish Research Council(Swedish Research Council)</t>
  </si>
  <si>
    <t>Why is the deep Arctic Ocean Warming is funded by the Swedish Research Council, project number 2018-03859, and berth fees for this project were covered by the Swedish Polar Research Secretariat;r The Changing Arctic Ocean (CAO) program, jointly funded by the United Kingdom Research and Innovation (UKRI) Natural Environment Research Council (NERC) and the Bundesministerium fr Bildung und Forschung (BMBF), in particular, the CAO projects Advective Pathways of nutrients and key Ecological substances in the ARctic (APEAR) grants NE/R012865/1, NE/R012865/2, and #03V01461, and the project Primary productivity driven by Escalating Arctic NUTrient fluxeS grant #03F0804A;r The Research Council of Norway (AROMA, grant no 294396; HAVOC, grant no 280292; and CAATEX, grant no 280531);r Collaborative Research: Thermodynamics and Dynamic Drivers of the Arctic Sea Ice Mass Budget at Multidisciplinary drifting Observatory for the Study of the Arctic Climate; National Science Foundation (NSF) projects 1723400, Stanton; OPP-1724551, Shupe;r -The Helmholtz society strategic investment Frontiers in Arctic Marine monitoring (FRAM); -Deutsche Forschungsgemeinschaft (German Research Foundation) through the Transregional Collaborative Research Centre TRR 172 ArctiC Amplification: Climate Relevant Atmospheric and SurfaCe Processes, and Feedback Mechanisms (AC)3 (grant 268020496);r -The Japan Society for the Promotion of Science (grant numbers JP18H03745, JP18KK0292, and JP17KK0083) and the COLE grant of U. Tokyo;r -National Key Research and Development Plan SubProject of Ministry of Science and Technology of China (2016YFA0601804), Simulation, Prediction and Regional Climate Response of Global Warming Hiatus, 2016/07-2021/06; National Science Foundation grant number OPP1756100 which funded two of the Ice-Tethered Profilers and all the Ice-Tethered Profiler deployments;r -Chinese Polar Environmental Comprehensive Investigation and Assessment Programs, funded by the Chinese Arctic and Antarctic Administration; Marine Science and Technology Fund of Shandong Province for Qingdao National Laboratory for Marine Science and Technology (Grant: 2018SDKJ0104-1) and Chinese Natural Science Foundation (Grant: 41941012); -UK NERC Long-term Science Multiple Centre National Capability Programme North Atlantic Climate System Integrated Study (ACSIS), grant NE/N018044/1;r -The London NERC Doctoral Training Partnership grant (NE/L002485/1) which funded RDCM; -NSF grant number OPP-1753423, which funded the 7Be tracer -measurements; andr -The Alfred-Wegener-Institut Helmholtz-Zentrum fur Polar-und Meeresforschung (AWI) through its projects: AWI_OCEAN, AWI_ROV, AWI_ICE, AWI_SNOW, AWI_ECO, AWI_ATMO, and AWI_BGC.</t>
  </si>
  <si>
    <t>UNIV CALIFORNIA PRESS</t>
  </si>
  <si>
    <t>OAKLAND</t>
  </si>
  <si>
    <t>155 GRAND AVE, SUITE 400, OAKLAND, CA 94612-3758 USA</t>
  </si>
  <si>
    <t>2325-1026</t>
  </si>
  <si>
    <t>ELEMENTA-SCI ANTHROP</t>
  </si>
  <si>
    <t>Elementa-Sci. Anthrop.</t>
  </si>
  <si>
    <t>10.1525/elementa.2021.00062</t>
  </si>
  <si>
    <t>YU2QR</t>
  </si>
  <si>
    <t>WOS:000751892500001</t>
  </si>
  <si>
    <t>Nicolaus, M; Perovich, DK; Spreen, G; Granskog, MA; von Albedyll, L; Angelopoulos, M; Anhaus, P; Arndt, S; Belter, HJ; Bessonov, V; Birnbaum, G; Brauchle, J; Calmer, R; Cardellach, E; Cheng, B; Clemens-Sewall, D; Dadic, R; Damm, E; de Boer, G; Demir, O; Dethloff, K; Divine, DV; Fong, AA; Fons, S; Frey, MM; Fuchs, N; Gabarró, C; Gerland, S; Goessling, HF; Gradinger, R; Haapala, J; Haas, C; Hamilton, J; Hannula, HR; Hendricks, S; Herber, A; Heuzé, C; Hoppmann, M; Hoyland, KV; Huntemann, M; Hutchings, JK; Hwang, BJ; Itkin, P; Jacobi, HW; Jaggi, M; Jutila, A; Kaleschke, L; Katlein, C; Kolabutin, N; Krampe, D; Kristensen, SS; Krumpen, T; Kurtz, N; Lampert, A; Lange, BA; Lei, R; Light, B; Linhardt, F; Liston, GE; Loose, B; Macfarlane, AR; Mahmud, M; Matero, IO; Morgenstern, A; Naderpour, R; Nandan, V; Niubom, A; Oggier, M; Oppelt, N; Perron, C; Petrovsky, T; Pirazzini, R; Polashenski, C; Rabe, B; Raphael, IA; Regnery, J; Rex, M; Ricker, R; Riemann-Campe, K; Rinke, A; Rohde, J; Salganik, E; Scharien, RK; Schiller, M; Schneebeli, M; Semmling, M; Shimanchuk, E; Shupe, MD; Smith, MM; Smolyanitsky, V; Sokolov, V; Stanton, T; Stroeve, J; Thielke, L; Timofeeva, A; Tonboe, RT; Tavri, A; Tsamados, M; Wagner, DN; Watkins, D; Webster, M; Wendisch, M</t>
  </si>
  <si>
    <t>Nicolaus, Marcel; Perovich, Donald K.; Spreen, Gunnar; Granskog, Mats A.; von Albedyll, Luisa; Angelopoulos, Michael; Anhaus, Philipp; Arndt, Stefanie; Belter, H. Jakob; Bessonov, Vladimir; Birnbaum, Gerit; Brauchle, Joerg; Calmer, Radiance; Cardellach, Estel; Cheng, Bin; Clemens-Sewall, David; Dadic, Ruzica; Damm, Ellen; de Boer, Gijs; Demir, Oguz; Dethloff, Klaus; Divine, Dmitry, V; Fong, Allison A.; Fons, Steven; Frey, Markus M.; Fuchs, Niels; Gabarro, Carolina; Gerland, Sebastian; Goessling, Helge F.; Gradinger, Rolf; Haapala, Jari; Haas, Christian; Hamilton, Jonathan; Hannula, Henna-Reetta; Hendricks, Stefan; Herber, Andreas; Heuze, Celine; Hoppmann, Mario; Hoyland, Knut Vilhelm; Huntemann, Marcus; Hutchings, Jennifer K.; Hwang, Byongjun; Itkin, Polona; Jacobi, Hans-Werner; Jaggi, Matthias; Jutila, Arttu; Kaleschke, Lars; Katlein, Christian; Kolabutin, Nikolai; Krampe, Daniela; Kristensen, Steen Savstrup; Krumpen, Thomas; Kurtz, Nathan; Lampert, Astrid; Lange, Benjamin Allen; Lei, Ruibo; Light, Bonnie; Linhardt, Felix; Liston, Glen E.; Loose, Brice; Macfarlane, Amy R.; Mahmud, Mallik; Matero, Ilkka O.; Morgenstern, Anne; Naderpour, Reza; Nandan, Vishnu; Niubom, Alexey; Oggier, Marc; Oppelt, Natascha; Perron, Christophe; Petrovsky, Tomasz; Pirazzini, Roberta; Polashenski, Chris; Rabe, Benjamin; Raphael, Ian A.; Regnery, Julia; Rex, Markus; Ricker, Robert; Riemann-Campe, Kathrin; Rinke, Annette; Rohde, Jan; Salganik, Evgenii; Scharien, Randall K.; Schiller, Martin; Schneebeli, Martin; Semmling, Maximilian; Shimanchuk, Egor; Shupe, Matthew D.; Smith, Madison M.; Smolyanitsky, Vasily; Sokolov, Vladimir; Stanton, Tim; Stroeve, Julienne; Thielke, Linda; Timofeeva, Anna; Tonboe, Rasmus Tage; Tavri, Aikaterini; Tsamados, Michel; Wagner, David N.; Watkins, Daniel; Webster, Melinda; Wendisch, Manfred</t>
  </si>
  <si>
    <t>Overview of the MOSAiC expedition: Snow and sea ice</t>
  </si>
  <si>
    <t>Snow and sea ice; Coupled climate system; Atmosphere-ice-ocean interaction; Interdisciplinary research; Arctic drift study</t>
  </si>
  <si>
    <t>MASS-BALANCE; PACK ICE; THICKNESS; DEPTH; FREQUENCY; IMPACT; RADAR; THERMODYNAMICS; DEFORMATION; TEMPERATURE</t>
  </si>
  <si>
    <t>Year-round observations of the physical snow and ice properties and processes that govern the ice pack evolution and its interaction with the atmosphere and the ocean were conducted during the Multidisciplinary drifting Observatory for the Study of Arctic Climate (MOSAiC) expedition of the research vessel Polarstern in the Arctic Ocean from October 2019 to September 2020. This work was embedded into the interdisciplinary design of the 5 MOSAiC teams, studying the atmosphere, the sea ice, the ocean, the ecosystem, and biogeochemical processes. The overall aim of the snow and sea ice observations during MOSAiC was to characterize the physical properties of the snow and ice cover comprehensively in the central Arctic over an entire annual cycle. This objective was achieved by detailed observations of physical properties and of energy and mass balance of snow and ice. By studying snow and sea ice dynamics over nested spatial scales from centimeters to tens of kilometers, the variability across scales can be considered. On-ice observations of in situ and remote sensing properties of the different surface types over all seasons will help to improve numerical process and climate models and to establish and validate novel satellite remote sensing methods; the linkages to accompanying airborne measurements, satellite observations, and results of numerical models are discussed. We found large spatial variabilities of snow metamorphism and thermal regimes impacting sea ice growth. We conclude that the highly variable snow cover needs to be considered in more detail (in observations, remote sensing, and models) to better understand snow-related feedback processes. The ice pack revealed rapid transformations and motions along the drift in all seasons. The number of coupled ice-ocean interface processes observed in detail are expected to guide upcoming research with respect to the changing Arctic sea ice.</t>
  </si>
  <si>
    <t>[Nicolaus, Marcel; von Albedyll, Luisa; Anhaus, Philipp; Arndt, Stefanie; Belter, H. Jakob; Birnbaum, Gerit; Damm, Ellen; Fong, Allison A.; Fuchs, Niels; Goessling, Helge F.; Haas, Christian; Hendricks, Stefan; Herber, Andreas; Hoppmann, Mario; Jutila, Arttu; Kaleschke, Lars; Katlein, Christian; Krampe, Daniela; Krumpen, Thomas; Matero, Ilkka O.; Morgenstern, Anne; Rabe, Benjamin; Regnery, Julia; Ricker, Robert; Riemann-Campe, Kathrin; Rohde, Jan; Schiller, Martin] Helmholtz Zentrum Polar &amp; Meeresforsch, Alfred Wegener Inst, Bremerhaven, Germany; [Perovich, Donald K.; Clemens-Sewall, David; Polashenski, Chris; Raphael, Ian A.] Dartmouth Coll, Thayer Sch Engn, Hanover, NH 03755 USA; [Spreen, Gunnar; Haas, Christian; Huntemann, Marcus; Thielke, Linda] Univ Bremen, Bremen, Germany; [Granskog, Mats A.; Divine, Dmitry, V; Gerland, Sebastian; Lange, Benjamin Allen; Oggier, Marc] Fram Ctr, Norwegian Polar Inst, Tromso, Norway; [Angelopoulos, Michael; Dethloff, Klaus; Rex, Markus; Rinke, Annette] Helmholtz Zentrum Polar &amp; Meeresforsch, Alfred Wegener Inst, Potsdam, Germany; [Bessonov, Vladimir; Kolabutin, Nikolai; Niubom, Alexey; Petrovsky, Tomasz; Shimanchuk, Egor; Smolyanitsky, Vasily; Sokolov, Vladimir; Timofeeva, Anna] Arctic &amp; Antarctic Res Inst, St Petersburg, Russia; [Brauchle, Joerg] German Aerosp Ctr DLR, Inst Opt SensorSyst, Berlin, Germany; [Calmer, Radiance; de Boer, Gijs; Hamilton, Jonathan; Shupe, Matthew D.] Univ Colorado, CIRES, Boulder, CO 80309 USA; [Cardellach, Estel] Inst Ciencias Espacio ICE CSIC IEEC, Barcelona, Spain; [Cheng, Bin; Haapala, Jari; Hannula, Henna-Reetta; Pirazzini, Roberta] Finnish Meteorol Inst, Helsinki, Finland; [Dadic, Ruzica] Victoria Univ Wellington, Antarctic Res Ctr, Wellington, New Zealand; [de Boer, Gijs] Univ Colorado, Integrated Remote &amp; In Situ Sampling, Boulder, CO 80309 USA; [de Boer, Gijs; Hamilton, Jonathan; Shupe, Matthew D.] NOAA, Phys Sci Lab, Boulder, CO USA; [Demir, Oguz] Ohio State Univ, Electro Sci Lab, Columbus, OH 43210 USA; [Fons, Steven; Kurtz, Nathan] NASA, Goddard Space Flight Ctr, Greenbelt, MD USA; [Fons, Steven] Univ Maryland, College Pk, MD 20742 USA; [Frey, Markus M.] British Antarctic Survey, Nat Environm Res Council, Cambridge, England; [Fuchs, Niels] Univ Hamburg, Ctr Earth Syst Sustainabil, Inst Oceanog, Hamburg, Germany; [Gabarro, Carolina] Barcelona Expert Ctr BEC, Barcelona, Spain; [Gabarro, Carolina] Inst Marine Sci ICM CSIC, Barcelona, Spain; [Gradinger, Rolf; Itkin, Polona] UiT Arctic Univ Norway, Tromso, Norway; [Heuze, Celine] Univ Gothenburg, Dept Earth Sci, Gothenburg, Sweden; [Hoyland, Knut Vilhelm; Salganik, Evgenii] Norwegian Univ Sci &amp; Technol, Trondheim, Norway; [Hutchings, Jennifer K.; Watkins, Daniel] Oregon State Univ, Corvallis, OR 97331 USA; [Hwang, Byongjun] Univ Huddersfield, Huddersfield, W Yorkshire, England; [Itkin, Polona; Liston, Glen E.] Colorado State Univ, Cooperat Inst Res Atmosphere, Ft Collins, CO 80523 USA; [Jacobi, Hans-Werner] CNRS Univ Grenoble Alpes IRD G INP, Inst Geosci &amp; Environm Res IGE, Grenoble, France; [Jaggi, Matthias; Macfarlane, Amy R.; Schneebeli, Martin; Wagner, David N.] WSL Inst Snow &amp; Avalanche Res SLF, Davos, Switzerland; [Kristensen, Steen Savstrup] Tech Univ Denmark DTU, Lyngby, Denmark; [Lampert, Astrid] Tech Univ Carolo Wilhelmina Braunschweig, Inst Flight Guidance, Braunschweig, Germany; [Lei, Ruibo] Polar Res Inst China, Key Lab Polar Sci MNR, Shanghai, Peoples R China; [Light, Bonnie; Smith, Madison M.] Univ Washington, Appl Phys Lab, Polar Sci Ctr, Seattle, WA 98105 USA; [Linhardt, Felix; Oppelt, Natascha] Christian Albrechts Univ Kiel, Inst Geog, Kiel, Germany; [Loose, Brice] Univ Rhode Isl, Kingston, RI 02881 USA; [Mahmud, Mallik] Univ Calgary, Calgary, AB, Canada; [Naderpour, Reza] Eidg Forschungsanstalt Wald Schnee &amp; Landschaft, Birmensdorf, Switzerland; [Nandan, Vishnu; Stroeve, Julienne] Univ Manitoba, Winnipeg, MB, Canada; [Oggier, Marc; Webster, Melinda] Univ Alaska Fairbanks, Fairbanks, AK USA; [Perron, Christophe] Laval Univ Canada CNRS France, Takuvik Joint Int Lab, Quebec City, PQ, Canada; [Polashenski, Chris] US Army Cold Reg Res &amp; Engn Lab, Wainwright, AK USA; [Scharien, Randall K.; Tavri, Aikaterini] Univ Victoria, Victoria, BC, Canada; [Semmling, Maximilian] German Aerosp Ctr DLR, Inst Solar Terr Phys, Neustrelitz, Germany; [Stanton, Tim] Naval Postgrad Sch, Moss Landing, CA USA; [Stanton, Tim] Moss Landing Marine Labs, Pob 450, Moss Landing, CA 95039 USA; [Tonboe, Rasmus Tage] Natl Space Inst, Lyngby, Denmark; [Tsamados, Michel] UCL, London, England; [Wagner, David N.] Ecole Polytech Fed Lausanne, Lausanne, Switzerland; [Wendisch, Manfred] Univ Leipzig, Leipzig Inst Meteorol, Leipzig, Germany</t>
  </si>
  <si>
    <t>Helmholtz Association; Alfred Wegener Institute, Helmholtz Centre for Polar &amp; Marine Research; Dartmouth College; University of Bremen; Norwegian Polar Institute; Helmholtz Association; Alfred Wegener Institute, Helmholtz Centre for Polar &amp; Marine Research; Arctic &amp; Antarctic Research Institute; Helmholtz Association; German Aerospace Centre (DLR); University of Colorado System; University of Colorado Boulder; Institut d'Estudis Espacials de Catalunya (IEEC); Consejo Superior de Investigaciones Cientificas (CSIC); CSIC - Instituto de Ciencias del Espacio (ICE); Finnish Meteorological Institute; Victoria University Wellington; University of Colorado System; University of Colorado Boulder; National Oceanic Atmospheric Admin (NOAA) - USA; University System of Ohio; Ohio State University; National Aeronautics &amp; Space Administration (NASA); NASA Goddard Space Flight Center; University System of Maryland; University of Maryland College Park; UK Research &amp; Innovation (UKRI); Natural Environment Research Council (NERC); NERC British Antarctic Survey; University of Hamburg; Consejo Superior de Investigaciones Cientificas (CSIC); CSIC - Centro Mediterraneo de Investigaciones Marinas y Ambientales (CMIMA); CSIC - Instituto de Ciencias del Mar (ICM); UiT The Arctic University of Tromso; University of Gothenburg; Norwegian University of Science &amp; Technology (NTNU); Oregon State University; University of Huddersfield; Colorado State University; Swiss Federal Institutes of Technology Domain; Swiss Federal Institute for Forest, Snow &amp; Landscape Research; Technical University of Denmark; Braunschweig University of Technology; Polar Research Institute of China; University of Washington; University of Washington Seattle; University of Kiel; University of Rhode Island; University of Calgary; University of Manitoba; University of Alaska System; University of Alaska Fairbanks; United States Department of Defense; United States Army; U.S. Army Corps of Engineers; U.S. Army Engineer Research &amp; Development Center (ERDC); Cold Regions Research &amp; Engineering Laboratory (CRREL); University of Victoria; Helmholtz Association; German Aerospace Centre (DLR); United States Department of Defense; United States Navy; Naval Postgraduate School; Moss Landing Marine Laboratories; University of London; University College London; Swiss Federal Institutes of Technology Domain; Ecole Polytechnique Federale de Lausanne; Leipzig University</t>
  </si>
  <si>
    <t>Nicolaus, M (corresponding author), Helmholtz Zentrum Polar &amp; Meeresforsch, Alfred Wegener Inst, Bremerhaven, Germany.</t>
  </si>
  <si>
    <t>marcel.nicolaus@awi.de</t>
  </si>
  <si>
    <t>Arndt, Stefanie/AAA-6178-2021; Hutchings, Jennifer K/P-6356-2017; Morgenstern, Anne/N-3648-2015; Timofeeva, Anna/ITV-2270-2023; de Boer, Gijs/AAM-2613-2020; Schiller, Martin/AFQ-9491-2022; Cardellach, Estel/C-9418-2012; Smith, Madison/JME-8685-2023; Hoppmann, Mario/KFB-0363-2024; Nandan, Vishnu/IUP-4703-2023; Ricker, Robert/Z-4214-2019; Wendisch, Manfred/E-4175-2013; Frey, Markus/G-1756-2012; Krumpen, Thomas/D-5163-2011; Hendricks, Stefan/D-5168-2011; Tavri, Aikaterini/JAD-1313-2023; Spreen, Gunnar/A-4533-2010; Nicolaus, Marcel/A-3658-2013; Smolyanitsky, Vasily/K-2464-2015; Gabarro, Carolina/N-3526-2014; Heuzé, Céline/U-5058-2017; Rabe, Benjamin/G-2999-2011; Schneebeli, Martin/B-1063-2008; Macfarlane, Amy/JJF-4792-2023; Rex, Markus/A-6054-2009; amplification, ³ - Arctic/AAU-6640-2020; Krampe, Daniela/GXR-6757-2022; Angelopoulos, Michael/CAH-1518-2022; Rinke, Annette/B-4922-2014; SHUPE, MATTHEW/F-8754-2011; Kolabutin, Nikolay/G-7252-2015</t>
  </si>
  <si>
    <t>Arndt, Stefanie/0000-0001-9782-3844; Morgenstern, Anne/0000-0002-6466-7571; Timofeeva, Anna/0000-0002-0566-6149; de Boer, Gijs/0000-0003-4652-7150; Schiller, Martin/0000-0002-0506-2759; Cardellach, Estel/0000-0001-8908-0972; Hoppmann, Mario/0000-0003-1294-9531; Nandan, Vishnu/0000-0001-9643-6658; Ricker, Robert/0000-0001-6928-7757; Wendisch, Manfred/0000-0002-4652-5561; Frey, Markus/0000-0003-0535-0416; Krumpen, Thomas/0000-0001-6234-8756; Hendricks, Stefan/0000-0002-1412-3146; Spreen, Gunnar/0000-0003-0165-8448; Nicolaus, Marcel/0000-0003-0903-1746; Smolyanitsky, Vasily/0000-0002-8087-0393; Heuzé, Céline/0000-0002-8850-5868; Rabe, Benjamin/0000-0001-5794-9856; Schneebeli, Martin/0000-0003-2872-4409; Macfarlane, Amy/0000-0002-1638-8885; Rex, Markus/0000-0001-7847-8221; Jutila, Arttu/0000-0001-6115-1687; Demir, Oguz/0000-0002-4066-8481; Rinke, Annette/0000-0002-6685-9219; SHUPE, MATTHEW/0000-0002-0973-9982; Jacobi, Hans-Werner/0000-0003-2230-3136; Anhaus, Philipp/0000-0002-0671-8545; Perovich, Don/0000-0002-0576-0864; Webster, Melinda/0000-0002-5976-9485; Tonboe, Rasmus Tage/0000-0003-1463-4832; Regnery, Julia/0000-0003-2704-7813; Watkins, Daniel/0000-0003-3173-152X; Thielke, Linda/0000-0002-1635-2284; Bunger, H. Jakob/0000-0001-9383-911X; Kolabutin, Nikolay/0000-0002-4107-5223; Light, Bonnie/0000-0003-2640-5738; Granskog, Mats/0000-0002-5035-4347; Riemann-Campe, Kathrin/0000-0002-7733-8427; Fuchs, Niels/0000-0001-8536-6877; Hannula, Henna-Reetta/0000-0003-0792-8795; Dadic, Ruzica/0000-0003-1303-1896; Salganik, Evgenii/0000-0001-8383-7815; von Albedyll, Luisa/0000-0002-6768-0368; Wagner, David Nicholas/0000-0002-7686-0811; Kristensen, Steen Savstrup/0000-0001-5928-1802; Krampe, Daniela/0000-0003-0633-5023</t>
  </si>
  <si>
    <t>German Federal Ministry of Education and Research (BMBF); Polarstern expedition PS122 [N-2014-H060_Dethloff]; AWI through its project: AWI_ROV; Helmholtz strategic investment Frontiers in Arctic Marine Monitoring (FRAM); Deutsche Forschungsgemeinschaft (DFG, German Research Foundation) through the Transregional Collaborative Research Centre TRR-172 [268020496]; International Research Training Group 1904 ArcTrain [221211316]; MOSAiCmicrowaveRS project [420499875]; HELiPOD grant [LA 2907/11-1]; SCASI project [NI 1096/5-1, KA 2694/7-1]; SnowCast project [AR1236/1]; BMBF through the project Diatom-ARCTIC [03F0810A]; BMBF through the project IceSense [BMBF 03F0866A, 03F0866B]; BMBF through the project MOSAiC3-IceScan [BMBF 03F0916A]; BMBF through the project NiceLABpro [BMBF 03F0867A]; BMBF through the SSIP [01LN1701A]; BMBF through the SIDF Explore [03F0868A]; German Federal Ministry for Economic Affairs and Energy [BMWi 50EE1917A]; US National Science Foundation (NSF) [OPP-1724467, OPP1724540, OPP-1724748, OPP-1723400, OPP-1820927, OPP-1735862, OPP-1805569, OPP-1724551, OPP1807496, OPP1914781]; NOAA Physical Sciences Laboratory; European Union [730965, 727890]; US Department of Energy Atmospheric Radiation Measurement (ARM) program [DE-SC0019251, DE-SC0021341]; US Department of Energy Atmospheric System Research (ASR) program [DE-SC0019251, DE-SC0021341]; National Aeronautics and Space Administration (NASA) [80NSSC20K0658]; European Space Agency (ESA); CIMRex project [4000125503/18/NL/FF/gp]; GNSSR project [P.O. 5001025474, C.N. 4000128320/19/NL/FF/ab]; GNSS-R project [P.O. 5001025474, C.N. 4000128320/19/NL/FF/ab]; Canadian Space Agency FAST project [19FACALB08]; EUMETSAT; Research Council of Norway [280292, 287871, 280531]; Fram Centre (Tromso, Norway); UKRI Natural Environment Research Council (NERC) [03F0810A, NE/R012849/1]; BMBF [03F0810A, NE/R012849/1]; UK Natural Environment Research Council [NE/S00257X/1]; Agencia Estatal de Investigacion AEI of Spain [PCI2019-111844-2, RTI2018-099008-BC22]; Swedish Research Council (VR) [2018-03859]; Swedish Polar Research Secretariat; Swiss Polar Institute project SnowMOSAiC; Werner-Petersen-Foundation [FKZ 2019/610]; AWI through its project: AWI_ICE; AWI through its project: AWI_SNOW; AWI through its project: AWI_ECO; U.S. Department of Energy (DOE) [DE-SC0019251, DE-SC0021341] Funding Source: U.S. Department of Energy (DOE); NERC [NE/R012849/1, NE/S00257X/1] Funding Source: UKRI; Swedish Research Council [2018-03859] Funding Source: Swedish Research Council</t>
  </si>
  <si>
    <t>German Federal Ministry of Education and Research (BMBF)(Federal Ministry of Education &amp; Research (BMBF)); Polarstern expedition PS122; AWI through its project: AWI_ROV; Helmholtz strategic investment Frontiers in Arctic Marine Monitoring (FRAM); Deutsche Forschungsgemeinschaft (DFG, German Research Foundation) through the Transregional Collaborative Research Centre TRR-172(German Research Foundation (DFG)); International Research Training Group 1904 ArcTrain; MOSAiCmicrowaveRS project; HELiPOD grant; SCASI project; SnowCast project; BMBF through the project Diatom-ARCTIC(Federal Ministry of Education &amp; Research (BMBF)); BMBF through the project IceSense(Federal Ministry of Education &amp; Research (BMBF)); BMBF through the project MOSAiC3-IceScan(Federal Ministry of Education &amp; Research (BMBF)); BMBF through the project NiceLABpro(Federal Ministry of Education &amp; Research (BMBF)); BMBF through the SSIP(Federal Ministry of Education &amp; Research (BMBF)); BMBF through the SIDF Explore(Federal Ministry of Education &amp; Research (BMBF)); German Federal Ministry for Economic Affairs and Energy; US National Science Foundation (NSF)(National Science Foundation (NSF)); NOAA Physical Sciences Laboratory(National Oceanic Atmospheric Admin (NOAA) - USA); European Union(European Union (EU)); US Department of Energy Atmospheric Radiation Measurement (ARM) program; US Department of Energy Atmospheric System Research (ASR) program; National Aeronautics and Space Administration (NASA)(National Aeronautics &amp; Space Administration (NASA)); European Space Agency (ESA)(European Space Agency); CIMRex project; GNSSR project; GNSS-R project; Canadian Space Agency FAST project; EUMETSAT; Research Council of Norway(Research Council of Norway); Fram Centre (Tromso, Norway); UKRI Natural Environment Research Council (NERC)(UK Research &amp; Innovation (UKRI)Natural Environment Research Council (NERC)); BMBF(Federal Ministry of Education &amp; Research (BMBF)); UK Natural Environment Research Council(UK Research &amp; Innovation (UKRI)Natural Environment Research Council (NERC)); Agencia Estatal de Investigacion AEI of Spain(Spanish Government); Swedish Research Council (VR)(Swedish Research Council); Swedish Polar Research Secretariat; Swiss Polar Institute project SnowMOSAiC; Werner-Petersen-Foundation; AWI through its project: AWI_ICE; AWI through its project: AWI_SNOW; AWI through its project: AWI_ECO; U.S. Department of Energy (DOE)(United States Department of Energy (DOE)); NERC(UK Research &amp; Innovation (UKRI)Natural Environment Research Council (NERC)); Swedish Research Council(Swedish Research Council)</t>
  </si>
  <si>
    <t>This work was funded by the following:; the German Federal Ministry of Education and Research (BMBF) through financing the AlfredWegener-Institut Helmholtz-Zentrum fur Polarund Meeresforschung (AWI) and the Polarstern expedition PS122 under the grant N-2014-H060_Dethloff,; -the AWI through its projects: AWI_ROV, AWI_ICE, AWI_SNOW, AWI_ECO. The AWI buoy program and ROV work were funded by the Helmholtz strategic investment Frontiers in Arctic Marine Monitoring (FRAM), -the Deutsche Forschungsgemeinschaft (DFG, German Research Foundation) through the Transregional Collaborative Research Centre TRR-172 ArctiC Amplification: Climate Relevant Atmospheric and SurfaCe Processes, and Feedback Mechanisms (AC)3 (grant 268020496), the International Research Training Group 1904 ArcTrain (grant 221211316), the MOSAiCmicrowaveRS project (grant 420499875), the HELiPOD grant (LA 2907/11-1), and the SCASI (NI 1096/5-1 and KA 2694/7-1) and SnowCast (AR1236/1) projects,; -the BMBF through the projects Diatom-ARCTIC (03F0810A), IceSense (BMBF 03F0866A and 03F0866B), MOSAiC3-IceScan (BMBF 03F0916A), NiceLABpro (BMBF 03F0867A), SSIP (01LN1701A), and SIDF Explore (03F0868A), -the German Federal Ministry for Economic Affairs and Energy through the project ArcticSense (BMWi 50EE1917A),; -the US National Science Foundation (NSF) through the project PROMIS (OPP-1724467, OPP1724540, and OPP-1724748), the buoy work (OPP-1723400), the MiSNOW (OPP-1820927), the snow transect work (OPP-1820927), the sea ice coring work (OPP-1735862), the HELiX drone operations (OPP-1805569), surface energy fluxes (OPP-1724551), Climate Active Trace Gases (OPP1807496), and Reactive Gas Chemistry (OPP1914781). The last 4 of these were also supported by the NOAA Physical Sciences Laboratory,; -the European Union's Horizon 2020 research and innovation program projects ARICE (grant 730965) for berth fees associated with the participation of the DEARice team and INTAROS (grant 727890) supporting the drone and albedo measurements,; -the US Department of Energy Atmospheric Radiation Measurement (ARM) and Atmospheric System Research (ASR) programs (DE-SC0019251, DE-SC0021341), -the National Aeronautics and Space Administration (NASA) project 80NSSC20K0658, -the European Space Agency (ESA) MOSAiC microwave radiometer (EMIRAD2, ELBARA, HUTRAD), (EMIRAD2, ELBARA, HUTRAD), CIMRex (contract 4000125503/18/NL/FF/gp) and GNSSR (P.O. 5001025474, C.N. 4000128320/19/NL/FF/ab) GNSS-R (contracts P.O. 5001025474 and C.N. 4000128320/19/NL/FF/ab) projects,; -the Canadian Space Agency FAST project (grant no. 19FACALB08), -EUMETSAT support for microwave scatterometer measurements, -the Research Council of Norway through the projects HAVOC (grant no. 280292), SIDRiFT (grant no. 287871), and CAATEX (grant no. 280531),; -the Fram Centre (Tromso, Norway), from its flagship program on Arctic Ocean through the PHOTA project, -the UKRI Natural Environment Research Council (NERC) and BMBF, who jointly funded the Changing Arctic Ocean program (project Diatom Arctic, NE/R012849/1 and 03F0810A),; -the UK Natural Environment Research Council (project SSAASI-CLIM grant NE/S00257X/1),; -the Agencia Estatal de Investigacion AEI of Spain (grant no. PCI2019-111844-2, RTI2018-099008-BC22), -the Swedish Research Council (VR, grant no. 2018-03859), -the Swedish Polar Research Secretariat for berth fees for MOSAiC,; -the Swiss Polar Institute project SnowMOSAiC,; -the Werner-Petersen-Foundation for the development of a remotely operated floating platform (grant no. FKZ 2019/610).</t>
  </si>
  <si>
    <t>10.1525/elementa.2021.000046</t>
  </si>
  <si>
    <t>YU2QN</t>
  </si>
  <si>
    <t>WOS:000751892100001</t>
  </si>
  <si>
    <t>Shupe, MD; Rex, M; Blomquist, B; Persson, POG; Schmale, J; Uttal, T; Althausen, D; Angot, H; Archer, S; Bariteau, L; Beck, I; Bilberry, J; Bucci, S; Buck, C; Boyer, M; Brasseur, Z; Brooks, IM; Calmer, R; Cassano, J; Castro, V; Chu, D; Costa, D; Cox, CJ; Creamean, J; Crewell, S; Dahlke, S; Damm, E; de Boer, G; Deckelmann, H; Dethloff, K; Dütsch, M; Ebell, K; Ehrlich, A; Ellis, J; Engelmann, R; Fong, AA; Frey, MM; Gallagher, MR; Ganzeveld, L; Gradinger, R; Graeser, J; Greenamyer, V; Griesche, H; Griffiths, S; Hamilton, J; Heinemann, G; Helmig, D; Herber, A; Heuzé, C; Hofer, J; Houchens, T; Howard, D; Inoue, J; Jacobi, HW; Jaiser, R; Jokinen, T; Jourdan, O; Jozef, G; King, W; Kirchgaessner, A; Klingebiel, M; Krassovski, M; Krumpen, T; Lampert, A; Landing, W; Laurila, T; Lawrence, D; Lonardi, M; Loose, B; Lüpkes, C; Maahn, M; Macke, A; Maslowski, W; Marsay, C; Maturilli, M; Mech, M; Morris, S; Moser, M; Nicolaus, M; Ortega, P; Osborn, J; Pätzold, F; Perovich, DK; Petäjä, T; Pilz, C; Pirazzini, R; Posman, K; Powers, H; Pratt, KA; Preusser, A; Quéléver, L; Radenz, M; Rabe, B; Rinke, A; Sachs, T; Schulz, A; Siebert, H; Silva, T; Solomon, A; Sommerfeld, A; Spreen, G; Stephens, M; Stohl, A; Svensson, G; Uin, J; Viegas, J; Voigt, C; von der Gathen, P; Wehner, B; Welker, JM; Wendisch, M; Werner, M; Xie, ZQ; Yue, FG</t>
  </si>
  <si>
    <t>Shupe, Matthew D.; Rex, Markus; Blomquist, Byron; Persson, P. Ola G.; Schmale, Julia; Uttal, Taneil; Althausen, Dietrich; Angot, Helene; Archer, Stephen; Bariteau, Ludovic; Beck, Ivo; Bilberry, John; Bucci, Silvia; Buck, Clifton; Boyer, Matt; Brasseur, Zoe; Brooks, Ian M.; Calmer, Radiance; Cassano, John; Castro, Vagner; Chu, David; Costa, David; Cox, Christopher J.; Creamean, Jessie; Crewell, Susanne; Dahlke, Sandro; Damm, Ellen; de Boer, Gijs; Deckelmann, Holger; Dethloff, Klaus; Duetsch, Marina; Ebell, Kerstin; Ehrlich, Andre; Ellis, Jody; Engelmann, Ronny; Fong, Allison A.; Frey, Markus M.; Gallagher, Michael R.; Ganzeveld, Laurens; Gradinger, Rolf; Graeser, Juergen; Greenamyer, Vernon; Griesche, Hannes; Griffiths, Steele; Hamilton, Jonathan; Heinemann, Guenther; Helmig, Detlev; Herber, Andreas; Heuze, Celine; Hofer, Julian; Houchens, Todd; Howard, Dean; Inoue, Jun; Jacobi, Hans-Werner; Jaiser, Ralf; Jokinen, Tuija; Jourdan, Olivier; Jozef, Gina; King, Wessley; Kirchgaessner, Amelie; Klingebiel, Marcus; Krassovski, Misha; Krumpen, Thomas; Lampert, Astrid; Landing, William; Laurila, Tiia; Lawrence, Dale; Lonardi, Michael; Loose, Brice; Luepkes, Christof; Maahn, Maximilian; Macke, Andreas; Maslowski, Wieslaw; Marsay, Christopher; Maturilli, Marion; Mech, Mario; Morris, Sara; Moser, Manuel; Nicolaus, Marcel; Ortega, Paul; Osborn, Jackson; Paetzold, Falk; Perovich, Donald K.; Petaja, Tuukka; Pilz, Christian; Pirazzini, Roberta; Posman, Kevin; Powers, Heath; Pratt, Kerri A.; Preusser, Andreas; Quelever, Lauriane; Radenz, Martin; Rabe, Benjamin; Rinke, Annette; Sachs, Torsten; Schulz, Alexander; Siebert, Holger; Silva, Tercio; Solomon, Amy; Sommerfeld, Anja; Spreen, Gunnar; Stephens, Mark; Stohl, Andreas; Svensson, Gunilla; Uin, Janek; Viegas, Juarez; Voigt, Christiane; von der Gathen, Peter; Wehner, Birgit; Welker, Jeffrey M.; Wendisch, Manfred; Werner, Martin; Xie, ZhouQing; Yue, Fange</t>
  </si>
  <si>
    <t>Overview of the MOSAiC expedition-Atmosphere INTRODUCTION</t>
  </si>
  <si>
    <t>Arctic; Atmosphere; Field campaign</t>
  </si>
  <si>
    <t>ARCTIC SEA-ICE; BOUNDARY-LAYER; IN-SITU; CLOUD MICROPHYSICS; SURFACE-ALBEDO; CLIMATE-CHANGE; DOPPLER LIDAR; SPRING 2008; AEROSOL; RADIATION</t>
  </si>
  <si>
    <t>With the Arctic rapidly changing, the needs to observe, understand, and model the changes are essential. To support these needs, an annual cycle of observations of atmospheric properties, processes, and interactions were made while drifting with the sea ice across the central Arctic during the Multidisciplinary drifting Observatory for the Study of Arctic Climate (MOSAiC) expedition from October 2019 to September 2020. An international team designed and implemented the comprehensive program to document and characterize all aspects of the Arctic atmospheric system in unprecedented detail, using a variety of approaches, and across multiple scales. These measurements were coordinated with other observational teams to explore crosscutting and coupled interactions with the Arctic Ocean, sea ice, and ecosystem through a variety of physical and biogeochemical processes. This overview outlines the breadth and complexity of the atmospheric research program, which was organized into 4 subgroups: atmospheric state, clouds and precipitation, gases and aerosols, and energy budgets. Atmospheric variability over the annual cycle revealed important influences from a persistent large-scale winter circulation pattern, leading to some storms with pressure and winds that were outside the interquartile range of past conditions suggested by long-term reanalysis. Similarly, the MOSAiC location was warmer and wetter in summer than the reanalysis climatology, in part due to its close proximity to the sea ice edge. The comprehensiveness of the observational program for characterizing and analyzing atmospheric phenomena is demonstrated via a winter case study examining air mass transitions and a summer case study examining vertical atmospheric evolution. Overall, the MOSAiC atmospheric program successfully met its objectives and was the most comprehensive atmospheric measurement program to date conducted over the Arctic sea ice. The obtained data will support a broad range of coupled-system scientific research and provide an important foundation for advancing multiscale modeling capabilities in the Arctic.</t>
  </si>
  <si>
    <t>[Shupe, Matthew D.; Blomquist, Byron; Persson, P. Ola G.; Bariteau, Ludovic; Calmer, Radiance; Cassano, John; Costa, David; de Boer, Gijs; Gallagher, Michael R.; Hamilton, Jonathan; Howard, Dean; Jozef, Gina; Solomon, Amy] Univ Colorado, Cooperat Inst Res Environm Sci, Boulder, CO 80309 USA; [Shupe, Matthew D.; Blomquist, Byron; Persson, P. Ola G.; Uttal, Taneil; Bariteau, Ludovic; Costa, David; Cox, Christopher J.; de Boer, Gijs; Gallagher, Michael R.; Hamilton, Jonathan; Howard, Dean; Morris, Sara; Osborn, Jackson; Solomon, Amy] NOAA, Phys Sci Lab, Boulder, CO 80305 USA; [Rex, Markus; Dahlke, Sandro; Deckelmann, Holger; Dethloff, Klaus; Graeser, Juergen; Jaiser, Ralf; Maturilli, Marion; Rinke, Annette; Schulz, Alexander; Sommerfeld, Anja; von der Gathen, Peter] Alfred Wegener Inst, Helmholtz Zentrum Polar &amp; Meeresforsch, Potsdam, Germany; [Schmale, Julia; Angot, Helene; Beck, Ivo] Ecole Polytech Fed Lausanne, Lausanne, Switzerland; [Althausen, Dietrich; Engelmann, Ronny; Griesche, Hannes; Hofer, Julian; Macke, Andreas; Pilz, Christian; Radenz, Martin; Siebert, Holger; Wehner, Birgit] Leibniz Inst Tropospher Res, Leipzig, Germany; [Angot, Helene; Howard, Dean] Univ Colorado, Inst Arctic &amp; Alpine Res, Boulder, CO 80309 USA; [Archer, Stephen; Posman, Kevin] Bigelow Lab Ocean Sci, East Boothbay, ME USA; [Bilberry, John; Chu, David; Ortega, Paul; Powers, Heath; Viegas, Juarez] Los Alamos Natl Lab, Los Alamos, NM USA; [Bucci, Silvia; Duetsch, Marina; Stohl, Andreas] Univ Vienna, Dept Meteorol &amp; Geophys, Vienna, Austria; [Buck, Clifton; Marsay, Christopher] Univ Georgia, Skidaway Inst Oceanog, Savannah, GA USA; [Boyer, Matt; Brasseur, Zoe; Jokinen, Tuija; Laurila, Tiia; Petaja, Tuukka; Quelever, Lauriane] Univ Helsinki, Fac Sci, Inst Atmospher &amp; Earth Syst Res, Helsinki, Finland; [Brooks, Ian M.] Univ Leeds, Leeds, W Yorkshire, England; [Calmer, Radiance; Cassano, John; Jozef, Gina] Univ Colorado, Natl Snow &amp; Ice Data Ctr, Boulder, CO 80309 USA; [Cassano, John; Jozef, Gina] Univ Colorado, Dept Atmospher &amp; Ocean Sci, Boulder, CO 80309 USA; [Castro, Vagner] Pacific Northwest Natl Lab, Richland, WA 99352 USA; [Creamean, Jessie] Colorado State Univ, Ft Collins, CO 80523 USA; [Crewell, Susanne; Ebell, Kerstin; Mech, Mario] Univ Cologne, Inst Geophys &amp; Meteorol, Cologne, Germany; [Damm, Ellen; Fong, Allison A.; Herber, Andreas; Krumpen, Thomas; Luepkes, Christof; Nicolaus, Marcel; Rabe, Benjamin; Werner, Martin] Alfred Wegener Inst, Helmholtz Zentrum Polar &amp; Meeresforsch, Bremerhaven, Germany; [de Boer, Gijs] Univ Colorado, Integrated Remote &amp; In Situ Sensing, Boulder, CO 80309 USA; [Ehrlich, Andre; Klingebiel, Marcus; Lonardi, Michael; Maahn, Maximilian; Wendisch, Manfred] Univ Leipzig, Leipzig Inst Meteorol, Leipzig, Germany; [Ellis, Jody; Greenamyer, Vernon; King, Wessley] Hamelmann Commun, Pagosa Springs, CO USA; [Frey, Markus M.; Kirchgaessner, Amelie] British Antarctic Survey, Nat Environm Res Council, Cambridge, England; [Ganzeveld, Laurens] Wageningen Univ, Wageningen, Netherlands; [Gradinger, Rolf] Arctic Univ Norway, UiT, Langnes, Norway; [Griffiths, Steele] Australian Bur Meteorol, Melbourne, Vic, Australia; [Heinemann, Guenther; Preusser, Andreas] Univ Trier, Dept Environm Meteorol, Trier, Germany; [Helmig, Detlev] Boulder AIR LLC, Boulder, CO USA; [Heuze, Celine] Univ Gothenburg, Dept Earth Sci, Gothenburg, Sweden; [Houchens, Todd] Sandia Natl Labs, POB 5800, Albuquerque, NM 87185 USA; [Inoue, Jun] Natl Inst Polar Res, Tachikawa, Tokyo, Japan; [Inoue, Jun] Japan Agcy Marine Earth Sci &amp; Technol, Yokohama, Kanagawa, Japan; [Jacobi, Hans-Werner] Univ Grenoble Alpes, Inst Geosci &amp; Environm Res, CNRS, IRD G INP, Grenoble, France; [Jourdan, Olivier] Univ Clermont Auvergne, Lab Meteorol Phys, LaMP CNRS UCA, Clermont Ferrand, France; [Krassovski, Misha] Oak Ridge Natl Lab, Oak Ridge, TN USA; [Lampert, Astrid; Paetzold, Falk; Sachs, Torsten] TU Braunschweig, Inst Flight Guidance, Braunschweig, Germany; [Landing, William] Florida State Univ, Tallahassee, FL 32306 USA; [Lawrence, Dale] Univ Colorado, Res &amp; Engn Ctr Unmanned Vehicles, Boulder, CO 80309 USA; [Lawrence, Dale] Univ Colorado, Aerosp Engn Sci, Boulder, CO 80309 USA; [Loose, Brice] Univ Rhode Isl, Kingston, RI 02881 USA; [Maslowski, Wieslaw] Naval Postgrad Sch, Monterey, CA USA; [Moser, Manuel; Voigt, Christiane] Deutsch Zentrum Luft &amp; Raumfahrt DLR, Inst Phys Atmosphere, Oberpfaffenhofen, Germany; [Moser, Manuel; Voigt, Christiane] Johannes Gutenberg Univ Mainz, Inst Phys Atmosphere, Mainz, Germany; [Perovich, Donald K.] Dartmouth Coll, Thayer Sch Engn, Hanover, NH 03755 USA; [Pirazzini, Roberta] Finnish Meteorol Inst, Helsinki, Finland; [Pratt, Kerri A.] Univ Michigan, Ann Arbor, MI 48109 USA; [Sachs, Torsten] GFZ German Res Ctr Geosci, Potsdam, Germany; [Silva, Tercio] Univ Acores, Ponta Delgado, Portugal; [Spreen, Gunnar] Univ Bremen, Inst Environm Phys, Bremen, Germany; [Stephens, Mark] Florida Int Univ, Miami, FL 33199 USA; [Svensson, Gunilla] Stockholm Univ, Stockholm, Sweden; [Uin, Janek] Brookhaven Natl Lab, Upton, NY 11973 USA; [Welker, Jeffrey M.] Univ Alaska Anchorage, Anchorage, AK USA; [Welker, Jeffrey M.] Univ Oulu, Oulu, Finland; [Xie, ZhouQing; Yue, Fange] Univ Sci &amp; Technol China, Dept Environm Sci &amp; Engn, Hefei, Peoples R China</t>
  </si>
  <si>
    <t>University of Colorado System; University of Colorado Boulder; National Oceanic Atmospheric Admin (NOAA) - USA; Helmholtz Association; Alfred Wegener Institute, Helmholtz Centre for Polar &amp; Marine Research; Swiss Federal Institutes of Technology Domain; Ecole Polytechnique Federale de Lausanne; Leibniz Institut fur Tropospharenforschung (TROPOS); University of Colorado System; University of Colorado Boulder; Bigelow Laboratory for Ocean Sciences; United States Department of Energy (DOE); Los Alamos National Laboratory; University of Vienna; University System of Georgia; University of Georgia; Skidaway Institute of Oceanography; University of Helsinki; University of Leeds; University of Colorado System; University of Colorado Boulder; University of Colorado System; University of Colorado Boulder; United States Department of Energy (DOE); Pacific Northwest National Laboratory; Colorado State University; University of Cologne; Helmholtz Association; Alfred Wegener Institute, Helmholtz Centre for Polar &amp; Marine Research; University of Colorado System; University of Colorado Boulder; Leipzig University; UK Research &amp; Innovation (UKRI); Natural Environment Research Council (NERC); NERC British Antarctic Survey; Wageningen University &amp; Research; UiT The Arctic University of Tromso; Bureau of Meteorology - Australia; Universitat Trier; University of Gothenburg; United States Department of Energy (DOE); Sandia National Laboratories; Research Organization of Information &amp; Systems (ROIS); National Institute of Polar Research (NIPR) - Japan; Japan Agency for Marine-Earth Science &amp; Technology (JAMSTEC); Communaute Universite Grenoble Alpes; Universite Grenoble Alpes (UGA); Centre National de la Recherche Scientifique (CNRS); Universite Clermont Auvergne (UCA); United States Department of Energy (DOE); Oak Ridge National Laboratory; Braunschweig University of Technology; State University System of Florida; Florida State University; University of Colorado System; University of Colorado Boulder; University of Colorado System; University of Colorado Boulder; University of Rhode Island; United States Department of Defense; United States Navy; Naval Postgraduate School; Helmholtz Association; German Aerospace Centre (DLR); Johannes Gutenberg University of Mainz; Dartmouth College; Finnish Meteorological Institute; University of Michigan System; University of Michigan; Helmholtz Association; Helmholtz-Center Potsdam GFZ German Research Center for Geosciences; Universidade dos Acores; University of Bremen; State University System of Florida; Florida International University; Stockholm University; United States Department of Energy (DOE); Brookhaven National Laboratory; University of Alaska System; University of Alaska Anchorage; University of Oulu; Chinese Academy of Sciences; University of Science &amp; Technology of China, CAS</t>
  </si>
  <si>
    <t>Shupe, MD (corresponding author), Univ Colorado, Cooperat Inst Res Environm Sci, Boulder, CO 80309 USA.;Shupe, MD (corresponding author), NOAA, Phys Sci Lab, Boulder, CO 80305 USA.</t>
  </si>
  <si>
    <t>matthew.shupe@noaa.gov</t>
  </si>
  <si>
    <t>Frey, Markus/G-1756-2012; Hofer, Julian/JBR-9629-2023; Rex, Markus/A-6054-2009; Jokinen, Tuija/B-3365-2014; Spreen, Gunnar/A-4533-2010; UzK, IGMK/HGU-4003-2022; Morris, Sara/JDW-3016-2023; Rabe, Benjamin/G-2999-2011; Ehrlich, André/H-9670-2013; Petäjä, Tuukka/A-8009-2008; de Boer, Gijs/AAM-2613-2020; Gallagher, Michael/IUO-9753-2023; Stohl, Andreas/A-7535-2008; Lüpkes, Christof/B-4897-2014; Solomon, Amy B/L-8988-2013; Ebell, Kerstin/AAD-2028-2021; Jaiser, Ralf/AAS-3899-2021; Schmale, Julia Yvonne/Q-3942-2019; Voigt, Christiane/G-3279-2010; Wehner, Birgit/C-2650-2014; Wendisch, Manfred/E-4175-2013; Crewell, Susanne/O-1640-2013; Heuzé, Céline/U-5058-2017; Bucci, Silvia/L-1147-2016; amplification, ³ - Arctic/AAU-6640-2020; Creamean, Jessie/GPP-1366-2022; Nicolaus, Marcel/A-3658-2013; Werner, Martin/C-8067-2014; Cassano, John/HKW-8817-2023; Schulz, Alexander/K-8001-2019; Sachs, Torsten/P-8840-2015; Krumpen, Thomas/D-5163-2011; von der Gathen, Peter/B-8515-2009; Ebell, Kerstin/HKW-4264-2023; Maahn, Maximilian/E-8363-2014; Pratt, Kerri/F-8025-2010; Archer, Stephen/H-5490-2012; Rinke, Annette/B-4922-2014; SHUPE, MATTHEW/F-8754-2011; Maturilli, Marion/A-4344-2017</t>
  </si>
  <si>
    <t>Frey, Markus/0000-0003-0535-0416; Rex, Markus/0000-0001-7847-8221; Jokinen, Tuija/0000-0002-1280-1396; Spreen, Gunnar/0000-0003-0165-8448; Morris, Sara/0000-0002-2698-1068; Rabe, Benjamin/0000-0001-5794-9856; Ehrlich, André/0000-0003-0860-8216; Petäjä, Tuukka/0000-0002-1881-9044; de Boer, Gijs/0000-0003-4652-7150; Stohl, Andreas/0000-0002-2524-5755; Ebell, Kerstin/0000-0002-0042-4968; Jaiser, Ralf/0000-0002-5685-9637; Schmale, Julia Yvonne/0000-0002-1048-7962; Wehner, Birgit/0000-0003-0611-4466; Wendisch, Manfred/0000-0002-4652-5561; Crewell, Susanne/0000-0003-1251-5805; Heuzé, Céline/0000-0002-8850-5868; Bucci, Silvia/0000-0002-6251-9444; Nicolaus, Marcel/0000-0003-0903-1746; Werner, Martin/0000-0002-6473-0243; Schulz, Alexander/0000-0002-0739-612X; Krumpen, Thomas/0000-0001-6234-8756; von der Gathen, Peter/0000-0001-7409-1556; Ebell, Kerstin/0000-0002-0042-4968; Maahn, Maximilian/0000-0002-2580-9100; Pratt, Kerri/0000-0003-4707-2290; Archer, Stephen/0000-0001-6054-2424; Mech, Mario/0000-0001-6229-9616; Rinke, Annette/0000-0002-6685-9219; SHUPE, MATTHEW/0000-0002-0973-9982; SOLOMON, AMY/0000-0002-8966-6727; Maturilli, Marion/0000-0001-6818-7383; Uttal, Taneil/0000-0002-4652-2731; Beck, Ivo/0000-0001-9469-3466; Dutsch, Marina/0000-0002-1128-4198; Uin, Janek/0000-0003-2001-0508; Lonardi, Michael/0000-0003-3245-8668; Sachs, Torsten/0000-0002-9959-4771; Klingebiel, Marcus/0000-0002-1544-6668; BARITEAU, LUDOVIC/0000-0001-9451-435X; PERSSON, OLA/0000-0002-6870-7470; Marsay, Christopher/0000-0003-1244-0444; Jacobi, Hans-Werner/0000-0003-2230-3136; Stephens, Mark/0000-0002-2491-4654; Preusser, Andreas/0000-0003-0134-6890</t>
  </si>
  <si>
    <t>German Federal Ministry for Education and Research (BMBF) [N-2014-H060_Dethloff -AWI]; US National Science Foundation Office of Polar Programs [OPP-1724551, OPP-1805569, OPP1807496, OPP-1914781, OPP-1852614, OPP1753423, OPP-1753418, OPP-1753408]; US Department of Energy-Office of Science Atmospheric Radiation Measurement and Atmospheric System Research Programs [DESC0019251, DE-SC0021341, DE-SC0019745, DESC0019172, DE-AC05-76RL01830]; US National Oceanic and Atmospheric Administration Physical Sciences Laboratory; Global Monitoring Laboratory; Global Ocean Monitoring and Observing Program -Deutsche Forschungsgemeinschaft, within the Transregional Collaborative Research Center Arctic Amplification: Climate Relevant Atmospheric and Surface Processes, and Feedback Mechanisms (AC)3 [268020496TRR 172]; Deutsche Forschungsgemeinschaft [LA 2907/111, SA 1884/6-1]; European Regional Development Fund - European Union [ZW 685014470, 730965, 727890]; INTERACT Program-Pan Arctic Precipitation Isotope Network - European Commission [689443]; Swiss National Science Foundation [200021_188478]; Swiss Polar Institute -UK Natural Environment Research Council [NE/S002472/1, NE/S00257X/1]; French National Centre for Scientific Research (CNRS) -Chinese Arctic and Antarctic Administration; National Natural Science Foundation of China [41941014]; Japan Society for the Promotion of Science [JP18H03745, JP18KK0292]; Academy of Finland [318930, 333397, 337549, 329274, 307537]; University of Helsinki [752 84 128]; University of the Arctic Research Chairship (U. Arctic); University of the Arctic Research Chairship (University of Oulu); Academy of Finland (AKA) [333397] Funding Source: Academy of Finland (AKA); NERC [bas0100032, NE/V003925/1, NE/S002472/1] Funding Source: UKRI; U.S. Department of Energy (DOE) [DE-SC0019745] Funding Source: U.S. Department of Energy (DOE)</t>
  </si>
  <si>
    <t>German Federal Ministry for Education and Research (BMBF)(Federal Ministry of Education &amp; Research (BMBF)); US National Science Foundation Office of Polar Programs(National Science Foundation (NSF)); US Department of Energy-Office of Science Atmospheric Radiation Measurement and Atmospheric System Research Programs(United States Department of Energy (DOE)); US National Oceanic and Atmospheric Administration Physical Sciences Laboratory(National Oceanic Atmospheric Admin (NOAA) - USA); Global Monitoring Laboratory; Global Ocean Monitoring and Observing Program -Deutsche Forschungsgemeinschaft, within the Transregional Collaborative Research Center Arctic Amplification: Climate Relevant Atmospheric and Surface Processes, and Feedback Mechanisms (AC)3; Deutsche Forschungsgemeinschaft(German Research Foundation (DFG)); European Regional Development Fund - European Union(European Union (EU)); INTERACT Program-Pan Arctic Precipitation Isotope Network - European Commission; Swiss National Science Foundation(Swiss National Science Foundation (SNSF)); Swiss Polar Institute -UK Natural Environment Research Council; French National Centre for Scientific Research (CNRS) -Chinese Arctic and Antarctic Administration; National Natural Science Foundation of China(National Natural Science Foundation of China (NSFC)); Japan Society for the Promotion of Science(Ministry of Education, Culture, Sports, Science and Technology, Japan (MEXT)Japan Society for the Promotion of Science); Academy of Finland(Research Council of Finland); University of Helsinki; University of the Arctic Research Chairship (U. Arctic); University of the Arctic Research Chairship (University of Oulu); Academy of Finland (AKA)(Research Council of Finland); NERC(UK Research &amp; Innovation (UKRI)Natural Environment Research Council (NERC)); U.S. Department of Energy (DOE)(United States Department of Energy (DOE))</t>
  </si>
  <si>
    <t>This work was funded by -German Federal Ministry for Education and Research (BMBF) through financing the AlfredWegener-Institut Helmholtz Zentrum fur Polarund Meeresforschung (AWI) and the Polarstern expedition PS122 under grant N-2014-H060_Dethloff -AWI through its projects: AWI_ATMO, AWI_ICE, AWI_SNOW -US National Science Foundation Office of Polar Programs (OPP-1724551, OPP-1805569, OPP1807496, OPP-1914781, OPP-1852614, OPP1753423, OPP-1753418, OPP-1753408) -US Department of Energy-Office of Science Atmospheric Radiation Measurement and Atmospheric System Research Programs (DESC0019251, DE-SC0021341, DE-SC0019745, DESC0019172, DE-AC05-76RL01830)-US National Oceanic and Atmospheric Administration Physical Sciences Laboratory, Global Monitoring Laboratory, and Global Ocean Monitoring and Observing Program -Deutsche Forschungsgemeinschaft (268020496TRR 172), within the Transregional Collaborative Research Center Arctic Amplification: Climate Relevant Atmospheric and Surface Processes, and Feedback Mechanisms (AC)3 -Deutsche Forschungsgemeinschaft (LA 2907/111, SA 1884/6-1) -European Regional Development Fund (ZW 685014470) -European Union's Horizon 2020 research and innovation program projects ARICE (grant 730965), INTAROS (grant 727890), INTERACT Program-Pan Arctic Precipitation Isotope Network -European Commission (689443) -Swiss National Science Foundation (grant 200021_188478) and the Swiss Polar Institute -UK Natural Environment Research Council (grant NE/S002472/1, NE/S00257X/1) -French National Centre for Scientific Research (CNRS) -Chinese Arctic and Antarctic Administration and National Natural Science Foundation of China (41941014) -Japan Society for the Promotion of Science (JP18H03745, JP18KK0292) -Academy of Finland (grant 318930, 333397, 337549, 329274, 307537) and University of Helsinki (752 84 128) -University of the Arctic Research Chairship (U. Arctic and the University of Oulu).</t>
  </si>
  <si>
    <t>10.1525/elementa.2021.00060</t>
  </si>
  <si>
    <t>YU2QP</t>
  </si>
  <si>
    <t>Green Submitted, Green Accepted</t>
  </si>
  <si>
    <t>WOS:000751892300001</t>
  </si>
  <si>
    <t>Capo, E; Monchamp, ME; Coolen, MJL; Domaizon, I; Armbrecht, L; Bertilsson, S</t>
  </si>
  <si>
    <t>Capo, Eric; Monchamp, Marie-Eve; Coolen, Marco J. L.; Domaizon, Isabelle; Armbrecht, Linda; Bertilsson, Stefan</t>
  </si>
  <si>
    <t>Environmental paleomicrobiology: using DNA preserved in aquatic sediments to its full potential</t>
  </si>
  <si>
    <t>ANCIENT DNA; COMMUNITIES; NEANDERTHAL; EVOLUTION; SEQUENCES; BACTERIAL; CATALOG; SEA</t>
  </si>
  <si>
    <t>In-depth knowledge about spatial and temporal variation in microbial diversity and function is needed for a better understanding of ecological and evolutionary responses to global change. In particular, the study of microbial ancient DNA preserved in sediment archives from lakes and oceans can help us to evaluate the responses of aquatic microbes in the past and make predictions about future biodiversity change in those ecosystems. Recent advances in molecular genetic methods applied to the analysis of historically deposited DNA in sediments have not only allowed the taxonomic identification of past aquatic microbial communities but also enabled tracing their evolution and adaptation to episodic disturbances and gradual environmental change. Nevertheless, some challenges remain for scientists to take full advantage of the rapidly developing field of paleo-genetics, including the limited ability to detect rare taxa and reconstruct complete genomes for evolutionary studies. Here, we provide a brief review of some of the recent advances in the field of environmental paleomicrobiology and discuss remaining challenges related to the application of molecular genetic methods to study microbial diversity, ecology, and evolution in sediment archives. We anticipate that, in the near future, environmental paleomicrobiology will shed new light on the processes of microbial genome evolution and microbial ecosystem responses to quaternary environmental changes at an unprecedented level of detail. This information can, for example, aid geological reconstructions of biogeochemical cycles and predict ecosystem responses to environmental perturbations, including in the context of human-induced global changes.</t>
  </si>
  <si>
    <t>[Capo, Eric; Bertilsson, Stefan] Swedish Univ Agr Sci, Dept Aquat Sci &amp; Assessment, S-75007 Uppsala, Sweden; [Monchamp, Marie-Eve] McGill Univ, Dept Biol, Montreal, PQ H3A 1B1, Canada; [Monchamp, Marie-Eve] Grp Rech Interuniv Limnol GRIL, Montreal, PQ, Canada; [Coolen, Marco J. L.] Curtin Univ, Sch Earth &amp; Planetary Sci EPS, Inst Geol Res TIGeR, WA OIGC, Bentley, WA 6102, Australia; [Domaizon, Isabelle] Univ Savoie Mt Blanc, CARRTEL, INRAE, F-74200 Thonon Les Bains, France; [Domaizon, Isabelle] UMR CARRTEL, Pole R&amp;D ECLA, F-74200 Thonon Les Bains, France; [Armbrecht, Linda] Univ Tasmania, Inst Marine &amp; Antarctic Studies, Hobart, Tas 7004, Australia; [Armbrecht, Linda] Univ Adelaide, Australian Ctr Ancient DNA, Sch Biol Sci, Adelaide, SA 5005, Australia</t>
  </si>
  <si>
    <t>Swedish University of Agricultural Sciences; McGill University; Curtin University; INRAE; Universite Savoie Mont Blanc; Universite Savoie Mont Blanc; University of Tasmania; University of Adelaide</t>
  </si>
  <si>
    <t>Capo, E (corresponding author), Swedish Univ Agr Sci, Dept Aquat Sci &amp; Assessment, S-75007 Uppsala, Sweden.;Monchamp, ME (corresponding author), McGill Univ, Dept Biol, Montreal, PQ H3A 1B1, Canada.;Monchamp, ME (corresponding author), Grp Rech Interuniv Limnol GRIL, Montreal, PQ, Canada.</t>
  </si>
  <si>
    <t>eric.capo@hotmail.fr; me.monchamp@gmail.com</t>
  </si>
  <si>
    <t>Armbrecht, Linda/GZB-0547-2022; Capo, Eric/H-8362-2018; Coolen, Marco/B-8263-2015; Domaizon, Isabelle/A-2517-2011</t>
  </si>
  <si>
    <t>Capo, Eric/0000-0001-9143-7061; Coolen, Marco/0000-0002-0417-920X; Bertilsson, Stefan/0000-0002-4265-1835; Monchamp, Marie-Eve/0000-0001-5361-5162; Domaizon, Isabelle/0000-0001-9785-3082</t>
  </si>
  <si>
    <t>Swedish Research Council VR [2017-04422]; Swedish Research Council Formas [2018-01031]; Groupe de recherche interuniversitaire en limnologie (GRIL); McGill University; ARC DECRA Fellowship [DE210100929]; Swedish Research Council [2017-04422] Funding Source: Swedish Research Council; Formas [2018-01031] Funding Source: Formas; Australian Research Council [DE210100929] Funding Source: Australian Research Council</t>
  </si>
  <si>
    <t>Swedish Research Council VR(Swedish Research Council); Swedish Research Council Formas(Swedish Research Council Formas); Groupe de recherche interuniversitaire en limnologie (GRIL); McGill University; ARC DECRA Fellowship(Australian Research Council); Swedish Research Council(Swedish Research Council); Formas(Swedish Research Council Formas); Australian Research Council(Australian Research Council)</t>
  </si>
  <si>
    <t>E.C. was supported by a postdoctoral fellowship from the Swedish Research Council VR (grant 2017-04422) and the Swedish Research Council Formas (grant 2018-01031). M.-E.M. was supported by a postdoctoral fellowship from the Groupe de recherche interuniversitaire en limnologie (GRIL) and McGill University. L.A. is supported by an ARC DECRA Fellowship (DE210100929). The authors are very grateful for the work of Dr Marine Vandewalle-Capo in producing the figures presented in this manuscript. The authors warmly thank two anonymous reviewers for their feedback. The authors also thank the members of the sedaDNA scientific society for fruitful discussions about the use of DNA preserved in sedimentary archives.</t>
  </si>
  <si>
    <t>10.1111/1462-2920.15913</t>
  </si>
  <si>
    <t>WOS:000751985800001</t>
  </si>
  <si>
    <t>McCarthy, A; Magri, L; Sauermilch, I; Fox, J; Seton, M; Mohn, G; Tugend, J; Feig, S; Falloon, T; Whittaker, JM</t>
  </si>
  <si>
    <t>McCarthy, Anders; Magri, Luca; Sauermilch, Isabel; Fox, Jodi; Seton, Maria; Mohn, Geoffroy; Tugend, Julie; Feig, Sandrin; Falloon, Trevor; Whittaker, Joanne M.</t>
  </si>
  <si>
    <t>The Louisiade ophiolite: A missing link in the western Pacific</t>
  </si>
  <si>
    <t>TERRA NOVA</t>
  </si>
  <si>
    <t>ONTONG JAVA PLATEAU; ABYSSAL PERIDOTITES; SOUTHWEST PACIFIC; MANTLE BENEATH; SUBDUCTION; TRACE; PETROGENESIS; INDICATORS; TECTONICS; XENOLITHS</t>
  </si>
  <si>
    <t>Recent dredging of a 100 km long ridge along the northernmost part of the Louisiade Plateau (LP) recovered serpentinized peridotites, MORB (mid-ocean-ridge basalt) and volcaniclastic breccia-conglomerates. Clinopyroxene, Cr-spinel and bulk rocks show that the serpentinites are harzburgites to dunites, whereas hornblende phenocrysts from volcaniclastic rocks reflect hydrous, andesitic volcanism. The association of MORB, depleted mantle rocks and fingerprints of hydrous arc magmatism is typical of supra-subduction zone ocean lithosphere formed above a nascent subduction zone. Seismic and high-resolution bathymetry data reveal structures consistent with an extensive east-west elongated ophiolite estimated to have obducted onto the LP between 53 and 80 Ma. This represents a major eastwards continuation of the Papuan Ultramafic Belt and forms a crucial link with ophiolites farther south in New Caledonia, providing support for major subduction initiation events in marginal basins along the northern and eastern margins of Australia and Zealandia in the Palaeocene-Eocene.</t>
  </si>
  <si>
    <t>[McCarthy, Anders; Magri, Luca; Sauermilch, Isabel; Fox, Jodi; Whittaker, Joanne M.] Univ Tasmania, Inst Marine &amp; Antarctic Studies, Hobart, Tas, Australia; [McCarthy, Anders] Swiss Fed Inst Technol, Inst Geochem &amp; Petrol, Zurich, Switzerland; [Sauermilch, Isabel] Univ Utrecht, Fac Geosci, Dept Earth Sci, Utrecht, Netherlands; [Seton, Maria] Univ Sydney, Sch Geosci, EarthByte Grp, Sydney, NSW, Australia; [Mohn, Geoffroy; Tugend, Julie] CY Cergy Paris Unviersite, GEC, Cergy, France; [Feig, Sandrin] Univ Tasmania, Cent Sci Lab, Hobart, Tas, Australia; [Falloon, Trevor] Univ Tasmania, Sch Nat Sci, CODES, Hobart, Tas, Australia; [Falloon, Trevor] Univ Tasmania, Sch Nat Sci, Earth Sci, Hobart, Tas, Australia</t>
  </si>
  <si>
    <t>University of Tasmania; Swiss Federal Institutes of Technology Domain; ETH Zurich; Utrecht University; University of Sydney; University of Tasmania; University of Tasmania; University of Tasmania</t>
  </si>
  <si>
    <t>McCarthy, A (corresponding author), Univ Tasmania, Inst Marine &amp; Antarctic Studies, Hobart, Tas, Australia.</t>
  </si>
  <si>
    <t>anders.mccarthy@erdw.ethz.ch</t>
  </si>
  <si>
    <t>Seton, Maria/H-8272-2013; Feig, Sandrin T/Q-7195-2016; Whittaker, Joanne/B-3695-2010</t>
  </si>
  <si>
    <t>Seton, Maria/0000-0001-8541-1367; Fox, Jodi/0000-0003-2493-6623; Whittaker, Joanne/0000-0002-3170-3935; Magri, Luca/0000-0002-2320-6613</t>
  </si>
  <si>
    <t>ARC [DP180102280, DP200100966]; IODP France; ERC [802835]; Australian Research Council [DP200100966] Funding Source: Australian Research Council; European Research Council (ERC) [802835] Funding Source: European Research Council (ERC)</t>
  </si>
  <si>
    <t>ARC(Australian Research Council); IODP France; ERC(European Research Council (ERC)); Australian Research Council(Australian Research Council); European Research Council (ERC)(European Research Council (ERC)Spanish Government)</t>
  </si>
  <si>
    <t>JMW and MS acknowledge support from ARC, DP180102280 and DP200100966. We thank M. Coffin and the MGDS for making the seismic data available, the RV Investigator crew and Australia's MNF for the success of voyage IN2019_V04. AM acknowledges support from IODP France. IS acknowledges funding from ERC Starting Grant OceaNice #802835. We are thankful for reviews by T. Waight, C. Gaina, L. Doucet and two anonymous reviewers for constructive comments.</t>
  </si>
  <si>
    <t>0954-4879</t>
  </si>
  <si>
    <t>1365-3121</t>
  </si>
  <si>
    <t>Terr. Nova</t>
  </si>
  <si>
    <t>10.1111/ter.12578</t>
  </si>
  <si>
    <t>ZV6VK</t>
  </si>
  <si>
    <t>WOS:000761797200001</t>
  </si>
  <si>
    <t>Lowe, J; Potter, D; Warner, M; Horne, S</t>
  </si>
  <si>
    <t>Lowe, Jonathon; Potter, D.; Warner, M.; Horne, S.</t>
  </si>
  <si>
    <t>Fellowships and defence engagement: from clinical niches to strategic impact</t>
  </si>
  <si>
    <t>BMJ MILITARY HEALTH</t>
  </si>
  <si>
    <t>accident &amp; emergency medicine; medical education &amp; training; health services administration &amp; management</t>
  </si>
  <si>
    <t>Medical fellowships have traditionally developed the individual rather than furthering military or national strategic objectives. This paper describes a medical fellowship with the British Antarctic Survey to illustrate the benefits to the individual, to the military and to wider international defence engagement efforts. By rebranding such fellowships as Defence Healthcare Engagement and by treating international organisations on a par with partner nations, the humble fellowship can facilitate enduring, mutually beneficial healthcare engagement at low cost and with minimal additional resources.</t>
  </si>
  <si>
    <t>[Lowe, Jonathon; Potter, D.; Horne, S.] Derriford Hosp, Emergency Dept, Plymouth PL6 8DH, Devon, England; [Lowe, Jonathon; Warner, M.] British Antarctic Survey Med Unit, Emergency Dept, Plymouth, Devon, England; [Potter, D.; Horne, S.] Acad Dept Mil Emergency Med, Royal Ctr Def Med, Birmingham, W Midlands, England</t>
  </si>
  <si>
    <t>Derriford Hospital; Royal Centre for Defence Medicine</t>
  </si>
  <si>
    <t>Lowe, J (corresponding author), Derriford Hosp, Emergency Dept, Plymouth PL6 8DH, Devon, England.</t>
  </si>
  <si>
    <t>jlowe5@nhs.net</t>
  </si>
  <si>
    <t>Lowe, Jonathon/AEW-2309-2022</t>
  </si>
  <si>
    <t>Lowe, Jonathon/0000-0002-3168-7509; Horne, Simon/0000-0002-5098-7996; Warner, Matthew/0009-0003-7184-3099</t>
  </si>
  <si>
    <t>BMJ PUBLISHING GROUP</t>
  </si>
  <si>
    <t>BRITISH MED ASSOC HOUSE, TAVISTOCK SQUARE, LONDON WC1H 9JR, ENGLAND</t>
  </si>
  <si>
    <t>2633-3767</t>
  </si>
  <si>
    <t>2633-3775</t>
  </si>
  <si>
    <t>BMJ Military Health</t>
  </si>
  <si>
    <t>DEC</t>
  </si>
  <si>
    <t>10.1136/bmjmilitary-2021-002009</t>
  </si>
  <si>
    <t>Medicine, General &amp; Internal</t>
  </si>
  <si>
    <t>General &amp; Internal Medicine</t>
  </si>
  <si>
    <t>DC0G3</t>
  </si>
  <si>
    <t>WOS:000754015200001</t>
  </si>
  <si>
    <t>Evans, BR; Brooks, H; Chirol, C; Kirkham, MK; Moller, I; Royse, K; Spencer, K; Spencer, T</t>
  </si>
  <si>
    <t>Evans, B. R.; Brooks, H.; Chirol, C.; Kirkham, M. K.; Moller, I; Royse, K.; Spencer, K.; Spencer, T.</t>
  </si>
  <si>
    <t>Vegetation interactions with geotechnical properties and erodibility of salt marsh sediments</t>
  </si>
  <si>
    <t>ESTUARINE COASTAL AND SHELF SCIENCE</t>
  </si>
  <si>
    <t>Salt marsh; Vegetation; Sediment; Shear strength; Erodibility; Geomorphology</t>
  </si>
  <si>
    <t>SHEAR-STRENGTH; WAVE POWER; IN-SITU; EROSION; SOIL; STABILITY; BEHAVIOR; SPARTINA; SYSTEMS; JUNCUS</t>
  </si>
  <si>
    <t>Salt marshes provide diverse ecosystem services including coastal protection, habitat provision and carbon sequestration. The loss of salt marshes is a global scale phenomenon, of great socio-economic concern due to the substantial benefits that they provide. However, the causes of spatial variability in marsh loss rates are inadequately understood for the purposes of predicting future ecosystem distributions and functions under global environmental change. This study investigated the relationship between the presence of different saltmarsh plants and the mechanical properties of the underlying substrate that relate to its vulnerability to erosion. Relationships between three halophytes (Puccinellia spp., Spartina spp. and Salicornia spp.) and sediment stability were assessed and compared to unvegetated substrates using in-situ and laboratory tests of substrate geotechnical properties and sediment characteristics. Sampling was conducted at two UK sites with contrasting sedimentology, one sand-dominated and one clay-rich. Sediment samples, collected simultaneously with measurements of shear strength, were analysed for moisture content, particle size and organic, carbonate and mineral compositions. These data were then used to explore the contribution of plant type, alongside the sedimentological parameters, to measured shear strength.Shear strength of the sediment varied between and, to a lesser extent, within sites, with the four cover types having a similar effect on shear strength within sites relative to each other. Sediments covered by Puccinellia spp exhibit the highest shear strength, while bare sediments exhibit the lowest. The effect of vegetation type on shear strength was greater in the coarser sediments of Warton Sands. Surface cover type made a significant contribution to exploratory statistical models developed for the prediction of sediment shear strength. The findings support existing recognition that vegetation can enhance sediment shear strengths but extend the insight reveal differences in this effect that show generality between sedimentological settings. Further, the combination of methods provides insight into the fundamental mechanics by which various measures of sediment stability may be affected by different surface cover types. Cohesion appears to be a more appropriate descriptor sediment erodibility than shear strength or friction angle and is most greatly enhanced by the presence of a fine, fibrous root system such as that of Puccinellia. A more detailed understanding of the multi-scale mechanisms which plants confer strength to substrates is needed to better anticipate their impact on sediment erodibility, and therefore salt marsh vulnerability.</t>
  </si>
  <si>
    <t>[Evans, B. R.] British Antarctic Survey, Madingley Rd, Cambridge CB3 0ET, England; [Evans, B. R.; Spencer, T.] Univ Cambridge, Dept Geog, Cambridge Coastal Res Unit, Downing Pl, Cambridge CB2 3EN, England; [Brooks, H.; Moller, I] Trinity Coll Dublin, Dept Geog, Museum Bldg, Dublin 2, Ireland; [Chirol, C.] Univ Lorraine Nancy, Lorraine, France; [Kirkham, M. K.; Royse, K.] British Geol Survey, Nottingham NG12 5GG, England; [Spencer, K.] Queen Mary Univ London, Sch Geog, Mile End Rd, London E1 4NS, England</t>
  </si>
  <si>
    <t>UK Research &amp; Innovation (UKRI); Natural Environment Research Council (NERC); NERC British Antarctic Survey; University of Cambridge; Trinity College Dublin; Universite de Lorraine; UK Research &amp; Innovation (UKRI); Natural Environment Research Council (NERC); NERC British Geological Survey; University of London; Queen Mary University London</t>
  </si>
  <si>
    <t>Evans, BR (corresponding author), British Antarctic Survey, Madingley Rd, Cambridge CB3 0ET, England.</t>
  </si>
  <si>
    <t>benevans@bas.ac.uk</t>
  </si>
  <si>
    <t>Chirol, Clementine/0000-0003-0932-4725; Spencer, Kate/0000-0001-6621-6945; Evans, Ben/0000-0003-0643-526X; Moller, Iris/0000-0003-1971-2932; Brooks, Helen/0000-0002-8291-4070</t>
  </si>
  <si>
    <t>UKRI Natural Environment Research Council (NERC) grant RESIST-UK [NE/R01082X/1]; European Community [654110]; NERC PhD Studentship [NE/L002507/1]; Collaborative Award in Science and Engineering; British Geological Survey University Funding Initiative (BUFI) [S352]; University of Cambridge; [NE/NO015878/1]; NERC [NE/R01082X/1] Funding Source: UKRI</t>
  </si>
  <si>
    <t>UKRI Natural Environment Research Council (NERC) grant RESIST-UK(UK Research &amp; Innovation (UKRI)Natural Environment Research Council (NERC)); European Community; NERC PhD Studentship(UK Research &amp; Innovation (UKRI)Natural Environment Research Council (NERC)); Collaborative Award in Science and Engineering; British Geological Survey University Funding Initiative (BUFI); University of Cambridge(University of Cambridge); ; NERC(UK Research &amp; Innovation (UKRI)Natural Environment Research Council (NERC))</t>
  </si>
  <si>
    <t>We would like to acknowledge the input of Simon Carr, Lee Jones, Olivia Shears, Elizabeth Christie, Andrew Cliff and Keith Ord to this work, alongside the support of the landowners of the sites used. This work was funded by UKRI Natural Environment Research Council (NERC) grant RESIST-UK (grant number NE/R01082X/1). The work described in this publication was supported by the European Community's Horizon 2020 Research and Innovation Programme through the grant to HYDRALA-PLUS, Contract no. 654110 and is a contribution to UKRI NERC Physical and Biological dynamic coastal processes and their role in coastal recovery (BLUE-coast), Grant Award Number: NE/NO015878/1. Further support was provided by NERC PhD Student-ship (NE/L002507/1; 2016-2020), a Collaborative Award in Science and Engineering with the British Geological Survey University Funding Initiative (BUFI) PhD studentship (S352 and the University of Cambridge in the form of additional funds to address COVID-19-related delays. This paper is published with permission of the Executive Director of the British Geological Survey.</t>
  </si>
  <si>
    <t>0272-7714</t>
  </si>
  <si>
    <t>1096-0015</t>
  </si>
  <si>
    <t>ESTUAR COAST SHELF S</t>
  </si>
  <si>
    <t>Estuar. Coast. Shelf Sci.</t>
  </si>
  <si>
    <t>FEB 5</t>
  </si>
  <si>
    <t>10.1016/j.ecss.2021.107713</t>
  </si>
  <si>
    <t>0X4VA</t>
  </si>
  <si>
    <t>WOS:000789705000005</t>
  </si>
  <si>
    <t>Mardones, O; Oyarzún-Salazar, R; Labbé, BS; Miguez, JM; Vargas-Chacoff, L; Muñoz, JLP</t>
  </si>
  <si>
    <t>Mardones, O.; Oyarzun-Salazar, R.; Labbe, B. S.; Miguez, J. M.; Vargas-Chacoff, L.; Munoz, J. L. P.</t>
  </si>
  <si>
    <t>Intestinal variation of serotonin, melatonin, and digestive enzymes activities along food passage time through GIT in Salmo salar fed with supplemented diets with tryptophan and melatonin</t>
  </si>
  <si>
    <t>Digestive enzymes; Food passage; L-tryptophan; Melatonin; Serotonin; Salmo salar</t>
  </si>
  <si>
    <t>TROUT ONCORHYNCHUS-MYKISS; SEABREAM SPARUS-AURATA; CIRCADIAN CLOCKS; CHRONIC STRESS; DAILY RHYTHMS; GUT; SECRETION; FISH; PHYSIOLOGY; PROTEASES</t>
  </si>
  <si>
    <t>In teleosts, peripheral serotonin (5-HT) and melatonin (MEL) are synthesised in the gastrointestinal tract (GIT) and regulate secretion and motility processes. Their production is regulated by diet and the passage of food through the GIT. This study aimed to evaluate how intestinal 5-HT, melatonin, and the activity of digestive enzymes varied with food passage time through GIT in Atlantic salmon (Salmo salar). We fed fish diets supplemented with tryptophan and melatonin (L-Trp 2.5% and MEL 0.01%) and measured the activity of digestive enzymes (amylase, lipase, and total protease) in the pyloric caeca, midgut, and hindgut at different times after feeding. 5-HT levels increased in all GIT portions and diets at 120 min post-intake and were highest in the pyloric caeca. Intestinal enzymatic activity was varied with diet, post-intake time and in different intestinal portions. In conclusion, food passage time directly affects GIT 5-HT secretion and digestive enzyme activity in S. salar, and diet composition regulates S. salar GIT function.</t>
  </si>
  <si>
    <t>[Mardones, O.; Labbe, B. S.; Munoz, J. L. P.] Univ Los Lagos, Ctr Invest &amp; Desarrollo I Mar, Puerto Montt, Chile; [Oyarzun-Salazar, R.; Vargas-Chacoff, L.] Univ Austral Chile, Inst Ciencias Marinas &amp; Limnol, Valdivia, Chile; [Oyarzun-Salazar, R.; Vargas-Chacoff, L.] Univ Austral Chile, Ctr Fondap IDEAL, Valdivia, Chile; [Vargas-Chacoff, L.] Univ Austral Chile, Millennium Inst Biodivers Antarctic &amp; Subantarcti, BASE, Valdivia, Chile; [Labbe, B. S.] Univ Los Lagos, Programa Magister Ciencias Menc manejo Prod Manej, Puerto Montt, Chile; [Miguez, J. M.] Univ Vigo, Fac Biol, Lab Fisiol Peces, Vigo, Spain</t>
  </si>
  <si>
    <t>Universidad de Los Lagos; Universidad Austral de Chile; Universidad Austral de Chile; Universidad Austral de Chile; Universidad de Los Lagos; Universidade de Vigo</t>
  </si>
  <si>
    <t>Muñoz, JLP (corresponding author), Univ Los Lagos, Ctr Invest &amp; Desarrollo I Mar, Puerto Montt, Chile.;Vargas-Chacoff, L (corresponding author), Univ Austral Chile, Inst Ciencias Marinas &amp; Limnol, Valdivia, Chile.</t>
  </si>
  <si>
    <t>luis.vargas@uach.cl; joseluis.munoz@ulagos.cl</t>
  </si>
  <si>
    <t>Oyarzún-Salazar, Ricardo/HGU-6035-2022; Perez, Jose Luis JLP munoz Muñoz/D-7774-2013</t>
  </si>
  <si>
    <t>Munoz Perez, Jose Luis/0000-0002-4645-0176; Oyarzun-Salazar, Ricardo/0000-0003-3177-399X</t>
  </si>
  <si>
    <t>Fondecyt [1190857, 1180957]; FONDAP IDEAL [15150003]; Direccion de Investigacion of the Universidad de Los Lagos</t>
  </si>
  <si>
    <t>Fondecyt(Comision Nacional de Investigacion Cientifica y Tecnologica (CONICYT)CONICYT FONDECYT); FONDAP IDEAL; Direccion de Investigacion of the Universidad de Los Lagos</t>
  </si>
  <si>
    <t>This study was carried out within the framework of Fondecyt 1190857, 1180957, FONDAP IDEAL 15150003. The authors also acknowledge the Direccion de Investigacion of the Universidad de Los Lagos for their support (Translation/Edition of Publications) .</t>
  </si>
  <si>
    <t>10.1016/j.cbpa.2022.111159</t>
  </si>
  <si>
    <t>1D3XY</t>
  </si>
  <si>
    <t>WOS:000793738200002</t>
  </si>
  <si>
    <t>York, JM; Zakon, HH</t>
  </si>
  <si>
    <t>York, Julia M.; Zakon, Harold H.</t>
  </si>
  <si>
    <t>Evolution of Transient Receptor Potential (TRP) Ion Channels in Antarctic Fishes (Cryonotothenioidea) and Identification of Putative Thermosensors</t>
  </si>
  <si>
    <t>GENOME BIOLOGY AND EVOLUTION</t>
  </si>
  <si>
    <t>notothenioids; TRP channels; Antarctica; cold evolution</t>
  </si>
  <si>
    <t>MULTIPLE SEQUENCE ALIGNMENT; TELEOST FISHES; TEMPERATURE ACTIVATION; PHYLOGENETIC ANALYSIS; NOTOTHENIOID FISHES; THERMAL SENSITIVITY; CAPSAICIN RECEPTOR; COLD-DENATURATION; HEAT ACTIVATION; CLIMATE-CHANGE</t>
  </si>
  <si>
    <t>Animals rely on their sensory systems to inform them of ecologically relevant environmental variation. In the Southern Ocean, the thermal environment has remained between -1.9 and 5 degrees C for 15 Myr, yet we have no knowledge of how an Antarctic marine organism might sense their thermal habitat as we have yet to discover a thermosensitive ion channel that gates (opens/closes) below 10 degrees C. Here, we investigate the evolutionary dynamics of transient receptor potential (TRP) channels, which are the primary thermosensors in animals, within cryonotothenioid fishes-the dominant fish fauna of the Southern Ocean. We found cryonotothenioids have a similar complement of TRP channels as other teleosts (similar to 28 genes). Previous work has shown that thermosensitive gating in a given channel is species specific, and multiple channels act together to sense the thermal environment. Therefore, we combined evidence of changes in selective pressure, gene gain/loss dynamics, and the first sensory ganglion transcriptome in this clade to identify the best candidate TRP channels that might have a functional dynamic range relevant for frigid Antarctic temperatures. We concluded that TRPV1a, TRPA1b, and TRPM4 are the likeliest putative thermosensors, and found evidence of diversifying selection at sites across these proteins. We also put forward hypotheses for molecular mechanisms of other cryonotothenioid adaptations, such as reduced skeletal calcium deposition, sensing oxidative stress, and unusual magnesium homeostasis. By completing a comprehensive and unbiased survey of these genes, we lay the groundwork for functional characterization and answering long-standing thermodynamic questions of thermosensitive gating and protein adaptation to low temperatures.</t>
  </si>
  <si>
    <t>[York, Julia M.; Zakon, Harold H.] Univ Texas Austin, Dept Integrat Biol, Austin, TX 78712 USA</t>
  </si>
  <si>
    <t>University of Texas System; University of Texas Austin</t>
  </si>
  <si>
    <t>York, JM (corresponding author), Univ Texas Austin, Dept Integrat Biol, Austin, TX 78712 USA.</t>
  </si>
  <si>
    <t>juliayork@utexas.edu</t>
  </si>
  <si>
    <t>Zakon, Harold/JUF-2415-2023; York, Julia M/AAJ-9145-2021</t>
  </si>
  <si>
    <t>York, Julia/0000-0003-4947-0591</t>
  </si>
  <si>
    <t>National Science Foundation Office of Polar Programs [1443637]; Stengl-Wyer Endowment at the University of Texas at Austin; Directorate For Geosciences; Office of Polar Programs (OPP) [1443637] Funding Source: National Science Foundation</t>
  </si>
  <si>
    <t>National Science Foundation Office of Polar Programs(National Science Foundation (NSF)NSF - Directorate for Geosciences (GEO)); Stengl-Wyer Endowment at the University of Texas at Austin; Directorate For Geosciences; Office of Polar Programs (OPP)(National Science Foundation (NSF)NSF - Directorate for Geosciences (GEO))</t>
  </si>
  <si>
    <t>This work was supported by the National Science Foundation Office of Polar Programs (Grant No. 1443637 to H.H.Z.); and the Stengl-Wyer Endowment at the University of Texas at Austin. The authors would like to thank Kevin Bilyk, Michael Peters, Chris Cheng, and Iliana Bista for providing sequence data; Lloyd Peck and Melody Clark for providing the Harpagiferantarcticus for dissections; Hans Hofmann and Isaac Miller-Crews for providing the Astatotilapiaburtoni for dissections; Anne Chambers, Justin Havird, Misha Matz, Becca Young, and Sergei Pond for assistance with the bioinformatics; Chris Cheng, Andres Jara-Oseguera, Hans Hofmann, Sam Smith, Steve Phelps, and Joel Tripp for comments on the manuscript.</t>
  </si>
  <si>
    <t>1759-6653</t>
  </si>
  <si>
    <t>GENOME BIOL EVOL</t>
  </si>
  <si>
    <t>Genome Biol. Evol.</t>
  </si>
  <si>
    <t>FEB 4</t>
  </si>
  <si>
    <t>evac009</t>
  </si>
  <si>
    <t>10.1093/gbe/evac009</t>
  </si>
  <si>
    <t>Evolutionary Biology; Genetics &amp; Heredity</t>
  </si>
  <si>
    <t>ZR4IF</t>
  </si>
  <si>
    <t>WOS:000767748100002</t>
  </si>
  <si>
    <t>Chown, SL; Bergstrom, DM; Houghton, M; Kiefer, K; Terauds, A; Leihy, RI</t>
  </si>
  <si>
    <t>Chown, Steven L.; Bergstrom, Dana M.; Houghton, Melissa; Kiefer, Kate; Terauds, Aleks; Leihy, Rachel I.</t>
  </si>
  <si>
    <t>Invasive species impacts on sub-Antarctic Collembola support the Antarctic climate-diversity-invasion hypothesis</t>
  </si>
  <si>
    <t>SOIL BIOLOGY &amp; BIOCHEMISTRY</t>
  </si>
  <si>
    <t>Antarctica; Invasion impacts; Neutral theory; Springtail; Turnover</t>
  </si>
  <si>
    <t>HEARD ISLAND; BIOLOGICAL INVASIONS; CHANGE RESPONSES; MARION ISLAND; COMMUNITIES; TERRESTRIAL; BIODIVERSITY; CHALLENGES; HABITAT; MICROARTHROPODS</t>
  </si>
  <si>
    <t>The Antarctic climate-diversity-invasion hypothesis (ACDI) predicts that in Antarctic soil systems, climate change should lead to increases in the abundance and diversity of indigenous assemblages. Where biological invasions have occurred, however, invasive alien species should have negative effects on indigenous faunal assemblages. To assess these predictions, we provide the first systematic ecological survey of the Collembola assemblages of pristine, sub-Antarctic Heard Island (53.1?degrees S, 73.5?degrees E) and compare the results to similarly conducted surveys of three other sub-Antarctic islands (Marion, Prince Edward, and Macquarie), characterised by assemblages including invasive Collembola. In particular, we examine differences in densities of three indigenous species (Cryptopygus antarcticus, Mucrosomia caeca, Tullbergia bisetosa) shared between the invaded islands and Heard Island. On average, density of these species was four or more-fold significantly lower on the invaded islands than on uninvaded Heard Island. Yet mean assemblage densities of springtails, accounting for variation among vegetation communities, did not differ substantially or significantly among the islands, suggesting that compensatory dynamics may be a feature of these systems. The invasion impact prediction of the ACDI is therefore supported. On Heard Island, indigenous assemblage variation is strongly related to vegetation community and less so to elevation, in keeping with investigations of Collembola assemblage variation elsewhere across the Antarctic. These findings, in the context of field experimental and physiological data on Collembola from the region, suggest that the climate-diversity predictions of the ACDI will play out in different ways across the Antarctic, depending on whether precipitation increases or decreases as climates change.</t>
  </si>
  <si>
    <t>[Chown, Steven L.; Leihy, Rachel I.] Monash Univ, Sch Biol Sci, Securing Antarcticas Environm Future, Clayton, Vic 3800, Australia; [Bergstrom, Dana M.; Houghton, Melissa; Kiefer, Kate; Terauds, Aleks] Dept Agr Water &amp; Environm, Australian Antarctic Div, Kingston, Tas 7050, Australia; [Bergstrom, Dana M.] Univ Wollongong, Global Challenges Program, Wollongong, NSW 2522, Australia; [Houghton, Melissa] Dept Nat Resources &amp; Environm Tasmania, New Town, Tas 7008, Australia; [Leihy, Rachel I.] Arthur Rylah Inst Environm Res, Dept Environm Land Water &amp; Planning, Heidelberg, Vic 3084, Australia</t>
  </si>
  <si>
    <t>Monash University; Australian Antarctic Division; University of Wollongong; Arthur Rylah Institute for Environmental Research (ARI)</t>
  </si>
  <si>
    <t>Chown, SL (corresponding author), Monash Univ, Sch Biol Sci, Securing Antarcticas Environm Future, Clayton, Vic 3800, Australia.</t>
  </si>
  <si>
    <t>Steven.Chown@monash.edu</t>
  </si>
  <si>
    <t>Terauds, Aleks/A-4991-2010; Houghton, Melissa/IZE-8544-2023; Chown, Steven/ABD-7646-2021; Chown, Steven/H-3347-2011</t>
  </si>
  <si>
    <t>Kiefer, Kathryn/0000-0001-6098-5372; Houghton, Melissa/0000-0001-7256-5711; Leihy, Rachel/0000-0001-9672-625X; Chown, Steven/0000-0001-6069-5105; Terauds, Aleks/0000-0001-7804-6648</t>
  </si>
  <si>
    <t>Australian Antarctic Science Projects [1015, 4024]; Australian Antarctic Division; ARC SRIEAS Grant [SR200100005]; Australian Research Council [SR200100005] Funding Source: Australian Research Council</t>
  </si>
  <si>
    <t>Australian Antarctic Science Projects; Australian Antarctic Division; ARC SRIEAS Grant(Australian Research Council); Australian Research Council(Australian Research Council)</t>
  </si>
  <si>
    <t>We thank the members of the 2003/2004 Heard Island expedition for their support and assistance, especially Graeme Denny, Dr Karl Rollins and Denna Kingdom. Four anonymous reviewers provided helpful comments on a previous version. The work was supported by Australian Antarctic Science Projects 1015 and 4024 and by ARC SRIEAS Grant SR200100005 Securing Antarctica's Environmental Future. Logistic support was provided by the Australian Antarctic Division.</t>
  </si>
  <si>
    <t>0038-0717</t>
  </si>
  <si>
    <t>1879-3428</t>
  </si>
  <si>
    <t>SOIL BIOL BIOCHEM</t>
  </si>
  <si>
    <t>Soil Biol. Biochem.</t>
  </si>
  <si>
    <t>10.1016/j.soilbio.2022.108579</t>
  </si>
  <si>
    <t>Soil Science</t>
  </si>
  <si>
    <t>Agriculture</t>
  </si>
  <si>
    <t>0D6CJ</t>
  </si>
  <si>
    <t>WOS:000776080900011</t>
  </si>
  <si>
    <t>Zhao, YS; Zhen, YP</t>
  </si>
  <si>
    <t>Zhao, Yansong; Zhen, Yingpeng</t>
  </si>
  <si>
    <t>Looking for life activity in ionic liquids</t>
  </si>
  <si>
    <t>JOURNAL OF MOLECULAR LIQUIDS</t>
  </si>
  <si>
    <t>Ionic liquid culture medium; Life activity; Algae; Moss; Exploit the earth and the universe</t>
  </si>
  <si>
    <t>CO2 CAPTURE; CATALYSIS</t>
  </si>
  <si>
    <t>Water is important to life activity. Life activity cannot exist without water according to our current knowledge. Biochemical reactions are the fundamentals of life activity. Many materials should be dissolved in water to ensure biochemical reactions happen effectively in living creatures. Water is a solvent in biochemical reactions of life activities for energy and nutrition transfer. However, water is liquid status only at temperature ranging from 0 degrees C to 100 degrees C at 1 atm. This means at 1 atm biochemical reactions for life activity of creatures can happen at temperature normally between 0 degrees C and 100 degrees C. Therefore, in the desert or harsh cold Arctic/Antarctic area on earth, there is no or scant life activity due to lack of liquid status water for energy and nutrition transfer in biochemical reactions of life activity. In addition, due to the same reason, no life activity is found in the universe except for on earth now. Until now, all life activities we have known utilize water as solvent. Ionic liquids (ILs) may change the game rule of life activities cultivation on earth and in the universe. ILs are a kind of salt. Liquid status window of water is from 0 degrees C to 100 degrees C at 1 atm. However, ILs have much wider liquid status window than water. At temperature ranging from-100 degrees C to +500 degrees C, there are liquid status ILs. In addition, many ILs are non-volatile or extremely low volatile. This means that some ILs can be liquid status without any mass loss at a wide temperature range and a wide pressure range. According to our current knowledge, ILs are the unique material with wide liquid status window, which can be liquid status at very low temperature (-100 degrees C) and very high temperature (+500 degrees C). The average temperature at the surface of planets in the solar system is between-201 degrees C and +471 degrees C. ILs can be still liquid status at the average surface temperature of several planets in the solar system. ILs are also good solvent to dissolve organic and/or inorganic materials. According to our current knowledge, life activities need water to transfer energy and nutrition. However, when water is replaced using ILs to transfer energy and nutrition, life activities may happen at a wide temperature range and a wide pressure range on earth, in the solar system, in the galaxy system, and in the universe. In order to look for life activity in ILs based culture medium, several ancient species are utilized in this work, including algae NIVA CHL1, algae NIVA CHL163, and moss MZYS-2101. We found that algae NIVA CHL163 can grow in ionic liquid (IL) 2-[2-hydroxyethyl(methyl)amino] ethanol chloride (MDEACl) based culture medium. In addition, effect of ILs on chlorophyll of moss was investigated by cultivation of moss in IL culture medium. We found that a moss (MZYS-2101) can stay in pure IL MDEACl without any significant green color change of chlorophyll after 5 months. This work is promising for creature cultivation using IL based culture medium. (c) 2021 Elsevier B.V. All rights reserved.</t>
  </si>
  <si>
    <t>[Zhao, Yansong] Western Norway Univ Appl Sci HVL, Fac Engn &amp; Sci, Dept Safety Chem &amp; Biomed Lab Sci, N-5063 Bergen, Norway; [Zhen, Yingpeng] Norwegian Univ Sci &amp; Technol NTNU, Dept Civil &amp; Environm Engn, NO-7491 Trondheim, Norway</t>
  </si>
  <si>
    <t>Western Norway University of Applied Sciences; Norwegian University of Science &amp; Technology (NTNU)</t>
  </si>
  <si>
    <t>Zhao, YS (corresponding author), Western Norway Univ Appl Sci HVL, Fac Engn &amp; Sci, Dept Safety Chem &amp; Biomed Lab Sci, N-5063 Bergen, Norway.</t>
  </si>
  <si>
    <t>yansong.zhao@hvl.no</t>
  </si>
  <si>
    <t>Western Norway University of Applied Sciences, Norwegian Agency for International Cooperation and Quality Enhancement in Higher Education; UH-nett Vest</t>
  </si>
  <si>
    <t>The authors acknowledge Western Norway University of Applied Sciences, Norwegian Agency for International Cooperation and Quality Enhancement in Higher Education (DIKU) , UH-nett Vest for financial support to this R&amp;D project.</t>
  </si>
  <si>
    <t>0167-7322</t>
  </si>
  <si>
    <t>1873-3166</t>
  </si>
  <si>
    <t>J MOL LIQ</t>
  </si>
  <si>
    <t>J. Mol. Liq.</t>
  </si>
  <si>
    <t>10.1016/j.molliq.2021.118185</t>
  </si>
  <si>
    <t>Chemistry, Physical; Physics, Atomic, Molecular &amp; Chemical</t>
  </si>
  <si>
    <t>Chemistry; Physics</t>
  </si>
  <si>
    <t>YY2QJ</t>
  </si>
  <si>
    <t>WOS:000754637300011</t>
  </si>
  <si>
    <t>Cartwright, J; Fraser, AD; Porter-Smith, R</t>
  </si>
  <si>
    <t>Cartwright, Jessica; Fraser, Alexander D.; Porter-Smith, Richard</t>
  </si>
  <si>
    <t>Polar maps of C-band backscatter parameters from the Advanced Scatterometer</t>
  </si>
  <si>
    <t>KATABATIC-WIND INTENSITY; ANTARCTIC ICE-SHEET; SNOW; ANISOTROPY; TRADEOFFS; ASCAT; DEPTH</t>
  </si>
  <si>
    <t>Maps of backscatter anisotropy parameters from the European Organisation for the Exploitation of Meteorological Satellites (EUMETSAT) Advanced Scatterometer (ASCAT), a C-band fan-beam scatterometer, contain unique and valuable data characterising the surface and subsurface of various cryospheric elements, including sea ice and ice sheets. The computational expense and considerable complexity required to produce parameter maps from the raw backscatter data inhibits the wider adoption of ASCAT data. Here, backscatter anisotropy parameter maps gridded at a resolution of 12.5 km per pixel are made available to the community in order to facilitate the exploitation of these parameters for cryospheric applications. These maps have been calculated from the EUMETSAT Level 1B Sigma0 product acquired from ASCAT on board MetOp-A, MetOpB and MetOp-C. The dataset is unique in that it prioritises anisotropy characterisation over temporal resolution and combines ASCAT data from multiple platforms. The parameterisation chosen assumes a linear falloff of backscatter with incidence angle and a fourth-order Fourier series parameterisation of azimuth angle anisotropy. The product (Fraser and Cartwright, 2022) is available at https://doi.org/10.26179/91c9-4783 presented on three timescales depending on orbital platform availability: 5 d (2007 to 2020 - MetOp-A only - suitable for users requiring a long time series), 2 d (2013 to 2020 - MetOp-A and MetOp-B) and 1 d resolution (2019-2020 MetOp -A, MetOp-B and MetOp-C - suitable for users needing both high temporal resolution and detailed anisotropy characterisation). Datasets will be updated annually.</t>
  </si>
  <si>
    <t>[Cartwright, Jessica] Natl Oceanog Ctr, European Way, Southampton SO14 3ZH, Hants, England; [Cartwright, Jessica] Univ Southampton, Natl Oceanog Ctr Southampton, Ocean &amp; Earth Sci, Southampton SO14 3ZH, Hants, England; [Cartwright, Jessica; Fraser, Alexander D.] Univ Tasmania, Antarctic Climate &amp; Ecosyst Cooperat Res Ctr, Private Bag 80, Hobart, Tas 7001, Australia; [Fraser, Alexander D.; Porter-Smith, Richard] Univ Tasmania, Inst Marine &amp; Antarctic Studies, Australian Antarctic Program Partnership, Hobart, Tas, Australia; [Fraser, Alexander D.] Univ Tasmania, Inst Marine &amp; Antarctic Studies, Hobart, Tas, Australia; [Cartwright, Jessica] Spire Global Inc, Glasgow, Lanark, Scotland</t>
  </si>
  <si>
    <t>NERC National Oceanography Centre; University of Southampton; University of Southampton; NERC National Oceanography Centre; University of Tasmania; Antarctic Climate &amp; Ecosystems Cooperative Research Centre (ACE CRC); University of Tasmania; University of Tasmania</t>
  </si>
  <si>
    <t>Cartwright, J (corresponding author), Natl Oceanog Ctr, European Way, Southampton SO14 3ZH, Hants, England.;Cartwright, J (corresponding author), Univ Southampton, Natl Oceanog Ctr Southampton, Ocean &amp; Earth Sci, Southampton SO14 3ZH, Hants, England.;Cartwright, J (corresponding author), Univ Tasmania, Antarctic Climate &amp; Ecosyst Cooperat Res Ctr, Private Bag 80, Hobart, Tas 7001, Australia.;Cartwright, J (corresponding author), Spire Global Inc, Glasgow, Lanark, Scotland.</t>
  </si>
  <si>
    <t>jessica.cartwright@spire.com</t>
  </si>
  <si>
    <t>Fraser, Alexander/AFO-7186-2022</t>
  </si>
  <si>
    <t>Fraser, Alexander/0000-0003-1924-0015; Cartwright, Jessica/0000-0002-7569-9974</t>
  </si>
  <si>
    <t>Natural Environmental Research Council [NE/L002531/1]; Australian Government as part of the Antarctic Climate &amp; Ecosystems Cooperative Research Centre; Australian Research Council's Special Research Initiative for Antarctic Gateway Partnership [SR140300001]; Antarctic Science Collaboration Initiative program [ASCI000002]</t>
  </si>
  <si>
    <t>Natural Environmental Research Council(UK Research &amp; Innovation (UKRI)Natural Environment Research Council (NERC)); Australian Government as part of the Antarctic Climate &amp; Ecosystems Cooperative Research Centre; Australian Research Council's Special Research Initiative for Antarctic Gateway Partnership(Australian Research Council); Antarctic Science Collaboration Initiative program</t>
  </si>
  <si>
    <t>This work was supported by the Natural Environmental Research Council (grant no. NE/L002531/1). This project received grant funding from the Australian Government as part of the Antarctic Climate &amp; Ecosystems Cooperative Research Centre, the Australian Research Council's Special Research Initiative for Antarctic Gateway Partnership (Project ID SR140300001) and the Antarctic Science Collaboration Initiative program (grant no. ASCI000002). This work also contributes to Australian Antarctic Science Project 4301.</t>
  </si>
  <si>
    <t>10.5194/essd-14-479-2022</t>
  </si>
  <si>
    <t>ZD3GO</t>
  </si>
  <si>
    <t>WOS:000758090400001</t>
  </si>
  <si>
    <t>Thompson, N; Salzmann, U; López-Quirós, A; Bijl, PK; Hoem, FS; Etourneau, J; Sicre, MA; Roignant, S; Hocking, E; Amoo, M; Escutia, C</t>
  </si>
  <si>
    <t>Thompson, Nick; Salzmann, Ulrich; Lopez-Quiros, Adrian; Bijl, Peter K.; Hoem, Frida S.; Etourneau, Johan; Sicre, Marie-Alexandrine; Roignant, Sabine; Hocking, Emma; Amoo, Michael; Escutia, Carlota</t>
  </si>
  <si>
    <t>Vegetation change across the Drake Passage region linked to late Eocene cooling and glacial disturbance after the Eocene-Oligocene transition</t>
  </si>
  <si>
    <t>HOLOCENE CLIMATE EVOLUTION; CARBON-ISOTOPE ANALYSES; N-ALKANE DISTRIBUTIONS; NEW-ZEALAND; GEOCHEMICAL PROXIES; MIOCENE SEDIMENTS; CONTINENTAL-SHELF; EAST ANTARCTICA; ORGANIC-MATTER; SEYMOUR ISLAND</t>
  </si>
  <si>
    <t>The role and climatic impact of the opening of the Drake Passage and how it affected both marine and terrestrial environments across the Eocene-Oligocene transition (EOT similar to 34 Ma) period remains poorly understood. Here we present new terrestrial palynomorph data compared with recently compiled lipid biomarker (n-alkane) data from Ocean Drilling Program (ODP) Leg 113, Site 696, drilled on the margin of the South Orkney Microcontinent (SOM) in the Weddell Sea, to investigate changes in terrestrial environments and palaeoclimate across the late Eocene and early Oligocene (similar to 37.6-32.2 Ma). Early late Eocene floras and sporomorph-based climate estimates reveal Nothofagus-dominated forests growing under wet temperate conditions, with mean annual temperature (MAT) and precipitation (MAP) around 12 degrees C and 1802 mm respectively. A phase of latest Eocene terrestrial cooling at 35.5 Ma reveals a decrease in MAT by around 1.4 degrees C possibly linked to the opening of the Powell Basin. This is followed by an increase in reworked Mesozoic sporomorphs together with sedimentological evidence indicating ice expansion to coastal and shelf areas approximately 34.1 Myr ago. However, major changes to the terrestrial vegetation at Site 696 did not take place until the early Oligocene, where there is a distinct expansion of gymnosperms and cryptogams accompanied by a rapid increase in taxon diversity and a shift in terrestrial biomarkers reflecting a change from temperate forests to cool temperate forests following 33.5 Ma. This surprising expansion of gymnosperms and cryptogams is suggested to be linked to environmental disturbance caused by repeat glacial expansion and retreat, which facilitated the proliferation of conifers and ferns. The timing of glacial onset at Site 696 is linked to the global cooling at the EOT, yet the latest Eocene regional cooling cannot directly be linked to the observed vegetation changes. Therefore, our vegetation record provides further evidence that the opening of the Drake Passage and Antarctic glaciation were not contemporaneous, although stepwise cooling in response to the opening of ocean gateways surrounding the Antarctic continent may have occurred prior to the EOT.</t>
  </si>
  <si>
    <t>[Thompson, Nick; Salzmann, Ulrich; Hocking, Emma; Amoo, Michael] Northumbria Univ, Dept Geog &amp; Environm Sci, Newcastle Upon Tyne, Tyne &amp; Wear, England; [Lopez-Quiros, Adrian] Aarhus Univ, Dept Geosci, Hoegh Guldbergs Gade 2, DK-8000 Aarhus C, Denmark; [Lopez-Quiros, Adrian; Etourneau, Johan; Escutia, Carlota] Univ Granada, Inst Andaluz Ciencias Tierra, CSIC, Granada, Spain; [Bijl, Peter K.; Hoem, Frida S.] Univ Utrecht, Dept Earth Sci, Utrecht, Netherlands; [Sicre, Marie-Alexandrine] Univ Paris 06, Sorbonne Univ UPMC, LOCEAN Lab, CNRS,IRD,MNHN, Paris, France; [Roignant, Sabine] Inst Univ Europeen Mer, Plouzane, France</t>
  </si>
  <si>
    <t>Northumbria University; Aarhus University; University of Granada; Consejo Superior de Investigaciones Cientificas (CSIC); CSIC - Instituto Andaluz de Ciencias de la Tierra (IACT); Utrecht University; Institut de Recherche pour le Developpement (IRD); Sorbonne Universite; Museum National d'Histoire Naturelle (MNHN); Centre National de la Recherche Scientifique (CNRS); Universite de Bretagne Occidentale; Institut Universitaire Europeen de la Mer (IUEM)</t>
  </si>
  <si>
    <t>Thompson, N (corresponding author), Northumbria Univ, Dept Geog &amp; Environm Sci, Newcastle Upon Tyne, Tyne &amp; Wear, England.</t>
  </si>
  <si>
    <t>alasdair.thompson@northumbria.ac.uk</t>
  </si>
  <si>
    <t>Escutia, Carlota/B-8614-2015; López Quirós, Adrián/K-6513-2017; Salzmann, Ulrich/H-9929-2017; Hocking, Emma/K-8292-2013</t>
  </si>
  <si>
    <t>López Quirós, Adrián/0000-0002-7522-2834; Bijl, Peter/0000-0002-1710-4012; Hoem, Frida/0000-0002-8834-6799; Salzmann, Ulrich/0000-0001-5598-5327; Hocking, Emma/0000-0002-8925-1695; Thompson, Nick/0000-0002-8407-2647; Sicre, Marie-Alexandrine/0000-0002-5015-1400; Amoo, Michael/0000-0002-1816-9221</t>
  </si>
  <si>
    <t>Natural Environment Research Council from a NERC [NE/S007512/1]; Spanish Ministry of Science and Innovation [CTM2014-60451-C2-1/2-P, CTM2017-89711-C2-1/2-P]; European Union through FEDER funds; European Research Council [802835]; European Research Council (ERC) [802835] Funding Source: European Research Council (ERC)</t>
  </si>
  <si>
    <t>Natural Environment Research Council from a NERC; Spanish Ministry of Science and Innovation(Spanish Government); European Union through FEDER funds(European Union (EU)); European Research Council(European Research Council (ERC)); European Research Council (ERC)(European Research Council (ERC)Spanish Government)</t>
  </si>
  <si>
    <t>Nick Thompson received funding from the Natural Environment Research Council from a NERC-funded Doctoral Training Partnership ONE Planet (grant no. NE/S007512/1). Funding for this research was also provided by the Spanish Ministry of Science and Innovation (grant nos. CTM2014-60451-C2-1/2-P and CTM2017-89711-C2-1/2-P) cofunded by the European Union through FEDER funds. Peter K. Bijl received funding from the European Research Council (OceaNice (grant no. 802835)).</t>
  </si>
  <si>
    <t>10.5194/cp-18-209-2022</t>
  </si>
  <si>
    <t>ZD3CW</t>
  </si>
  <si>
    <t>Green Submitted, Green Published, Green Accepted, gold</t>
  </si>
  <si>
    <t>WOS:000758080800001</t>
  </si>
  <si>
    <t>Moodley, D; Angulo, E; Cuthbert, RN; Leung, B; Turbelin, A; Novoa, A; Kourantidou, M; Heringer, G; Haubrock, PJ; Renault, D; Robuchon, M; Fantle-Lepczyk, J; Courchamp, F; Diagne, C</t>
  </si>
  <si>
    <t>Moodley, Desika; Angulo, Elena; Cuthbert, Ross N.; Leung, Brian; Turbelin, Anna; Novoa, Ana; Kourantidou, Melina; Heringer, Gustavo; Haubrock, Phillip J.; Renault, David; Robuchon, Marine; Fantle-Lepczyk, Jean; Courchamp, Franck; Diagne, Christophe</t>
  </si>
  <si>
    <t>Surprisingly high economic costs of biological invasions in protected areas</t>
  </si>
  <si>
    <t>BIOLOGICAL INVASIONS</t>
  </si>
  <si>
    <t>Invasive alien species; InvaCost; Biodiversity conservation; Monetary impacts; Management actions; Protection status</t>
  </si>
  <si>
    <t>PLANT INVASIONS; FINANCIAL COSTS; SOUTH-AFRICA; MANAGEMENT; ERADICATIONS; INVASIVENESS; SHORTFALLS; DIVERSITY; SCIENCE; IMPACT</t>
  </si>
  <si>
    <t>Biological invasions are one of the main threats to biodiversity within protected areas (PAs) worldwide. Meanwhile, the resilience of PAs to invasions remains largely unknown. Consequently, providing a better understanding of how they are impacted by invasions is critical for informing policy responses and optimally allocating resources to prevention and control strategies. Here we use the InvaCost database to address this gap from three perspectives: (i) characterizing the total reported costs of invasive alien species (IAS) in PAs; (ii) comparing mean observed costs of IAS in PAs and non-PAs; and (iii) evaluating factors affecting mean observed costs of IAS in PAs. Our results first show that, overall, the reported economic costs of IAS in PAs amounted to US$ 22.24 billion between 1975 and 2020, of which US$ 930.61 million were observed costs (already incurred) and US$ 21.31 billion were potential costs (extrapolated or predicted). Expectedly, most of the observed costs were reported for management (73%) but damages were still much higher than expected for PAs (24%); in addition, the vast majority of management costs were reported for reactive, post-invasion actions (84% of management costs, focused on eradication and control). Second, differences between costs in PAs and non-PAs varied among continents and environments. We found significantly higher IAS costs in terrestrial PA environments compared to non-PAs, while regionally, Europe incurred higher costs in PAs and Africa and Temperate Asia incurred higher costs in non-PAs. Third, characterization of drivers of IAS costs within PAs showed an effect of environments (higher costs in terrestrial environments), continents (higher in Africa and South America), taxa (higher in invertebrates and vertebrates than plants) and Human Development Index (higher in more developed countries). Globally, our findings indicate that, counterintuitively, PAs are subject to very high costs from biological invasions. This highlights the need for more resources to be invested in the management of IAS to achieve the role of PAs in ensuring the long term conservation of nature. Accordingly, more spatially-balanced and integrative studies involving both scientists and stakeholders are required.</t>
  </si>
  <si>
    <t>[Moodley, Desika; Novoa, Ana] Czech Acad Sci, Inst Bot, Dept Invas Ecol, CZ-25243 Pruhonice, Czech Republic; [Angulo, Elena; Turbelin, Anna; Courchamp, Franck; Diagne, Christophe] Univ Paris Saclay, CNRS, AgroParisTech, Ecol Syst Evolut, F-91405 Orsay, France; [Cuthbert, Ross N.] Helmholtz Zentrum Ozeanforsch Kiel, GEOMAR, D-24105 Kiel, Germany; [Cuthbert, Ross N.] Queens Univ Belfast, Sch Biol Sci, Belfast BT9 5DL, Northern Irelan, North Ireland; [Leung, Brian] McGill Univ, Dept Biol, Montreal, PQ, Canada; [Kourantidou, Melina] Hellen Ctr Marine Res, Inst Marine Biol Resources &amp; Inland Waters, Athens 16452, Greece; [Kourantidou, Melina] Univ Southern Denmark, Dept Sociol Environm &amp; Business Econ, Degnevej 14, DK-6705 Esbjerg O, Denmark; [Heringer, Gustavo] Univ Fed Lavras UFLA, Dept Ecol &amp; Conservacao, Programa Posgrad Ecol Aplicada, Inst Ciencias Nat, BR-37200900 Lavras, MG, Brazil; [Haubrock, Phillip J.] Univ South Bohemia Ceske Budejovice, Fac Fisheries &amp; Protect Waters, South Bohemian Res Ctr Aquaculture &amp; Biodivers Hy, Zatisi 728-II, Vodnany 38925, Czech Republic; [Haubrock, Phillip J.] Senckenberg Res Inst, Dept River Ecol &amp; Conservat, Nat Hist Museum Frankfurt, Gelnhausen, Germany; [Renault, David] Univ Rennes, CNRS, ECOBIO Ecosyst Biodiversite Evolut, UMR 6553, F-35000 Rennes, France; [Renault, David] Inst Univ France, 1 Rue Descartes, F-75231 Paris 5, France; [Robuchon, Marine] Joint Res Ctr JRC European Commiss, Directorate Sustainable Resources, I-21027 Ispra, VA, Italy; [Fantle-Lepczyk, Jean] Auburn Univ, Sch Forestry &amp; Wildlife Sci, Auburn, AL 36849 USA</t>
  </si>
  <si>
    <t>Czech Academy of Sciences; Institute of Botany of the Czech Academy of Sciences; AgroParisTech; Universite Paris Saclay; Universite Paris Cite; Centre National de la Recherche Scientifique (CNRS); Helmholtz Association; GEOMAR Helmholtz Center for Ocean Research Kiel; Queens University Belfast; McGill University; Hellenic Centre for Marine Research; University of Southern Denmark; Universidade Federal de Lavras; University of South Bohemia Ceske Budejovice; Senckenberg Gesellschaft fur Naturforschung (SGN); Universite de Rennes; Centre National de la Recherche Scientifique (CNRS); CNRS - Institute of Ecology &amp; Environment (INEE); Institut Universitaire de France; European Commission Joint Research Centre; Auburn University System; Auburn University</t>
  </si>
  <si>
    <t>Moodley, D (corresponding author), Czech Acad Sci, Inst Bot, Dept Invas Ecol, CZ-25243 Pruhonice, Czech Republic.</t>
  </si>
  <si>
    <t>desikamoodley29@gmail.com</t>
  </si>
  <si>
    <t>Heringer, Gustavo/AAK-6108-2021; Haubrock, Phillip J/K-5955-2019; Robuchon, Marine/D-4019-2018; Angulo, Elena/A-8107-2013; Novoa, Ana/KHV-9835-2024; Novoa, Ana/F-9034-2016</t>
  </si>
  <si>
    <t>Heringer, Gustavo/0000-0003-2531-4463; Haubrock, Phillip J/0000-0003-2154-4341; Angulo, Elena/0000-0001-5545-4032; Novoa, Ana/0000-0001-7092-3917; Cuthbert, Ross N./0000-0003-2770-254X; Moodley, Desika/0000-0002-0788-2136; Kourantidou, Melina/0000-0001-9595-3354</t>
  </si>
  <si>
    <t>French National Research Agency [ANR-14-CE02-0021]; BNP-Paribas Foundation Climate Initiative; AXA Research Fund Chair of Invasion Biology; BiodivERsA; Belmont-Forum call 2018 on biodiversity scenarios; Czech Academy of Sciences [18-18495S, 19-28807X]; Alexander von Humboldt Foundation; AXA Research Fund Chair of Invasion Biology of University Paris Saclay; BiodivERsA-Belmont Forum Project Alien Scenarios [BMBF/PT DLR 01LC1807C]; Coordenacao de Aperfeicoamento de Pessoal de Nivel Superior - Brasil (Capes); BiodivERsA 'SICS' project [ANR-20-EBI5-0004]; French Polar Institute Paul-Emile Victor [IPEV 136]; long-term research network on biodiversity in Antarctic and sub-Antarctic ecosystems (Zone Atelier InEE-CNRS Antarctique et Terres Australes); Auburn University School of Forestry and Wildlife Sciences; Agence Nationale de la Recherche (ANR) [ANR-20-EBI5-0004] Funding Source: Agence Nationale de la Recherche (ANR)</t>
  </si>
  <si>
    <t>French National Research Agency(Agence Nationale de la Recherche (ANR)); BNP-Paribas Foundation Climate Initiative; AXA Research Fund Chair of Invasion Biology(AXA Research Fund); BiodivERsA; Belmont-Forum call 2018 on biodiversity scenarios; Czech Academy of Sciences(Czech Academy of Sciences); Alexander von Humboldt Foundation(Alexander von Humboldt Foundation); AXA Research Fund Chair of Invasion Biology of University Paris Saclay(AXA Research Fund); BiodivERsA-Belmont Forum Project Alien Scenarios; Coordenacao de Aperfeicoamento de Pessoal de Nivel Superior - Brasil (Capes)(Coordenacao de Aperfeicoamento de Pessoal de Nivel Superior (CAPES)); BiodivERsA 'SICS' project; French Polar Institute Paul-Emile Victor; long-term research network on biodiversity in Antarctic and sub-Antarctic ecosystems (Zone Atelier InEE-CNRS Antarctique et Terres Australes); Auburn University School of Forestry and Wildlife Sciences; Agence Nationale de la Recherche (ANR)(Agence Nationale de la Recherche (ANR))</t>
  </si>
  <si>
    <t>The authors acknowledge the French National Research Agency (ANR-14-CE02-0021) and the BNP-Paribas Foundation Climate Initiative for funding the InvaCost project that allowed the construction of the InvaCost database. The present work was conducted following a workshop funded by the AXA Research Fund Chair of Invasion Biology and is part of the AlienScenarios project funded by BiodivERsA and Belmont-Forum call 2018 on biodiversity scenarios. DM and AN are funded by Grant No. 18-18495S, EXPRO Grant 19-28807X (Czech Science Foundation) and long-term research development project RVO 67985939 (Czech Academy of Sciences). RNC acknowledges funding from the Alexander von Humboldt Foundation. EA's contract comes from the AXA Research Fund Chair of Invasion Biology of University Paris Saclay. CD is funded by the BiodivERsA-Belmont Forum Project Alien Scenarios (BMBF/PT DLR 01LC1807C). GH is supported by Coordenacao de Aperfeicoamento de Pessoal de Nivel Superior -Brasil (Capes). DR is funded by the BiodivERsA `ASICS' project (ANR-20-EBI5-0004, BiodivClim call 2019-2020), the French Polar Institute Paul-Emile Victor (Project IPEV 136 `SUBANTECO'), and the long-term research network on biodiversity in Antarctic and sub-Antarctic ecosystems (Zone Atelier InEE-CNRS Antarctique et Terres Australes). JFL's travel funding to attend the Invacost workshop was provided by the Auburn University School of Forestry and Wildlife Sciences.</t>
  </si>
  <si>
    <t>1387-3547</t>
  </si>
  <si>
    <t>1573-1464</t>
  </si>
  <si>
    <t>BIOL INVASIONS</t>
  </si>
  <si>
    <t>Biol. Invasions</t>
  </si>
  <si>
    <t>10.1007/s10530-022-02732-7</t>
  </si>
  <si>
    <t>3D1NT</t>
  </si>
  <si>
    <t>WOS:000751228800001</t>
  </si>
  <si>
    <t>Gianni, GM; Navarrete, CR</t>
  </si>
  <si>
    <t>Gianni, Guido M.; Navarrete, Cesar R.</t>
  </si>
  <si>
    <t>Catastrophic slab loss in southwestern Pangea preserved in the mantle and igneous record</t>
  </si>
  <si>
    <t>NATURE COMMUNICATIONS</t>
  </si>
  <si>
    <t>SOUTHERN SOUTH-AMERICA; U-PB SHRIMP; MAMIL-CHOIQUE GRANITOIDS; SHEAR-VELOCITY MODEL; CHOIYOI-GROUP; HF-ISOTOPE; GEOCHEMICAL CHARACTERISTICS; ARGENTINA IMPLICATIONS; TECTONIC SIGNIFICANCE; ANTARCTIC PENINSULA</t>
  </si>
  <si>
    <t>The origin of the Permian-Triassic Choiyoi silicic large igneous province (SLIP) is assessed by linking the igneous record, plate-kinematic reconstructions, and the deep mantle. This study suggests an origin related to a massive slab loss in Pangea. The Choiyoi Magmatic Province represents a major episode of silicic magmatism in southwestern Pangea in the mid-Permian-Triassic, the origin of which remains intensely debated. Here, we integrate plate-kinematic reconstructions and the lower mantle slab record beneath southwestern Pangea that provide clues on late Paleozoic-Mesozoic subducting slab configurations. Also, we compile geochronological information and analyze geochemical data using tectono-magmatic discrimination diagrams. We demonstrate that this magmatic event resulted from a large-scale slab loss. This is supported by a paleogeographic coincidence between a reconstructed 2,800-3,000-km-wide slab gap and the Choiyoi Magmatic Province and geochemical data indicating a slab break-off fingerprint in the latter. The slab break-off event is compatible with Permian paleogeographic modifications in southwestern Pangea. These findings render the Choiyoi Magmatic Province the oldest example of a geophysically constrained slab loss event and open new avenues to assess the geodynamic setting of silicic large igneous provinces back to the late Paleozoic.</t>
  </si>
  <si>
    <t>[Gianni, Guido M.; Navarrete, Cesar R.] Consejo Nacl Invest Cient &amp; Tecn CONICET, Buenos Aires, Argentina; [Gianni, Guido M.; Navarrete, Cesar R.] Univ Nacl Patagonia San Juan Bosco, Dept Geol, FCN, Lab Patagon Petrotecton, Comodoro Rivadavia, Chubut, Argentina; [Gianni, Guido M.] Univ Nacl San Juan, Inst Geofis Sismol Ing Fernando Volponi IGSV, San Juan, Argentina</t>
  </si>
  <si>
    <t>Consejo Nacional de Investigaciones Cientificas y Tecnicas (CONICET); Universidad Nacional de la Patagonia San Juan Bosco; Universidad Nacional de San Juan</t>
  </si>
  <si>
    <t>Gianni, GM (corresponding author), Consejo Nacl Invest Cient &amp; Tecn CONICET, Buenos Aires, Argentina.;Gianni, GM (corresponding author), Univ Nacl Patagonia San Juan Bosco, Dept Geol, FCN, Lab Patagon Petrotecton, Comodoro Rivadavia, Chubut, Argentina.;Gianni, GM (corresponding author), Univ Nacl San Juan, Inst Geofis Sismol Ing Fernando Volponi IGSV, San Juan, Argentina.</t>
  </si>
  <si>
    <t>guidogianni22@gmail.com</t>
  </si>
  <si>
    <t>Navarrete, Cesar/0000-0001-7106-3672; Gianni, Guido Martin/0000-0001-9036-0621</t>
  </si>
  <si>
    <t>CONICET; Universidad Nacional de la Patagonia San Juan Bosco [1331, 1399]</t>
  </si>
  <si>
    <t>CONICET(Consejo Nacional de Investigaciones Cientificas y Tecnicas (CONICET)); Universidad Nacional de la Patagonia San Juan Bosco</t>
  </si>
  <si>
    <t>This study was supported by CONICET and the Universidad Nacional de la Patagonia San Juan Bosco (Grant number: CIUNPAT n degrees 1331 and 1399). We are indebted to Dr. Ross Mitchell and Dr. Suzanne M. Kay for insightful comments to our manuscript and Dr. Kristina Butler and Elaine Keane for English language editing.</t>
  </si>
  <si>
    <t>2041-1723</t>
  </si>
  <si>
    <t>NAT COMMUN</t>
  </si>
  <si>
    <t>Nat. Commun.</t>
  </si>
  <si>
    <t>10.1038/s41467-022-28290-z</t>
  </si>
  <si>
    <t>YT6JP</t>
  </si>
  <si>
    <t>WOS:000751464000018</t>
  </si>
  <si>
    <t>Vernetto, S; Laurenza, M; Storini, M; Zanini, A; Diego, P; Massetti, S; Liberatore, A; Terrazas, C; Vigorito, C; Vallania, P; Cirilli, S</t>
  </si>
  <si>
    <t>Vernetto, S.; Laurenza, M.; Storini, M.; Zanini, A.; Diego, P.; Massetti, S.; Liberatore, A.; Terrazas, C.; Vigorito, C.; Vallania, P.; Cirilli, S.</t>
  </si>
  <si>
    <t>Long term measurements of neutron dose rates at Testa Grigia high altitude research station (3480 m. a.s.l.)</t>
  </si>
  <si>
    <t>RADIATION PHYSICS AND CHEMISTRY</t>
  </si>
  <si>
    <t>Environmental dosimetry; Neutron dosimetry; Cosmic rays; Neutron monitor; Rem counter</t>
  </si>
  <si>
    <t>SPECTROMETRY; RADIATION; SPECTRUM</t>
  </si>
  <si>
    <t>At the Testa Grigia high altitude research Station (3480 m. a.s.l, Italy, 4557' N, 742' E) several dosimetric campaigns for the measurement of the dose due to secondary neutrons produced in the atmosphere and in the surrounding environment by primary cosmic rays have been carried out from 2014 until 2021. Because of the high altitude of the site, the neutron flux at Testa Grigia is 10-15 times higher than at the sea level. Various instruments has been used to evaluate the dependence of the ambient dose equivalent rate from different factors as atmospheric parameters, environmental conditions and solar activity. Moreover, since October 2014 a modular neutron monitor designed, realized and tested by the SVIRCO Observatory Group INAF-IAPS in Rome, is permanently operating in the laboratory, providing a continuous monitoring of primary cosmic ray variability and making the laboratory an ideal place for dosimetric studies, instrument calibration and in field  tests. In this paper the results of several neutron measurements carried out in the last years in periods of different solar activity and environmental conditions are reported, with a discussion on the origin of the observed variations of the ambient dose equivalent rate.</t>
  </si>
  <si>
    <t>[Vernetto, S.; Liberatore, A.; Vallania, P.] INAF OATO, Via Pietro Giuria 1, I-10125 Turin, Italy; [Vernetto, S.; Zanini, A.; Vigorito, C.; Vallania, P.] INFN Sez Torino, Via Pietro Giuria 1, I-10125 Turin, Italy; [Laurenza, M.; Storini, M.; Diego, P.; Massetti, S.] INAF IAPS, Via Fosso Cavaliere 100, I-00133 Rome, Italy; [Terrazas, C.] Univ Mayor San Simon, Dept Fis, Cochabamba, Bolivia; [Vigorito, C.] Univ Torino, Dipartimento Fis, Via P Giuria 1, I-10125 Turin, Italy; [Cirilli, S.] Univ Trieste, Dipartimento Matemat &amp; Geosci, Via Valerio 2, I-34127 Trieste, Italy; [Cirilli, S.] INFN Sez Trieste, Via Valerio 2, I-34127 Trieste, Italy</t>
  </si>
  <si>
    <t>Istituto Nazionale Astrofisica (INAF); Istituto Nazionale di Fisica Nucleare (INFN); Istituto Nazionale Astrofisica (INAF); Universidad Mayor de San Simon; University of Turin; University of Trieste; Istituto Nazionale di Fisica Nucleare (INFN)</t>
  </si>
  <si>
    <t>Vernetto, S (corresponding author), INAF OATO, Via Pietro Giuria 1, I-10125 Turin, Italy.</t>
  </si>
  <si>
    <t>Massetti, Stefano/HMP-1275-2023; Laurenza, Monica/HMD-8729-2023; Liberatore, Alessandro/AAD-2629-2019</t>
  </si>
  <si>
    <t>Massetti, Stefano/0000-0002-7767-1334; Laurenza, Monica/0000-0001-5481-4534; Liberatore, Alessandro/0000-0002-0016-7594; Vernetto, Silvia Teresa/0000-0001-7270-7556</t>
  </si>
  <si>
    <t>Italian National Antarctic Research Program (PNRA); INAF-IAPS</t>
  </si>
  <si>
    <t>Italian National Antarctic Research Program (PNRA)(Ministry of Education, Universities and Research (MIUR)); INAF-IAPS</t>
  </si>
  <si>
    <t>=We thank the Italian National Research Council (CNR) for hosting our instruments at the Testa Grigia research station and in particular Paolo Bonasoni, coordinator of the scientific activities in the laboratory and Eros Mariani, responsible for the maintenance and management of the laboratory and for his logistic and technical support.; The Italian National Antarctic Research Program (PNRA) is acknowledged for the financial support to the design and realization of the modular neutron monitor detector. The SVIRCO Observatory is supported by INAF-IAPS and hosted by the Roma Tre University.; Jungfraujoch neutron monitor data were kindly provided by the Cosmic Ray Group, Physikalisches Institut, University of Bern, Switzerland.; Finally, we are grateful to Edoardo Cremonese of the Regional Environmental Protection Agency (ARPA) for useful discussions on the snow distribution in the Aosta Valley region.</t>
  </si>
  <si>
    <t>0969-806X</t>
  </si>
  <si>
    <t>1879-0895</t>
  </si>
  <si>
    <t>RADIAT PHYS CHEM</t>
  </si>
  <si>
    <t>Radiat. Phys. Chem.</t>
  </si>
  <si>
    <t>10.1016/j.radphyschem.2022.109972</t>
  </si>
  <si>
    <t>Chemistry, Physical; Nuclear Science &amp; Technology; Physics, Atomic, Molecular &amp; Chemical</t>
  </si>
  <si>
    <t>Chemistry; Nuclear Science &amp; Technology; Physics</t>
  </si>
  <si>
    <t>0X4AM</t>
  </si>
  <si>
    <t>WOS:000789651500001</t>
  </si>
  <si>
    <t>Zhang, L; Zhu, XX; Zhao, YY; Guo, J; Zhang, TK; Huang, WC; Huang, J; Hu, Y; Huang, CH; Ma, H</t>
  </si>
  <si>
    <t>Zhang, Lin; Zhu, Xinxin; Zhao, Yiyong; Guo, Jing; Zhang, Taikui; Huang, Weichen; Huang, Jie; Hu, Yi; Huang, Chien-Hsun; Ma, Hong</t>
  </si>
  <si>
    <t>Phylotranscriptomics Resolves the Phylogeny of Pooideae and Uncovers Factors for Their Adaptive Evolution</t>
  </si>
  <si>
    <t>MOLECULAR BIOLOGY AND EVOLUTION</t>
  </si>
  <si>
    <t>Pooideae; nuclear phylogeny; character evolution; gene duplication; diversification; cold adaptive evolution</t>
  </si>
  <si>
    <t>WHOLE-GENOME DUPLICATIONS; GENE DUPLICATION; GRASSES POACEAE; ANTARCTIC GLACIATION; RESOURCE-ALLOCATION; FREEZING TOLERANCE; NESTED RADIATIONS; AGE DISTRIBUTIONS; SPECIES-DIVERSITY; PROVIDES INSIGHTS</t>
  </si>
  <si>
    <t>Adaptation to cool climates has occurred several times in different angiosperm groups. Among them, Pooideae, the largest grass subfamily with similar to 3,900 species including wheat and barley, have successfully occupied many temperate regions and play a prominent role in temperate ecosystems. To investigate possible factors contributing to Pooideae adaptive evolution to cooling climates, we performed phylogenetic reconstruction using five gene sets (with 1,234 nuclear genes and their subsets) from 157 transcriptomes/genomes representing all 15 tribes and 24 of 26 subtribes. Our phylogeny supports the monophyly of all tribes (except Diarrheneae) and all subtribes with at least two species, with strongly supported resolution of their relationships. Molecular dating suggests that Pooideae originated in the late Cretaceous, with subsequent divergences under cooling conditions first among many tribes from the early middle to late Eocene and again among genera in the middle Miocene and later periods. We identified a cluster of gene duplications (CGD5) shared by the core Pooideae (with 80% Pooideae species) near the Eocene-Oligocene transition, coinciding with the transition from closed to open habitat and an upshift of diversification rate. Molecular evolutionary analyses homologs of CBF for cold resistance uncovered tandem duplications during the core Pooideae history, dramatically increasing their copy number and possibly promoting adaptation to cold habitats. Moreover, duplication of AP1/FUL-like genes before the Pooideae origin might have facilitated the regulation of the vernalization pathway under cold environments. These and other results provide new insights into factors that likely have contributed to the successful adaptation of Pooideae members to temperate regions.</t>
  </si>
  <si>
    <t>[Zhang, Lin; Zhao, Yiyong; Guo, Jing; Zhang, Taikui; Huang, Jie; Huang, Chien-Hsun] Fudan Univ, Sch Life Sci, Inst Biodivers Sci, State Key Lab Genet Engn,Inst Plant Biol, Shanghai, Peoples R China; [Zhang, Lin; Zhao, Yiyong; Guo, Jing; Zhang, Taikui; Huang, Jie; Huang, Chien-Hsun] Fudan Univ, Key Lab Biodivers Sci &amp; Ecol Engn, Inst Biodivers Sci, Inst Plant Biol,Sch Life Sci,Minist Educ, Shanghai, Peoples R China; [Zhu, Xinxin] Xinyang Normal Univ, Coll Life Sci, Xinyang, Peoples R China; [Huang, Weichen; Hu, Yi; Ma, Hong] Penn State Univ, Huck Inst Life Sci, Dept Biol, University Pk, PA 16802 USA</t>
  </si>
  <si>
    <t>Fudan University; Fudan University; Xinyang Normal University; Pennsylvania Commonwealth System of Higher Education (PCSHE); Pennsylvania State University; Pennsylvania State University - University Park</t>
  </si>
  <si>
    <t>Huang, CH (corresponding author), Fudan Univ, Sch Life Sci, Inst Biodivers Sci, State Key Lab Genet Engn,Inst Plant Biol, Shanghai, Peoples R China.;Huang, CH (corresponding author), Fudan Univ, Key Lab Biodivers Sci &amp; Ecol Engn, Inst Biodivers Sci, Inst Plant Biol,Sch Life Sci,Minist Educ, Shanghai, Peoples R China.;Ma, H (corresponding author), Penn State Univ, Huck Inst Life Sci, Dept Biol, University Pk, PA 16802 USA.</t>
  </si>
  <si>
    <t>hxm16@psu.edu; huang_ch@fudan.edu.cn</t>
  </si>
  <si>
    <t>Zhang, Taikui/A-8858-2018; Huang, Chien-Hsun/B-8900-2019; bai, yu/KHU-2608-2024; zhu, xin/JXN-3188-2024; Ma, Hong/W-5251-2018</t>
  </si>
  <si>
    <t>Zhang, Taikui/0000-0002-0309-161X; Ma, Hong/0000-0001-8717-4422; Zhang, Lin/0000-0001-6476-4526; Zhao, Yiyong/0000-0002-5823-2926</t>
  </si>
  <si>
    <t>National Natural Science Foundation of China [31770242, 31970224]; State Key Laboratory of Genetic Engineering; Ministry of Education Key Laboratory of Biodiversity Science and Ecological Engineering at Fudan University; Department of Biology; Huck Institutes of the Life Sciences at the Pennsylvania State University</t>
  </si>
  <si>
    <t>National Natural Science Foundation of China(National Natural Science Foundation of China (NSFC)); State Key Laboratory of Genetic Engineering; Ministry of Education Key Laboratory of Biodiversity Science and Ecological Engineering at Fudan University; Department of Biology; Huck Institutes of the Life Sciences at the Pennsylvania State University</t>
  </si>
  <si>
    <t>L We thank Lulu Xun, Qingwen Lin, Yang Yang, Wenli Chen, J. Travis Columbus, Yuxing Gu, Fei Ren, Weijie Li, Zhiming Zhong, Detuan Liu, Hailei Zheng, Shuai Liao, Binghua Chen, Liqiong Jiang, and Guangda Tang for help in taxon sampling. We thank Elizabeth A. Kellogg and J. Travis Columbus for help in species identification. We also thank Professors Ji Yang, Zhiping Song, Wenju Zhang, Yuguo Wang, and Ji Qi for discussions. We thank Royal Botanic Gardens Kew, Royal Botanic Garden Edinburgh, UC Botanical Garden at Berkeley, the New York Botanical Garden, the Missouri Botanical Garden, and the Germplasm Bank of Wild Species at Kunming Institute of Botany for providing materials. We thank Shizhen Qiao for drawing the cartoons (trees, grasses, awn, ovary, and inflorescence) in . This work was supported by funds from grants from the National Natural Science Foundation of China (31770242 and 31970224) and funds from the State Key Laboratory of Genetic Engineering and the Ministry of Education Key Laboratory of Biodiversity Science and Ecological Engineering at Fudan University, and from the Department of Biology and the Huck Institutes of the Life Sciences at the Pennsylvania State University.</t>
  </si>
  <si>
    <t>0737-4038</t>
  </si>
  <si>
    <t>1537-1719</t>
  </si>
  <si>
    <t>MOL BIOL EVOL</t>
  </si>
  <si>
    <t>Mol. Biol. Evol.</t>
  </si>
  <si>
    <t>FEB 3</t>
  </si>
  <si>
    <t>msac026</t>
  </si>
  <si>
    <t>10.1093/molbev/msac026</t>
  </si>
  <si>
    <t>Biochemistry &amp; Molecular Biology; Evolutionary Biology; Genetics &amp; Heredity</t>
  </si>
  <si>
    <t>ZR5UZ</t>
  </si>
  <si>
    <t>WOS:000767848900034</t>
  </si>
  <si>
    <t>Jia, RM; Chen, M; Pan, H; Zeng, J; Zhu, J; Liu, X; Zheng, MF; Qiu, YS</t>
  </si>
  <si>
    <t>Jia, Renming; Chen, Min; Pan, Hong; Zeng, Jian; Zhu, Jing; Liu, Xiao; Zheng, Minfang; Qiu, Yusheng</t>
  </si>
  <si>
    <t>Freshwater components track the export of dense shelf water from Prydz Bay, Antarctica</t>
  </si>
  <si>
    <t>DEEP-SEA RESEARCH PART II-TOPICAL STUDIES IN OCEANOGRAPHY</t>
  </si>
  <si>
    <t>Meteoric water; Sea ice meltwater; Oxygen isotopes; DSW export; Prydz Bay</t>
  </si>
  <si>
    <t>OXYGEN-ISOTOPE RATIO; AMERY ICE SHELF; BOTTOM WATER; SEA-ICE; MARINE ICE; ROSS-SEA; VARIABILITY; CIRCULATION; MELT; FRACTIONATION</t>
  </si>
  <si>
    <t>Seawater samples were collected around Prydz Bay, Antarctica for measurement of stable oxygen isotopes (delta O-18) in austral summer of 2013. Based on a three-end member mixing model of salinity and delta O-18, the fraction of meteoric water (f(MW)) and sea-ice meltwater (f(MM)) is estimated. Our results show that the average f(MW)( )varies from 0.5% to 3.0%, and decreases northward from the Amery Ice Shelf, while the average f mm is small (-2.0%-1.0%) and shows the signal of brine-injected dense water, all of which indicate that the Prydz Bay shelf water is abundant with meteoric water and brine under the impact of ice-shelf water and intense sea ice formation. There is a continuous distribution of positive f(MW) and negative f(SIM) in the bottom water from the slope to the basin near Cape Darnley and Prydz Channel, which reflects the sinking of Dense Shelf Water (DSW) from Prydz Bay in the production of Antarctic Bottom Water (AABW). The contribution of DSW to AABW (f(DSW)) is estimated by mass balance of potential temperature, salinity and delta O-18. The f(DSW) has a large spatial variation, with higher values near Prydz Channel (40-60%) and down-slope off Cape Darnley (70%), which confirms two routes for DSW export from Prydz Bay. Our study reveals the transport path of shelf water through freshwater components, and emphasizes the importance of shelf water of Prydz Bay in the formation of AABW.</t>
  </si>
  <si>
    <t>[Jia, Renming; Chen, Min; Pan, Hong; Zeng, Jian; Zhu, Jing; Liu, Xiao; Zheng, Minfang; Qiu, Yusheng] Xiamen Univ, Coll Ocean &amp; Earth Sci, Xiamen 361102, Peoples R China; [Jia, Renming] Minist Nat Resources, Inst Oceanog 4, Guangxi Key Lab Beibu Gulf Marine Resources, Environm &amp; Sustainable Dev, Beihai 536000, Peoples R China</t>
  </si>
  <si>
    <t>Xiamen University; Fourth Institute of Oceanography, Ministry of Natural Resources; Ministry of Natural Resources of the People's Republic of China</t>
  </si>
  <si>
    <t>Chen, M (corresponding author), Xiamen Univ, Coll Ocean &amp; Earth Sci, Xiamen 361102, Peoples R China.</t>
  </si>
  <si>
    <t>mchen@xmu.edu.cn</t>
  </si>
  <si>
    <t>Zeng, Jian/D-3884-2017</t>
  </si>
  <si>
    <t>Zeng, Jian/0000-0001-8801-5220</t>
  </si>
  <si>
    <t>Impact and Response of Antarctic Seas to Climate Change - Ministry of Natural Resources of the People's Republic of China [IRASCC 0101-02C, IRASCC 02-01-01]; National Natural Science Foundation of China [41721005]; Chinese Arctic and Antarctic Administration</t>
  </si>
  <si>
    <t>Impact and Response of Antarctic Seas to Climate Change - Ministry of Natural Resources of the People's Republic of China; National Natural Science Foundation of China(National Natural Science Foundation of China (NSFC)); Chinese Arctic and Antarctic Administration</t>
  </si>
  <si>
    <t>We would like to thank the captains and crews of R/V XUELONG for their assistance in sample collection. Thanks to Dr. Jiuxin Shi in Ocean University of China for providing CTD data. This work was supported by Impact and Response of Antarctic Seas to Climate Change (IRASCC 0101-02C, IRASCC 02-01-01) funded by Ministry of Natural Resources of the People's Republic of China and Chinese Arctic and Antarctic Administration, and National Natural Science Foundation of China (41721005).</t>
  </si>
  <si>
    <t>0967-0645</t>
  </si>
  <si>
    <t>1879-0100</t>
  </si>
  <si>
    <t>DEEP-SEA RES PT II</t>
  </si>
  <si>
    <t>Deep-Sea Res. Part II-Top. Stud. Oceanogr.</t>
  </si>
  <si>
    <t>10.1016/j.dsr2.2022.105023</t>
  </si>
  <si>
    <t>ZQ6FX</t>
  </si>
  <si>
    <t>WOS:000767199700001</t>
  </si>
  <si>
    <t>Zhang, XG; Xue, Y; Lu, ZP; Xu, HJ; Hu, Y</t>
  </si>
  <si>
    <t>Zhang, Xiao-Guang; Xue, Yu; Lu, Ze-Ping; Xu, Hua-Jin; Hu, Yi</t>
  </si>
  <si>
    <t>Chemical modification for improving catalytic performance of lipase B from Candida antarctica with hydrophobic proline ionic liquid</t>
  </si>
  <si>
    <t>BIOPROCESS AND BIOSYSTEMS ENGINEERING</t>
  </si>
  <si>
    <t>Chemical modification; Ionic liquids; Lipase; Molecular dynamics; Proline; Catalytic performance</t>
  </si>
  <si>
    <t>THERMAL-STABILITY; BIOCATALYSIS; ENHANCEMENT</t>
  </si>
  <si>
    <t>In this study, a series of proline ionic liquids with different lengths of hydrophobic alkyl on the side chain were used to modify the Candida Antarctic lipase B (CALB). The catalytic activity, thermal stability and tolerance to methanol and DMSO of the modified enzyme were all improved simultaneously. The optimum temperature changed from 55 to 60 celcius. The hydrophobicity and anion type of the modifier have important influence on the catalytic performance of CALB. CALB modified by [ProC(12)][H2PO4] has a better effect. Under the optimal conditions, its hydrolysis activity was 3.0 times than that of the native enzyme, the catalytic efficiency Kcat/Km improved 2.8 times in aqueous phase, and the tolerance to organic solvent with strong polarity (50% methanol 2 h) was increased by 6.8 times. Fluorescence spectra and circular dichroism (CD) spectroscopy showed that the introduction of ionic liquids changed the microenvironment near the fluorophores of the enzyme protein, the alpha-helix decreased and beta-sheet increased in the secondary structure of the modified enzymes. The root mean square deviation (RMSD), residue root mean square fluctuation (RMSF), radius of gyration (Rg), and solution accessible surface area (SASA) of [ProC(2)][Br]-CALB, [ProC(12)][Br]-CALB and native CALB were obtained for comparison by molecular dynamics simulation. The results of dynamics simulation were in good agreement with enzymology experiment. The introduction of ionic liquids can keep CALB in a better active conformation, and proline ionic liquids with long hydrophobic chains can significantly improve the surface hydrophobicity and overall rigidity of CALB. This research offers a new idea for rapid screening of efficient modifiers and provision of enzymes with high stability and activity for industrial application.</t>
  </si>
  <si>
    <t>[Zhang, Xiao-Guang; Xue, Yu; Lu, Ze-Ping; Xu, Hua-Jin; Hu, Yi] Nanjing Tech Univ, Sch Pharmaceut Sci, State Key Lab Mat Oriented Chem Engn, Nanjing 210009, Peoples R China</t>
  </si>
  <si>
    <t>Nanjing Tech University</t>
  </si>
  <si>
    <t>Hu, Y (corresponding author), Nanjing Tech Univ, Sch Pharmaceut Sci, State Key Lab Mat Oriented Chem Engn, Nanjing 210009, Peoples R China.</t>
  </si>
  <si>
    <t>huyi@njtech.edu.cn</t>
  </si>
  <si>
    <t>National Natural Science Foundation of China [22178174, 21676143]</t>
  </si>
  <si>
    <t>This study was supported by the National Natural Science Foundation of China. (22178174, 21676143).</t>
  </si>
  <si>
    <t>1615-7591</t>
  </si>
  <si>
    <t>1615-7605</t>
  </si>
  <si>
    <t>BIOPROC BIOSYST ENG</t>
  </si>
  <si>
    <t>Bioprocess. Biosyst. Eng.</t>
  </si>
  <si>
    <t>10.1007/s00449-022-02696-x</t>
  </si>
  <si>
    <t>Biotechnology &amp; Applied Microbiology; Engineering, Chemical</t>
  </si>
  <si>
    <t>Biotechnology &amp; Applied Microbiology; Engineering</t>
  </si>
  <si>
    <t>ZY8QO</t>
  </si>
  <si>
    <t>WOS:000751676700001</t>
  </si>
  <si>
    <t>Pehlke, H; Brey, T; Konijnenberg, R; Teschke, K</t>
  </si>
  <si>
    <t>Pehlke, Hendrik; Brey, Thomas; Konijnenberg, Rebecca; Teschke, Katharina</t>
  </si>
  <si>
    <t>A tool to evaluate accessibility due to sea-ice cover: a case study of the Weddell Sea, Antarctica</t>
  </si>
  <si>
    <t>CCAMLR; navigability; sampling design; sea-ice concentration; seasonal ice zone; Southern Ocean</t>
  </si>
  <si>
    <t>ECOSYSTEM SERVICES; TRENDS</t>
  </si>
  <si>
    <t>Sea ice is the major constraint on human activities in the Southern Ocean. Depending on a vessel's ice class, human mobility may be restricted or even prevented altogether by sea-ice conditions. This may imply limited access to research or monitoring stations, preferred fishing grounds or attractive tourist sites. Here, we introduce a statistical model that evaluates the sea-ice cover with two measures: 1) accessibility (i.e. the probability that a given area is navigable by vessels at a given time) and 2) repeated accessibility (i.e. the probability that a given area is navigable by vessels at a given time and again at least once within a defined timespan). We use daily sea-ice concentration data from 2002 to 2020 to demonstrate this tool and its functioning regarding the spatiotemporal variability of sea-ice cover in the wider Weddell Sea region. These findings reflect known characteristics of sea-ice distribution and dynamics in the Weddell Sea, confirming the functionality of our simple tool for determining repeated accessibility of certain areas. Such a tool may facilitate the planning of research and monitoring activities in the Southern Ocean, as well as in Arctic seas.</t>
  </si>
  <si>
    <t>[Pehlke, Hendrik; Brey, Thomas; Konijnenberg, Rebecca; Teschke, Katharina] Helmholtz Zentrum Polar &amp; Meeresforsch, Alfred Wegener Inst, Handelshafen 12, D-27570 Bremerhaven, Germany; [Pehlke, Hendrik; Brey, Thomas; Teschke, Katharina] Univ Oldenburg HIFMB, Helmholtz Inst Funct Marine Biodivers, Ammerlander Heerstr 231, D-26129 Oldenburg, Germany; [Brey, Thomas] Univ Bremen, Bibliothekstr 1, D-28359 Bremen, Germany</t>
  </si>
  <si>
    <t>Helmholtz Association; Alfred Wegener Institute, Helmholtz Centre for Polar &amp; Marine Research; University of Bremen</t>
  </si>
  <si>
    <t>Teschke, K (corresponding author), Helmholtz Zentrum Polar &amp; Meeresforsch, Alfred Wegener Inst, Handelshafen 12, D-27570 Bremerhaven, Germany.;Teschke, K (corresponding author), Univ Oldenburg HIFMB, Helmholtz Inst Funct Marine Biodivers, Ammerlander Heerstr 231, D-26129 Oldenburg, Germany.</t>
  </si>
  <si>
    <t>Katharina.Teschke@awi.de</t>
  </si>
  <si>
    <t>Brey, Thomas/0000-0002-6345-2851; Konijnenberg, Rebecca/0000-0002-3804-5365; Pehlke, Hendrik/0000-0003-1916-7831; Teschke, Katharina/0000-0001-9595-7443</t>
  </si>
  <si>
    <t>German Federal Ministry of Food and Agriculture (BMEL) through the Federal Office for Agriculture and Food (BLE) [2813HS009, 2819HS015]; Open Access Publication Funds of Alfred-Wegener-Institut Helmholtz-Zentrum fur Polar-und Meeresforschung</t>
  </si>
  <si>
    <t>German Federal Ministry of Food and Agriculture (BMEL) through the Federal Office for Agriculture and Food (BLE); Open Access Publication Funds of Alfred-Wegener-Institut Helmholtz-Zentrum fur Polar-und Meeresforschung</t>
  </si>
  <si>
    <t>This work was financially supported by the German Federal Ministry of Food and Agriculture (BMEL) through the Federal Office for Agriculture and Food (BLE), grant numbers 2813HS009 and 2819HS015. We acknowledge support by the Open Access Publication Funds of Alfred-Wegener-Institut Helmholtz-Zentrum fur Polar-und Meeresforschung.</t>
  </si>
  <si>
    <t>PII S0954102021000523</t>
  </si>
  <si>
    <t>10.1017/S0954102021000523</t>
  </si>
  <si>
    <t>WOS:000750648000001</t>
  </si>
  <si>
    <t>Cajiao, D; Leung, YF; Tejedo, P; Barbosa, A; Reck, G; Benayas, J</t>
  </si>
  <si>
    <t>Cajiao, Daniela; Leung, Yu-Fai; Tejedo, Pablo; Barbosa, Andres; Reck, Gunter; Benayas, Javier</t>
  </si>
  <si>
    <t>Behavioural responses of two penguin species to human presence at Barrientos Island, a popular tourist site in the Antarctic Peninsula region</t>
  </si>
  <si>
    <t>chinstrap penguins; gentoo penguins; human-wildlife interactions; management; talking sound; tourism impacts; Visitor Site Guidelines</t>
  </si>
  <si>
    <t>PYGOSCELIS-PAPUA; APTENODYTES-FORSTERI; GOUDIER ISLAND; GENTOO; IMPACTS</t>
  </si>
  <si>
    <t>Visitor Site Guidelines are the principal instruments guiding tourist activities and behaviour at intensively visited sites. These instruments attempt to minimize tourist impacts on Antarctic wildlife, including penguins. However, some recommendations still need to be reinforced by empirical research. Although penguins have enjoyed considerable research attention, a knowledge gap still exists regarding penguins' behavioural responses to realistic tourist activities, including talking sound, viewing distance and movement speed. To fill this gap, we conducted a series of experiments to simulate these activities on two penguin species breeding at an intensively visited site during the 2019-2020 season. We performed 106 replicates of passive and active human presence treatments. Responses varied between species, but active human presence consistently triggered significantly higher responses of strong vigilance behaviour. Our results reinforce Visitor Site Guidelines' recommendations of keeping quiet, moving slowly and increasing viewing distance if changes in behaviour are observed. We also recommend adopting a more conservative viewing distance in the early breeding season. Additional management-orientated empirical studies are needed, including on different species, sites and stages of the breeding season, as such results are valuable for strengthening tourism guidelines and assessing the efficacy of management measures under a post-COVID-19 scenario of increasing Antarctic tourism.</t>
  </si>
  <si>
    <t>[Cajiao, Daniela; Tejedo, Pablo; Benayas, Javier] Univ Autonoma Madrid, Dept Ecol, C Darwin 2, E-28049 Madrid, Spain; [Cajiao, Daniela; Reck, Gunter] Univ San Francisco Quito, Inst Ecol Aplicada ECOLAP USFQ, POB 1712841, Cumbaya, Ecuador; [Leung, Yu-Fai] North Carolina State Univ, Dept Pk Recreat &amp; Tourism Management, 5107 Jordan Hall, Raleigh, NC 27695 USA; [Leung, Yu-Fai] North Carolina State Univ, Ctr Geospatial Analyt, 5107 Jordan Hall, Raleigh, NC 27695 USA; [Barbosa, Andres] CSIC, Museo Nacl Ciencias Nat, Evolutionary Ecol Dept, C Jose Gutierrez Abascal 2, Madrid 28006, Spain</t>
  </si>
  <si>
    <t>Autonomous University of Madrid; Universidad San Francisco de Quito; North Carolina State University; North Carolina State University; Consejo Superior de Investigaciones Cientificas (CSIC); CSIC - Museo Nacional de Ciencias Naturales (MNCN)</t>
  </si>
  <si>
    <t>Cajiao, D (corresponding author), Univ Autonoma Madrid, Dept Ecol, C Darwin 2, E-28049 Madrid, Spain.;Cajiao, D (corresponding author), Univ San Francisco Quito, Inst Ecol Aplicada ECOLAP USFQ, POB 1712841, Cumbaya, Ecuador.</t>
  </si>
  <si>
    <t>danicajiao@gmail.com</t>
  </si>
  <si>
    <t>陆, 展滔/HJZ-1696-2023; Barbosa, Andres/C-3208-2008; Tejedo, Pablo/A-7163-2010; Benayas Del Alamo, Fco. Javier/E-5663-2017</t>
  </si>
  <si>
    <t>Barbosa, Andres/0000-0001-8434-3649; Cajiao, Daniela/0000-0003-0816-2138; Tejedo, Pablo/0000-0002-1865-0445; Leung, Yu-Fai/0000-0002-0928-798X; Benayas Del Alamo, Fco. Javier/0000-0002-5906-9569</t>
  </si>
  <si>
    <t>Ecuadorian Antarctic Institute; Spanish Research Agency [CTM2015-64720, ANTECO CGL2017-89820-P]</t>
  </si>
  <si>
    <t>Ecuadorian Antarctic Institute; Spanish Research Agency(Spanish Government)</t>
  </si>
  <si>
    <t>Authorization for field procedures and funding for this research was granted by the Ecuadorian Antarctic Institute under the project 'Assessment of Visitor Site Guidelines for penguin observation through the development of experimental and non-experimental experiments in Barrientos Island. South Shetland islands'. The authors acknowledge the projects CTM2015-64720 and ANTECO CGL2017-89820-P, funded by the Spanish Research Agency. The authors also declare that they have no known competing financial interests or personal relationships that could have appeared to influence thework reported in this paper.</t>
  </si>
  <si>
    <t>PII S0954102021000559</t>
  </si>
  <si>
    <t>10.1017/S0954102021000559</t>
  </si>
  <si>
    <t>1H5NZ</t>
  </si>
  <si>
    <t>WOS:000750644100001</t>
  </si>
  <si>
    <t>Corso, AD; Steinberg, DK; Stammerjohn, SE; Hilton, EJ</t>
  </si>
  <si>
    <t>Corso, Andrew D.; Steinberg, Deborah K.; Stammerjohn, Sharon E.; Hilton, Eric J.</t>
  </si>
  <si>
    <t>Climate drives long-term change in Antarctic Silverfish along the western Antarctic Peninsula</t>
  </si>
  <si>
    <t>TOOTHFISH DISSOSTICHUS-MAWSONI; NORTHERN MARGUERITE BAY; DEEP-WATER TRANSPORT; EARLY-LIFE STAGES; PLEURAGRAMMA-ANTARCTICUM; ROSS SEA; NOVA BAY; FOOD-WEB; LEPTONYCHOTES-WEDDELLII; SPATIAL-DISTRIBUTION</t>
  </si>
  <si>
    <t>Over the last half of the 20(th) century, the western Antarctic Peninsula has been one of the most rapidly warming regions on Earth, leading to substantial reductions in regional sea ice coverage. These changes are modulated by atmospheric forcing, including the Amundsen Sea Low (ASL) pressure system. We utilized a novel 25-year (1993-2017) time series to model the effects of environmental variability on larvae of a keystone species, the Antarctic Silverfish (Pleuragramma antarctica). Antarctic Silverfish use sea ice as spawning habitat and are important prey for penguins and other predators. We show that warmer sea surface temperature and decreased sea ice are associated with reduced larval abundance. Variability in the ASL modulates both sea surface temperature and sea ice; a strong ASL is associated with reduced larvae. These findings support a narrow sea ice and temperature tolerance for adult and larval fish. Further regional warming predicted to occur during the 21st century could displace populations of Antarctic Silverfish, altering this pelagic ecosystem. Corso et al. employ a novel 25-year time series to show how variability in sea ice coverage and ocean temperatures impact larval abundance of an important forage fish, the Antarctic Silverfish. The authors provide insight into how current reductions of this keystone species might impact the vulnerable pelagic ecosystem along the western Antarctic Peninsula.</t>
  </si>
  <si>
    <t>[Corso, Andrew D.; Steinberg, Deborah K.; Hilton, Eric J.] Virginia Inst Marine Sci, William &amp; Mary, Gloucester Point, VA 23062 USA; [Stammerjohn, Sharon E.] Univ Colorado, Inst Arctic &amp; Alpine Res, Boulder, CO 80309 USA</t>
  </si>
  <si>
    <t>William &amp; Mary; Virginia Institute of Marine Science; University of Colorado System; University of Colorado Boulder</t>
  </si>
  <si>
    <t>Corso, AD (corresponding author), Virginia Inst Marine Sci, William &amp; Mary, Gloucester Point, VA 23062 USA.</t>
  </si>
  <si>
    <t>adcorso@vims.edu</t>
  </si>
  <si>
    <t>STAMMERJOHN, SHARON/0000-0002-1697-8244; Hilton, Eric/0000-0003-1742-3467; Corso, Andrew/0000-0002-8180-3360; Steinberg, Deborah K./0000-0001-9884-4655</t>
  </si>
  <si>
    <t>National Science Foundation Antarctic Organisms and Ecosystems Program [PLR-1440435, OPP-2026045]; National Science Foundation Division of Biological Infrastructure [DBI-1349327]; VIMS John Olney Fellowship</t>
  </si>
  <si>
    <t>National Science Foundation Antarctic Organisms and Ecosystems Program(National Science Foundation (NSF)NSF - Directorate for Geosciences (GEO)); National Science Foundation Division of Biological Infrastructure(National Science Foundation (NSF)); VIMS John Olney Fellowship</t>
  </si>
  <si>
    <t>We would like to thank Joseph Cope (VIMS) for assisting in the collection of fishes and data analysis. We also thank Sarah Huber (VIMS) and Peter Konstantinidis (Oregon State University) for their contributions to the identification of fishes and curatorial support; Adena Schonfeld (VIMS) and Robert Latour (VIMS) for their assistance in statistical analysis; Carlos Moffat (University of Delaware), Scott Hosking (British Antarctic Survey), William Fraser (Polar Oceans Research Group), and Christopher Jones (NOAA SWFC) for their aid in the interpretation of results. We are grateful for the multiple contributions of Marino Vacchi, Laura Ghigliotti, and their colleagues (Institute of Marine Sciences - National Research Council) regarding the life history of the Antarctic Silverfish. We thank the captains, crew, and support staff of the R/V Polar Duke and ASRV Laurence M. Gould, the support of personnel at Palmer Station, Antarctica, and the Leidos Antarctic Support Contractors. This work was funded by the National Science Foundation Antarctic Organisms and Ecosystems Program (PLR-1440435 and OPP-2026045 for specimen and environmental data collection) and Division of Biological Infrastructure (DBI-1349327 for specimen preservation and analysis), and the VIMS John Olney Fellowship. This is contribution 4067 of the Virginia Institute of Marine Science, William &amp; Mary.</t>
  </si>
  <si>
    <t>10.1038/s42003-022-03042-3</t>
  </si>
  <si>
    <t>YS7PZ</t>
  </si>
  <si>
    <t>Green Published, Green Submitted, gold</t>
  </si>
  <si>
    <t>WOS:000750866000003</t>
  </si>
  <si>
    <t>Garcia-Oteyza, J; Oliva, M; Palacios, D; Fernández-Fernández, JM; Schimmelpfennig, I; Andrés, N; Antoniades, D; Christiansen, HH; Humlum, O; Léanni, L; Jomelli, V; Ruiz-Fernández, J; Rinterknecht, V; Lane, TP; Adamson, K; Aumaître, G; Bourlès, D; Keddadouche, K</t>
  </si>
  <si>
    <t>Garcia-Oteyza, J.; Oliva, M.; Palacios, D.; Fernandez-Fernandez, J. M.; Schimmelpfennig, I.; Andres, N.; Antoniades, D.; Christiansen, H. H.; Humlum, O.; Leanni, L.; Jomelli, V.; Ruiz-Fernandez, J.; Rinterknecht, V.; Lane, T. P.; Adamson, K.; Aumaitre, Georges; Bourles, Didier; Keddadouche, Karim</t>
  </si>
  <si>
    <t>ASTER Team</t>
  </si>
  <si>
    <t>Late Glacial deglaciation of the Zackenberg area, NE Greenland</t>
  </si>
  <si>
    <t>GEOMORPHOLOGY</t>
  </si>
  <si>
    <t>NE Greenland; Zackenberg; Deglaciation; Geomorphology; Paraglacial dynamics; Cosmic-ray exposure</t>
  </si>
  <si>
    <t>DEBRIS-COVERED GLACIERS; CENTRAL EAST GREENLAND; ICE-SHEET DYNAMICS; ROCK GLACIERS; SEA-LEVEL; SCORESBY SUND; ARCTIC CANADA; BAFFIN-ISLAND; JAMESON LAND; HALF-LIFE</t>
  </si>
  <si>
    <t>The Greenland Ice Sheet (GrIS) is a key component of the global climate system. However, our current understanding of the spatio-temporal oscillations and landscape transformation of the GrIS margins since the last glacial cycle is still incomplete. The objective of this work is to study the deglaciation of the Zackenberg Valley (74 degrees N, 20 degrees E), NE Greenland, and the origin of the derived landforms. Based on extensive fieldwork and high-detail geomorphological mapping we identified the different types of landforms, from which those of glacial and paraglacial origin were used to understand the processes driving regional environmental evolution. We applied cosmic-ray exposure (CRE) dating to 32 samples taken from erosive and depositional glacial landforms distributed across the valley. Geomorphological evidence shows that &gt;800-m-thick Late Quaternary glacier filled the valleys and fjords and covered mountain summits. In subsequent phases, as ice thickness decreased, the glacier was limited to the interior of the valley, leaving several lateral moraines. The deglaciation of the Zackenberg Valley that started by-13.7-12.5 ka also accelerated slope paraglacial processes. Many blocks from lateral moraines were remobilized and fell, reaching the valley floor where they covered the thinning glacier tongue; transforming it into a debris-covered glacier that subsequently melted gradually. By ca. 10.5 ka, the last remnants of glacial ice disappeared from the Zackenberg Valley floor, a chronology of deglaciation that is similar to that observed in other sites across NE Greenland. The results of this work must be considered in similar studies, reinforcing the need to support CRE ages of the different geomorphological phases with paleoclimatic data from other sedimentary records.(c) 2022 The Authors. Published by Elsevier B.V. This is an open access article under the CC BY license (http://creativecommons.org/licenses/by/4.0/).</t>
  </si>
  <si>
    <t>[Garcia-Oteyza, J.; Oliva, M.] Univ Barcelona, Dept Geog, Catalonia, Spain; [Palacios, D.; Fernandez-Fernandez, J. M.; Andres, N.] Univ Complutense Madrid, Dept Geog, Madrid, Spain; [Fernandez-Fernandez, J. M.] Univ Lisbon, Ctr Geog Studies, IGOT, Lisbon, Portugal; [Schimmelpfennig, I.; Leanni, L.; Jomelli, V.; Rinterknecht, V.; ASTER Team] Aix Marseille Univ, Coll France, CNRS, IRD,INRAE,UM 34 CEREGE, Aix En Provence, France; [Antoniades, D.] Univ Laval, Dept Geog, Quebec City, PQ, Canada; [Antoniades, D.] Univ Laval, Ctr Northern Studies, Quebec City, PQ, Canada; [Christiansen, H. H.; Humlum, O.] Univ Ctr Svalbard, Arctic Geol Dept, Longyearbyen, Norway; [Ruiz-Fernandez, J.] Univ Oviedo, Dept Geog, Asturias, Spain; [Lane, T. P.] Liverpool John Moores Univ, Sch Biol &amp; Environm Sci, Liverpool, Merseyside, England; [Adamson, K.] Manchester Metropolitan Univ, Dept Nat Sci, Manchester, Lancs, England</t>
  </si>
  <si>
    <t>University of Barcelona; Complutense University of Madrid; Universidade de Lisboa; INRAE; Institut de Recherche pour le Developpement (IRD); Universite PSL; College de France; Aix-Marseille Universite; Centre National de la Recherche Scientifique (CNRS); Laval University; Laval University; University Centre Svalbard (UNIS); University of Oviedo; Liverpool John Moores University; Manchester Metropolitan University</t>
  </si>
  <si>
    <t>Garcia-Oteyza, J (corresponding author), Univ Barcelona, Dept Geog, Montalegre 6-8,3r Floor, Barcelona 08001, Spain.</t>
  </si>
  <si>
    <t>juliagarciadeoteyza@ub.edu</t>
  </si>
  <si>
    <t>Fernández-Fernández, Jose M./H-5801-2017; Oliva, Marc/K-5423-2014; PALACIOS, DAVID/H-3737-2015; Andres, Nuria/C-7146-2015</t>
  </si>
  <si>
    <t>Andres, Nuria/0000-0002-4362-1195; Lane, Timothy/0000-0002-7116-9976</t>
  </si>
  <si>
    <t>Spanish Ministry of Economy and Competitiveness [CTM201787976-P]; INTERACT Transnational Access grant [730938, 2017-SGR-1102]; Government of Catalonia; Spanish Ministry of Science, Innovation and Universities; Ramon y Cajal Program [RYC-201517597]; INTERACT: project DATECH2; INSU/CNRS; ANR through the Projets thematiques d'excellence programfor the Equipements d'excellence ASTER-CEREGE action and IRD; Research Group ANTALP (Antarctic, Arctic, Alpine Environments) [2017-SGR-1102]</t>
  </si>
  <si>
    <t>Spanish Ministry of Economy and Competitiveness(Spanish Government); INTERACT Transnational Access grant; Government of Catalonia(Generalitat de Catalunya); Spanish Ministry of Science, Innovation and Universities(Spanish Government); Ramon y Cajal Program(Spanish Government); INTERACT: project DATECH2; INSU/CNRS(Centre National de la Recherche Scientifique (CNRS)); ANR through the Projets thematiques d'excellence programfor the Equipements d'excellence ASTER-CEREGE action and IRD(Agence Nationale de la Recherche (ANR)); Research Group ANTALP (Antarctic, Arctic, Alpine Environments)</t>
  </si>
  <si>
    <t>This research was funded by the project PALEOGREEN (CTM201787976-P) of the Spanish Ministry of Economy and Competitiveness. Field work was also supported by an INTERACT Transnational Access grant (Ref. 730938, GLACIGREEN) and by the Research Group ANTALP (Antarctic, Arctic, Alpine Environments; 2017-SGR-1102), funded by the Government of Catalonia. Julia Garcia-Oteyza was supported by an FPI fellowship fromthe SpanishMinistry of Science, Innovation and Universities, and Marc Oliva by the Ramon y Cajal Program (RYC-201517597). Field work for ZAC-01b and ZAC-04 samples was funded by INTERACT: project DATECH2. The 10Be measurements were performed at the ASTER AMS national facility (CEREGE, Aix en Provence), which is supported by the INSU/CNRS and the ANR through the Projets thematiques d'excellence programfor the Equipements d'excellence ASTER-CEREGE action and IRD.</t>
  </si>
  <si>
    <t>0169-555X</t>
  </si>
  <si>
    <t>1872-695X</t>
  </si>
  <si>
    <t>Geomorphology</t>
  </si>
  <si>
    <t>10.1016/j.geomorph.2022.108125</t>
  </si>
  <si>
    <t>0P5ZT</t>
  </si>
  <si>
    <t>hybrid, Green Published, Green Accepted</t>
  </si>
  <si>
    <t>WOS:000784307000008</t>
  </si>
  <si>
    <t>Perfetti-Bolano, A; Araneda, A; Munoz, K; Barra, RO</t>
  </si>
  <si>
    <t>Perfetti-Bolano, Alessandra; Araneda, Alberto; Munoz, Katherine; Barra, Ricardo O.</t>
  </si>
  <si>
    <t>Occurrence and Distribution of Microplastics in Soils and Intertidal Sediments at Fildes Bay, Maritime Antarctica</t>
  </si>
  <si>
    <t>fibers; fragments; PET; phenoxy resin; pollution; soil; intermareal sediment; Antarctica</t>
  </si>
  <si>
    <t>ROSS SEA; MARINE-ENVIRONMENT; POLLUTION; WASTE; CONTAMINATION; ACCUMULATION; PARTICLES; GULF</t>
  </si>
  <si>
    <t>Increased human activity on the Antarctic Peninsula has generated microplastic contamination in marine systems; however, less attention has been paid to soils so far. We investigated the occurrence of microplastics in 11 surface soils and intertidal sediments collected from Fildes Bay, King George Island. A transect of soils at Antarctic stations until Fildes Bay was made (i.e., S1-S5). Intertidal sediments along the shore (i.e., IS1-IS5) and a reference sample from Ardley Island (i.e., IS6) were also collected. All samples were stored at 4 degrees C and analyzed for the organic matter content, particle size, and pH. Plastic particles were counted and classified by shape using metal dissecting forceps and a stereomicroscope and further analyzed by Fourier-transform infrared spectroscopy (FT-IR). They were classified by length as fibers (length: 500-2,000 mu m) and fragments (length: 20-500 mu m). In soil, fragments reached an average of 13.6 particles/50 ml sample, while in intertidal sediments, no fragments were found, but a fiber abundance of 1.5 particles/50 ml sample was observed. The principal component analysis shows a relationship between fibers and intertidal sediments, whereas fragments present a relationship with soils. There were differences between the numbers of fragments found in soils and intertidal sediments (p = 0.003), with a high abundance of fragments at site S5, but no significant differences were observed for fibers. The physicochemical soil analysis revealed that larger particle sizes were observed in intertidal sediments (average = 706.94 +/- 230.51 mu m) than in soils (p = 0.0007). The organic matter content was higher in soil than in intertidal sediments (p = 0.006) reaching an average of 6.0%. Plastic fragments and organic matter were significantly correlated (r = 0.779, p = 0.005), while fibers were positively correlated with particle size (r = 0.713, p = 0.014). The fragments were composed of phenoxy resin with the same appearance, shape, and bright orange color as the coatings of the facilities. According to the FT-IR analysis, the fibers had different colors and were composed of polyethylene terephthalate (PET). Cotton was also present at the sites surrounding the sampling site close to the base effluent. The presence of fiber on Ardley Island (i.e., control) may indicate that microplastic contamination has reached protected areas. This is the first study to confirm the presence of plastic debris in Antarctic soils. Further studies should focus on the identification of plastic sources and on the management of human activities and their eventual effects on biota.</t>
  </si>
  <si>
    <t>[Perfetti-Bolano, Alessandra; Araneda, Alberto; Barra, Ricardo O.] Univ Concepcion, Fac Ciencias Ambientales, Dept Sistemas Acuat, Concepcion, Chile; [Perfetti-Bolano, Alessandra; Araneda, Alberto; Barra, Ricardo O.] Univ Concepcion, Ctr EULA Chile, Concepcion, Chile; [Munoz, Katherine] Univ Koblenz Landau, Inst Environm Sci, Landau, Germany; [Barra, Ricardo O.] Inst Milenio Socio Ecol Costera SECOS, Santiago, Chile</t>
  </si>
  <si>
    <t>Universidad de Concepcion; Universidad de Concepcion; University of Koblenz &amp; Landau</t>
  </si>
  <si>
    <t>Perfetti-Bolano, A (corresponding author), Univ Concepcion, Fac Ciencias Ambientales, Dept Sistemas Acuat, Concepcion, Chile.;Perfetti-Bolano, A (corresponding author), Univ Concepcion, Ctr EULA Chile, Concepcion, Chile.</t>
  </si>
  <si>
    <t>aleperfetti@udec.cl</t>
  </si>
  <si>
    <t>Munoz, Katherine/IXX-0323-2023; Barra, Ricardo O./A-5543-2009</t>
  </si>
  <si>
    <t>Munoz, Katherine/0000-0003-2502-3308; Barra, Ricardo O./0000-0002-1567-7722</t>
  </si>
  <si>
    <t>ANID-Millennium Science Initiative [ICN2019_015]; ANID-PFCHA/Doctorado Nacional/2017 [21170746]</t>
  </si>
  <si>
    <t>ANID-Millennium Science Initiative; ANID-PFCHA/Doctorado Nacional/2017</t>
  </si>
  <si>
    <t>This project was funded by ANID-Millennium Science Initiative Program-Code ICN2019_015 and ANID-PFCHA/Doctorado Nacional/2017-21170746.</t>
  </si>
  <si>
    <t>FEB 2</t>
  </si>
  <si>
    <t>10.3389/fmars.2021.774055</t>
  </si>
  <si>
    <t>ZF8YE</t>
  </si>
  <si>
    <t>WOS:000759854400001</t>
  </si>
  <si>
    <t>Rackow, T; Danilov, S; Goessling, HF; Hellmer, HH; Sein, D; Semmler, T; Sidorenko, D; Jung, T</t>
  </si>
  <si>
    <t>Rackow, Thomas; Danilov, Sergey; Goessling, Helge F.; Hellmer, Hartmut H.; Sein, Dmitry, V; Semmler, Tido; Sidorenko, Dmitry; Jung, Thomas</t>
  </si>
  <si>
    <t>Delayed Antarctic sea-ice decline in high-resolution climate change simulations</t>
  </si>
  <si>
    <t>MERIDIONAL OVERTURNING CIRCULATION; SOUTHERN-OCEAN; TEMPERATURE RESPONSE; CIRCUMPOLAR CURRENT; ATLANTIC-OCEAN; GLOBAL CLIMATE; MODEL; MESOSCALE; DRIVEN; SHELF</t>
  </si>
  <si>
    <t>Delayed Antarctic sea-ice decline is linked to Southern Ocean eddies - and their explicit treatment in models is crucial. New multi-resolution climate change projections give a possible reason for low confidence in IPCC's current 21st-century Antarctic sea-ice projections. Despite global warming and Arctic sea-ice loss, on average the Antarctic sea-ice extent has not declined since 1979 when satellite data became available. In contrast, climate model simulations tend to exhibit strong negative sea-ice trends for the same period. This Antarctic sea-ice paradox leads to low confidence in 21st-century sea-ice projections. Here we present multi-resolution climate change projections that account for Southern Ocean mesoscale eddies. The high-resolution configuration simulates stable September Antarctic sea-ice extent that is not projected to decline until the mid-21st century. We argue that one reason for this finding is a more realistic ocean circulation that increases the equatorward heat transport response to global warming. As a result, the ocean becomes more efficient at moderating the anthropogenic warming around Antarctica and hence at delaying sea-ice decline. Our study suggests that explicitly simulating Southern Ocean eddies is necessary for providing Antarctic sea-ice projections with higher confidence.</t>
  </si>
  <si>
    <t>[Rackow, Thomas; Danilov, Sergey; Goessling, Helge F.; Hellmer, Hartmut H.; Sein, Dmitry, V; Semmler, Tido; Sidorenko, Dmitry; Jung, Thomas] Alfred Wegener Inst, Helmholtz Ctr Polar &amp; Marine Res, Bremerhaven, Germany; [Danilov, Sergey] Jacobs Univ Bremen, Bremen, Germany; [Sein, Dmitry, V] Russian Acad Sci, PP Shirshov Inst Oceanol, Moscow, Russia; [Jung, Thomas] Univ Bremen, Inst Environm Phys, Bremen, Germany; [Rackow, Thomas] European Ctr Medium Range Weather Forecasts, Bonn, Germany</t>
  </si>
  <si>
    <t>Helmholtz Association; Alfred Wegener Institute, Helmholtz Centre for Polar &amp; Marine Research; Jacobs University; Russian Academy of Sciences; Shirshov Institute of Oceanology; University of Bremen</t>
  </si>
  <si>
    <t>Rackow, T (corresponding author), Alfred Wegener Inst, Helmholtz Ctr Polar &amp; Marine Res, Bremerhaven, Germany.;Rackow, T (corresponding author), European Ctr Medium Range Weather Forecasts, Bonn, Germany.</t>
  </si>
  <si>
    <t>thomas.rackow@awi.de</t>
  </si>
  <si>
    <t>Rackow, Thomas/AAP-2735-2020; Jung, Thomas/J-5239-2012; Sein, Dmitry V/GLS-0252-2022; Sein, Dmitry/P-6419-2018; Danilov, Sergey/S-6184-2016; Semmler, Tido/B-7666-2017</t>
  </si>
  <si>
    <t>Rackow, Thomas/0000-0002-5468-575X; Jung, Thomas/0000-0002-2651-1293; Sein, Dmitry/0000-0002-1190-3622; Danilov, Sergey/0000-0001-8098-182X; Sidorenko, Dmitry/0000-0001-8579-6068; Semmler, Tido/0000-0002-2254-4901; Goessling, Helge/0000-0001-9018-1383; Hellmer, Hartmut/0000-0002-9357-9853</t>
  </si>
  <si>
    <t>Projekt DEAL</t>
  </si>
  <si>
    <t>Open Access funding enabled and organized by Projekt DEAL.</t>
  </si>
  <si>
    <t>10.1038/s41467-022-28259-y</t>
  </si>
  <si>
    <t>YU7TO</t>
  </si>
  <si>
    <t>WOS:000752241200017</t>
  </si>
  <si>
    <t>Inoue, M; Hanaki, S; Kameyama, H; Kumamoto, Y; Nagao, S</t>
  </si>
  <si>
    <t>Inoue, Mutsuo; Hanaki, Shotaro; Kameyama, Hiroaki; Kumamoto, Yuichiro; Nagao, Seiya</t>
  </si>
  <si>
    <t>Unique current connecting Southern and Indian Oceans identified from radium distributions</t>
  </si>
  <si>
    <t>SCIENTIFIC REPORTS</t>
  </si>
  <si>
    <t>ANTARCTIC CIRCUMPOLAR CURRENT; INTERMEDIATE WATER; RA-226; SEA; CIRCULATION; PB-210; VENTILATION; TRANSPORT; ISOTOPES; PACIFIC</t>
  </si>
  <si>
    <t>We examined the spatial variations in Ra-226 and Ra-228 (activities) concentrations from the surface to a depth of 830 m in the Indian and Southern Oceans from December 2019 to January 2020. Ra-226 concentrations at the surface increased sharply from 30 degrees 5 to 60 degrees 5 along a similar to 55 degrees E transect (1.4-2.9 mBq/L), exhibiting small vertical variations, while Ra-228 decreased southward and became depleted in the Southern Ocean. These distributions indicated the ocean-scale northward lateral transport of Ra-226-rich and Ra-228-depleted currents originating from the Antarctic Circumpolar Current (ACC). Ra-226 concentrations indicated that the fractions of the ACC at depths of 0-800 m decreased from 0.95 to 0.14 between 60 degrees 5 and 30 degrees S. The ACC fractions in the subantarctic western Indian Ocean were higher than those previously reported in the eastern Indian region, indicating preferential transport of the ACC. The fractions obtained were approximately equivalent to those in the western Indian Ocean in the 1970s. This could be attributed to the minimal southward shift of the polar front due to global warming over the last 50 years.</t>
  </si>
  <si>
    <t>[Inoue, Mutsuo; Hanaki, Shotaro; Kameyama, Hiroaki; Nagao, Seiya] Kanazawa Univ, Low Level Radioact Lab Kanazawa, Wake O-24, Nomi, Ishikawa 9231224, Japan; [Kumamoto, Yuichiro] Japan Agcy Marine Earth Sci &amp; Technol, Res &amp; Dev Ctr Global Change, 2-15 Natushima Cho, Yokosuka, Kanagawa 2370061, Japan</t>
  </si>
  <si>
    <t>Kanazawa University; Japan Agency for Marine-Earth Science &amp; Technology (JAMSTEC)</t>
  </si>
  <si>
    <t>Inoue, M (corresponding author), Kanazawa Univ, Low Level Radioact Lab Kanazawa, Wake O-24, Nomi, Ishikawa 9231224, Japan.</t>
  </si>
  <si>
    <t>i247811@staff.kanazawa-u.ac.jp</t>
  </si>
  <si>
    <t>HANAKI, SHOTARO/0000-0002-0481-5798</t>
  </si>
  <si>
    <t>Japan Society for the Promotion of Science (JSPS) KAKENHI [JP18K11615]</t>
  </si>
  <si>
    <t>Japan Society for the Promotion of Science (JSPS) KAKENHI(Ministry of Education, Culture, Sports, Science and Technology, Japan (MEXT)Japan Society for the Promotion of ScienceGrants-in-Aid for Scientific Research (KAKENHI))</t>
  </si>
  <si>
    <t>We are grateful to the researchers, captain, and crew onboard the R/V Mirai for their assistance during sampling. This research was partly supported by the Japan Society for the Promotion of Science (JSPS) KAKENHI (Grant No. JP18K11615).</t>
  </si>
  <si>
    <t>2045-2322</t>
  </si>
  <si>
    <t>SCI REP-UK</t>
  </si>
  <si>
    <t>Sci Rep</t>
  </si>
  <si>
    <t>10.1038/s41598-022-05928-y</t>
  </si>
  <si>
    <t>YS9HB</t>
  </si>
  <si>
    <t>WOS:000750981100105</t>
  </si>
  <si>
    <t>Vollmar, NM; Baumann, KH; Saavedra-Pellitero, M; Hernández-Almeida, I</t>
  </si>
  <si>
    <t>Vollmar, Nele Manon; Baumann, Karl-Heinz; Saavedra-Pellitero, Mariem; Hernandez-Almeida, Ivan</t>
  </si>
  <si>
    <t>Distribution of coccoliths in surface sediments across the Drake Passage and calcification of Emiliania huxleyi morphotypes</t>
  </si>
  <si>
    <t>ANTARCTIC CIRCUMPOLAR CURRENT; LATE AUSTRAL SUMMER; SOUTHERN-OCEAN; PACIFIC SECTOR; CARBONATE EXPORT; INDIAN SECTOR; CALCAREOUS NANNOPLANKTON; LATITUDINAL DISTRIBUTION; ENVIRONMENTAL CONTROLS; OPTICAL-PROPERTIES</t>
  </si>
  <si>
    <t>The Southern Ocean is experiencing rapid and profound changes in its physical and biogeochemical properties that may influence the distribution and composition of pelagic plankton communities. Coccolithophores are the most prolific carbonate-producing phytoplankton group, playing an important role in Southern Ocean biogeochemical cycles. However, knowledge is scarce about the record of (sub-)fossil coccolith assemblages in the Southern Ocean, which constitute invaluable indicators for palaeoenvironmental reconstructions. This study investigates coccolith assemblages preserved in surface sediments of southernmost Chile and across the Drake Passage that were retrieved during R/V Polarstern expedition PS97. We focused on the coccolith response to steep environmental gradients across the frontal system of the Antarctic Circumpolar Current and to hydrodynamic and post-depositional processes occurring in this region. We used statistical analyses to explore which environmental parameters influenced the coccolith assemblages by means of cluster and redundancy analyses. We specifically assessed the morphological diversity of the dominant taxa, i.e. Emiliania huxleyi, emphasizing biogeographical variability of morphotypes, coccolith sizes and calcite carbonate mass estimations. High coccolith abundances and species diversity compared to studies in the same area and in other sectors of the Southern Ocean occur, with a high species richness especially south of the Polar Front. While the surface sediments offshore Chile and north of the Polar Front provide suitable material to reconstruct overlying surface ocean conditions, further factors such as temporary thriving coccolithophore communities in the surface waters or transport of settling coccoliths via surface and bottom currents and eddies influence the (sub-)fossil coccolith assemblages south of the Polar Front. Additionally, deeper samples in the southern part of the study area are particularly affected by selective carbonate dissolution. We identified five E. huxleyi morphotypes (A, A overcalcified, R, B/C and O) and estimated coccolith carbonate masses on the basis of scanning electron microscope images. E. huxleyi morphologies reflect diverging biogeographical distributions, trending towards smaller and lighter coccoliths to the south and emphasizing the importance of documenting those morphologies in relation to changing environmental conditions to assess their response to projected environmental change in the Southern Ocean.</t>
  </si>
  <si>
    <t>[Vollmar, Nele Manon; Baumann, Karl-Heinz] Univ Bremen, Dept Geosci, POB 33 04 40, D-28334 Bremen, Germany; [Saavedra-Pellitero, Mariem] Univ Birmingham, Sch Geog Earth &amp; Environm Sci, Birmingham B15 2TT, W Midlands, England; [Hernandez-Almeida, Ivan] Swiss Fed Inst Technol, Dept Earth Sci, Geol Inst, Sonneggstr 5, CH-8092 Zurich, Switzerland</t>
  </si>
  <si>
    <t>University of Bremen; University of Birmingham; Swiss Federal Institutes of Technology Domain; ETH Zurich</t>
  </si>
  <si>
    <t>Vollmar, NM (corresponding author), Univ Bremen, Dept Geosci, POB 33 04 40, D-28334 Bremen, Germany.</t>
  </si>
  <si>
    <t>nvollmar@uni-bremen.de</t>
  </si>
  <si>
    <t>ALMEIDA, IVAN HERNANDEZ/G-3134-2015</t>
  </si>
  <si>
    <t>ALMEIDA, IVAN HERNANDEZ/0000-0002-9329-8357; Vollmar, Nele Manon/0000-0003-4180-3443; Saavedra, Mariem/0000-0003-0621-7932</t>
  </si>
  <si>
    <t>Deutsche Forschungsgemeinschaft [BA 1648/30-1]; European Union [799531]; UKRI (UK Research and Innovation) [NE/T009489/1]; NERC [NE/T009489/1] Funding Source: UKRI; Marie Curie Actions (MSCA) [799531] Funding Source: Marie Curie Actions (MSCA)</t>
  </si>
  <si>
    <t>Deutsche Forschungsgemeinschaft(German Research Foundation (DFG)); European Union(European Union (EU)); UKRI (UK Research and Innovation)(UK Research &amp; Innovation (UKRI)); NERC(UK Research &amp; Innovation (UKRI)Natural Environment Research Council (NERC)); Marie Curie Actions (MSCA)(Marie Curie Actions)</t>
  </si>
  <si>
    <t>This research was supported by the Deutsche Forschungsgemeinschaft (grant no. BA 1648/30-1) with a grant to Karl-Heinz Baumann, with funding for Nele Manon Vollmar. Mariem Saavedra-Pellitero acknowledges funding from the European Union's Horizon 2020 Research and Innovation Programme under the Marie Sklodowska-Curie Actions (agreement no. 799531) and the UKRI (UK Research and Innovation; grant no. NE/T009489/1).</t>
  </si>
  <si>
    <t>10.5194/bg-19-585-2022</t>
  </si>
  <si>
    <t>YT8WC</t>
  </si>
  <si>
    <t>WOS:000751633000001</t>
  </si>
  <si>
    <t>Guillermic, M; Misra, S; Eagle, R; Tripati, A</t>
  </si>
  <si>
    <t>Guillermic, Maxence; Misra, Sambuddha; Eagle, Robert; Tripati, Aradhna</t>
  </si>
  <si>
    <t>Atmospheric CO2 estimates for the Miocene to Pleistocene based on foraminiferal δ11B at Ocean Drilling Program Sites 806 and 807 in the Western Equatorial Pacific</t>
  </si>
  <si>
    <t>ANTARCTIC ICE-SHEET; CARBON-DIOXIDE CONCENTRATIONS; PALEO-PH RECONSTRUCTION; BORON ISOTOPE; SOUTHERN-OCEAN; PLANKTONIC-FORAMINIFERA; NATURAL CARBONATES; LATE PLIOCENE; SEAWATER PH; SEA-LEVEL</t>
  </si>
  <si>
    <t>Constraints on the evolution of atmospheric CO2 levels throughout Earth's history are foundational to our understanding of past variations in climate. Despite considerable effort, records vary in their temporal and spatial coverage and estimates of past CO2 levels do not always converge, and therefore new records and proxies are valuable. Here we reconstruct atmospheric CO2 values across major climate transitions over the past 16 million years using the boron isotopic composition (delta B-11) of planktic foraminifera from 89 samples obtained from two sites in the West Pacific Warm Pool, Ocean Drilling Program (ODP) Sites 806 and 807, measured using high-precision multi-collector inductively coupled plasma mass spectrometry. We compare our results to published data from ODP Site 872, also in the Western Equatorial Pacific, that goes back to 22 million years ago. These sites are in a region that today is near equilibrium with the atmosphere and are thought to have been in equilibrium with the atmosphere for the interval studied. We show that delta B-11 data from this region are consistent with other boron-based studies. The data show evidence for elevated pCO(2) during the Middle Miocene and Early to Middle Pliocene, and reductions in pCO(2) of similar to 200 ppm during the Middle Miocene Climate Transition, similar to 250 ppm during Pliocene Glacial Intensification and similar to 50 ppm during the Mid-Pleistocene Climate Transition. During the Mid-Pleistocene Transition there is a minimum pCO(2) at marine isotopic stage (MIS) 30. Our results are consistent with a coupling between pCO(2), temperature and ice sheet expansion from the Miocene to the late Quaternary.</t>
  </si>
  <si>
    <t>[Guillermic, Maxence; Eagle, Robert; Tripati, Aradhna] Univ Calif Los Angeles, Ctr Diverse Leadership Sci, Inst Environm &amp; Sustainabil, Dept Atmospher &amp; Ocean Sci,Dept Earth Planetary &amp;, Los Angeles, CA 90095 USA; [Guillermic, Maxence; Eagle, Robert; Tripati, Aradhna] Inst Univ Europeen Mer, Lab Geosci Ocean UMR6538, UBO, Rue Dumont dUrville, F-29280 Plouzane, France; [Misra, Sambuddha] Indian Inst Sci, Ctr Earth Sci, Bengaluru 560012, Karnataka, India; [Misra, Sambuddha] Univ Cambridge, Dept Earth Sci, Godwin Lab Palaeoclimate Res, Cambridge, England</t>
  </si>
  <si>
    <t>University of California System; University of California Los Angeles; Universite de Bretagne Occidentale; Institut Universitaire Europeen de la Mer (IUEM); Indian Institute of Science (IISC) - Bangalore; University of Cambridge</t>
  </si>
  <si>
    <t>Guillermic, M; Tripati, A (corresponding author), Univ Calif Los Angeles, Ctr Diverse Leadership Sci, Inst Environm &amp; Sustainabil, Dept Atmospher &amp; Ocean Sci,Dept Earth Planetary &amp;, Los Angeles, CA 90095 USA.;Guillermic, M; Tripati, A (corresponding author), Inst Univ Europeen Mer, Lab Geosci Ocean UMR6538, UBO, Rue Dumont dUrville, F-29280 Plouzane, France.</t>
  </si>
  <si>
    <t>maxence.guillermic@gmail.com; atripati@g.ucla.edu</t>
  </si>
  <si>
    <t>Tripati, Aradhna Eagle/C-9419-2011; Eagle, Robert/A-2679-2011</t>
  </si>
  <si>
    <t>Eagle, Robert/0000-0003-0304-6111</t>
  </si>
  <si>
    <t>Department of Energy, Labor and Economic Growth (DOE BES grant) [DE-FG02-13ER16402]; International Research Chair Program - French government (LabexMer) [ANR-10-LABX-19-01]; IAGC student research grant 2017</t>
  </si>
  <si>
    <t>Department of Energy, Labor and Economic Growth (DOE BES grant)(United States Department of Energy (DOE)); International Research Chair Program - French government (LabexMer); IAGC student research grant 2017</t>
  </si>
  <si>
    <t>This research has been supported by the Department of Energy, Labor and Economic Growth (DOE BES grant no. DE-FG02-13ER16402 to Aradhna Tripati), the International Research Chair Program that is funded by the French government (LabexMer ANR-10-LABX-19-01 to Aradhna Tripati and Robert Eagle), and IAGC student research grant 2017.</t>
  </si>
  <si>
    <t>10.5194/cp-18-183-2022</t>
  </si>
  <si>
    <t>YT8WH</t>
  </si>
  <si>
    <t>WOS:000751633500001</t>
  </si>
  <si>
    <t>Cabrera, AA; Schall, E; Bérubé, M; Anderwald, P; Bachmann, L; Berrow, S; Best, PB; Clapham, PJ; Cunha, HA; Dalla Rosa, L; Dias, C; Findlay, KP; Haug, T; Heide-Jorgensen, MP; Hoelzel, AR; Kovacs, KM; Landry, S; Larsen, F; Lopes, XM; Lydersen, C; Mattila, DK; Oosting, T; Pace, RM; Papetti, C; Paspati, A; Pastene, LA; Prieto, R; Ramp, C; Robbins, J; Sears, R; Secchi, ER; Silva, MA; Simon, M; Víkingsson, G; Wiig, O; Oien, N; Palsboll, PJ</t>
  </si>
  <si>
    <t>Cabrera, Andrea A.; Schall, Elena; Berube, Martine; Anderwald, Pia; Bachmann, Lutz; Berrow, Simon; Best, Peter B.; Clapham, Phillip J.; Cunha, Haydee A.; Dalla Rosa, Luciano; Dias, Carolina; Findlay, Kenneth P.; Haug, Tore; Heide-Jorgensen, Mads Peter; Hoelzel, A. Rus; Kovacs, Kit M.; Landry, Scott; Larsen, Finn; Lopes, Xenia M.; Lydersen, Christian; Mattila, David K.; Oosting, Tom; Pace, Richard M.; Papetti, Chiara; Paspati, Angeliki; Pastene, Luis A.; Prieto, Rui; Ramp, Christian; Robbins, Jooke; Sears, Richard; Secchi, Eduardo R.; Silva, Monica A.; Simon, Malene; Vikingsson, Gisli; Wiig, Oystein; Oien, Nils; Palsboll, Per J.</t>
  </si>
  <si>
    <t>Strong and lasting impacts of past global warming on baleen whales and their prey</t>
  </si>
  <si>
    <t>cetaceans; climate change; demographic inference; genetics; glaciation; marine ecosystem; North Atlantic Ocean; polar ecosystems; Southern Ocean</t>
  </si>
  <si>
    <t>MAXIMUM-LIKELIHOOD-ESTIMATION; ARCTIC MARINE MAMMALS; SEA-ICE EXTENT; GENETIC DIFFERENTIATION; GLACIAL MAXIMUM; CLIMATE-CHANGE; FOOD-WEB; ATLANTIC; DYNAMICS; EUBALAENA</t>
  </si>
  <si>
    <t>Global warming is affecting the population dynamics and trophic interactions across a wide range of ecosystems and habitats. Translating these real-time effects into their long-term consequences remains a challenge. The rapid and extreme warming period that occurred after the Last Glacial Maximum (LGM) during the Pleistocene-Holocene transition (7-12 thousand years ago) provides an opportunity to gain insights into the long-term responses of natural populations to periods with global warming. The effects of this post-LGM warming period have been assessed in many terrestrial taxa, whereas insights into the impacts of rapid global warming on marine taxa remain limited, especially for megafauna. In order to understand how large-scale climate fluctuations during the post-LGM affected baleen whales and their prey, we conducted an extensive, large-scale analysis of the long-term effects of the post-LGM warming on abundance and inter-ocean connectivity in eight baleen whale and seven prey (fish and invertebrates) species across the Southern and the North Atlantic Ocean; two ocean basins that differ in key oceanographic features. The analysis was based upon 7032 mitochondrial DNA sequences as well as genome-wide DNA sequence variation in 100 individuals. The estimated temporal changes in genetic diversity during the last 30,000 years indicated that most baleen whale populations underwent post-LGM expansions in both ocean basins. The increase in baleen whale abundance during the Holocene was associated with simultaneous changes in their prey and climate. Highly correlated, synchronized and exponential increases in abundance in both baleen whales and their prey in the Southern Ocean were indicative of a dramatic increase in ocean productivity. In contrast, the demographic fluctuations observed in baleen whales and their prey in the North Atlantic Ocean were subtle, varying across taxa and time. Perhaps most important was the observation that the ocean-wide expansions and decreases in abundance that were initiated by the post-LGM global warming, continued for millennia after global temperatures stabilized, reflecting persistent, long-lasting impacts of global warming on marine fauna.</t>
  </si>
  <si>
    <t>[Cabrera, Andrea A.; Schall, Elena; Berube, Martine; Lopes, Xenia M.; Oosting, Tom; Paspati, Angeliki; Palsboll, Per J.] Univ Groningen, Groningen Inst Evolutionary Life Sci, Nijenborgh 7, NL-9747 AG Groningen, Netherlands; [Cabrera, Andrea A.] Univ Copenhagen, GLOBE Inst, Copenhagen, Denmark; [Berube, Martine; Landry, Scott; Mattila, David K.; Robbins, Jooke; Palsboll, Per J.] Ctr Coastal Studies, Provincetown, MA USA; [Anderwald, Pia] Swiss Natl Pk, Chaste Planta Wildenberg, Zernez, Switzerland; [Bachmann, Lutz; Wiig, Oystein] Univ Oslo, Nat Hist Museum, Oslo, Norway; [Berrow, Simon] Galway Mayo Inst Technol, Marine &amp; Freshwater Res Ctr, Galway, Ireland; [Berrow, Simon] Irish Whale &amp; Dolphin Grp, Kilrush, County Clare, Ireland; [Best, Peter B.; Findlay, Kenneth P.] Univ Pretoria, Mammal Res Inst, Dept Zool &amp; Entomol, Hatfield, South Africa; [Clapham, Phillip J.] Seastar Sci Inc, Vashon Isl, WA USA; [Cunha, Haydee A.; Dias, Carolina] State Univ Rio de Janeiro UERJ, Fac Oceanog, Aquat Mammals &amp; Bioindicators Lab MAQUA, Maracana, RJ, Brazil; [Cunha, Haydee A.] State Univ Rio de Janeiro UERJ, Biol Inst, Genet Dept, Maracana, RJ, Brazil; [Dalla Rosa, Luciano; Secchi, Eduardo R.] Fed Univ Rio Grande FURG, Inst Oceanog, Lab Ecol &amp; Conservat Marine Megafauna, Rio Grande, RS, Brazil; [Findlay, Kenneth P.] Cape Peninsula Univ Technol, Ctr Sustainable Oceans Econ, Dept Conservat &amp; Marine Sci, Cape Town, South Africa; [Haug, Tore] Inst Marine Res, Res Grp Marine Mammals, Tromso, Norway; [Heide-Jorgensen, Mads Peter] Greenland Inst Nat Resources, Nuuk, Denmark; [Hoelzel, A. Rus] Univ Durham, Dept Biosci, Durham, England; [Kovacs, Kit M.; Lydersen, Christian] Norwegian Polar Res Inst, Tromso, Norway; [Larsen, Finn] Tech Univ Denmark, Natl Inst Aquat Resources, Sect Ecosyst Based Marine Management, Lyngby, Denmark; [Oosting, Tom] Victoria Univ Wellington, Sch Biol Sci, Wellington, New Zealand; [Pace, Richard M.] Northeast Fisheries Sci Ctr, Natl Marine Fisheries Serv, Woods Hole, MA USA; [Papetti, Chiara] Univ Padua, Dept Biol, Padua, Italy; [Paspati, Angeliki] Hellen Agr Org DIMITRA, Iraklion, Greece; [Pastene, Luis A.] Inst Cetacean Res, Tokyo, Japan; [Prieto, Rui; Silva, Monica A.] Univ Azores, Inst Marine Sci Okeanos, Horta, Portugal; [Prieto, Rui; Silva, Monica A.] Univ Azores, Inst Marine Res IMAR, Horta, Portugal; [Ramp, Christian] Univ St Andrews, Sea Mammal Res Unit, Scottish Oceans Inst, St Andrews, Fife, Scotland; [Ramp, Christian] Mingan Isl Cetacean Study, St Lambert, PQ, Canada; [Sears, Richard; Simon, Malene] Greenland Inst Nat Resources, Greenland Climate Res Ctr, Nuuk, Greenland; [Vikingsson, Gisli] Marine &amp; Freshwater Res Inst, Hafnarfjordur, Iceland; [Oien, Nils] Inst Marine Res, Marine Mammal Div, Bergen, Norway</t>
  </si>
  <si>
    <t>University of Groningen; University of Copenhagen; University of Oslo; Atlantic Technological University (ATU); University of Pretoria; Universidade do Estado do Rio de Janeiro; Universidade do Estado do Rio de Janeiro; Universidade Federal do Rio Grande; Cape Peninsula University of Technology; Institute of Marine Research - Norway; Greenland Institute of Natural Resources; Durham University; Norwegian Polar Institute; Technical University of Denmark; Victoria University Wellington; National Oceanic Atmospheric Admin (NOAA) - USA; University of Padua; Universidade dos Acores; Universidade dos Acores; University of St Andrews; Greenland Institute of Natural Resources; Marine &amp; Freshwater Research Institute (MFRI); Institute of Marine Research - Norway</t>
  </si>
  <si>
    <t>Cabrera, AA; Palsboll, PJ (corresponding author), Univ Groningen, Groningen Inst Evolutionary Life Sci, Nijenborgh 7, NL-9747 AG Groningen, Netherlands.</t>
  </si>
  <si>
    <t>andrea_ca_gt@yahoo.com; palsboll@gmail.com</t>
  </si>
  <si>
    <t>Heide-Jørgensen, Mads Peter/F-6464-2011; Palsboll, Per J/G-6988-2011; Prieto, Rui/G-8286-2011; Berube, Martine/IWU-4585-2023; Silva, Mónica/D-1893-2012; Cunha, Haydee A/O-1940-2017; Rosa, Luciano Dalla/D-5660-2012; Findlay, Ken/A-5766-2019; Cabrera, Andrea A./E-8130-2013</t>
  </si>
  <si>
    <t>Silva, Mónica/0000-0002-2683-309X; Cunha, Haydee A/0000-0002-8554-0238; Rosa, Luciano Dalla/0000-0002-1583-6471; Larsen, Finn/0000-0001-6498-9012; Findlay, Ken/0000-0001-7154-8805; Bachmann, Lutz/0000-0001-7451-2074; Cabrera, Andrea A./0000-0001-5385-1114; Berube, Martine/0000-0002-1831-2657; Ramp, Christian/0000-0001-5528-1733; Berrow, Simon/0000-0001-9226-6567; Robbins, Jooke/0000-0002-6382-722X; Paspati, Angeliki/0000-0002-7110-8970; Papetti, Chiara/0000-0002-4567-459X</t>
  </si>
  <si>
    <t>University of Groningen; Copenhagen University; Bangor University; University of California Berkeley; University of Oslo; University of Stockholm; Greenland Home Rule Government; Commission for Scientific Research in Greenland; Greenland Nature Resource Institute; Aage V. Jensen Foundation; Danish Natural Science Research Council; National Council for Scientific and Technological Development (CNPq ) of the Ministry of Science, Technology and Innovation (MCTI) under the scope of the Brazilian Antarctic Program [442637/2018--7, 408096/2013--6]; Irish Research Council; Dutch Research Council-NWO--(Rubicon project) [019.183EN.005]; Brazilian scholarship from CNPq [201709/2014--7]; Norwegian Polar Institute; WWF Norway; Norwegian Research Council (ICE--whales programme); Portuguese Foundation for Science and Technology (FCT) [PTDC/MAR/74071/2006, IF/00943/2013, SFRH/BPD/108007/2015, UID/MAR/04292/2019, UIDB/05634/2020]</t>
  </si>
  <si>
    <t>University of Groningen; Copenhagen University; Bangor University; University of California Berkeley(University of California System); University of Oslo; University of Stockholm; Greenland Home Rule Government; Commission for Scientific Research in Greenland; Greenland Nature Resource Institute; Aage V. Jensen Foundation; Danish Natural Science Research Council(Danish Natural Science Research Council); National Council for Scientific and Technological Development (CNPq ) of the Ministry of Science, Technology and Innovation (MCTI) under the scope of the Brazilian Antarctic Program; Irish Research Council(Irish Research Council for Science, Engineering and Technology); Dutch Research Council-NWO--(Rubicon project); Brazilian scholarship from CNPq; Norwegian Polar Institute; WWF Norway; Norwegian Research Council (ICE--whales programme)(Research Council of Norway); Portuguese Foundation for Science and Technology (FCT)(Fundacao para a Ciencia e a Tecnologia (FCT))</t>
  </si>
  <si>
    <t>The work was supported by the University of Groningen (P. J.P., M.B., and A.A.C.), Copenhagen University (P.J.P. and A. A.C.), Bangor University (P.J. P. and M.B.), University of California Berkeley (P.J. P. and M.B.), University of Oslo (L.B. and O.W.), and University of Stockholm (P. J.P. and M.B.). Funding was also provided by the Greenland Home Rule Government (P.J.P.), the Commission for Scientific Research in Greenland (P.J.P.), the Greenland Nature Resource Institute (P. J.P.), WWF--DK (P.J.P.), the Aage V. Jensen Foundation (P.J.P.), the Danish Natural Science Research Council (P.J.P.), and the National Council for Scientific and Technological Development (CNPq grant numbers 442637/2018--7 and 408096/2013--6) of the Ministry of Science, Technology and Innovation (MCTI) under the scope of the Brazilian Antarctic Program (L.D.R., E.R.S., H.A.C., and C. D.) and the Irish Research Council (C.R.). A.A.C. was supported by a fellowship from Dutch Research Council-NWO--(Rubicon project 019.183EN.005). X.M.L. was funded by a Brazilian scholarship from CNPq (201709/2014--7). Additional funding from the Norwegian Polar Institute, WWF Norway, and the Norwegian Research Council (ICE--whales programme) financed Norwegian data collection and participation. Funds were also provided by the Portuguese Foundation for Science and Technology (FCT) through research and individual grants TRACE--PTDC/MAR/74071/2006, IF/00943/2013, SFRH/BPD/108007/2015, UID/MAR/04292/2019, and UIDB/05634/2020.</t>
  </si>
  <si>
    <t>10.1111/gcb.16085</t>
  </si>
  <si>
    <t>ZS9EB</t>
  </si>
  <si>
    <t>Green Published, Green Accepted, Green Submitted, hybrid</t>
  </si>
  <si>
    <t>WOS:000749512000001</t>
  </si>
  <si>
    <t>Caceres-Saez, I; Haro, D; Blank, O; Aguayo-Lobo, A; Dougnac, C; Arredondo, C; Cappozzo, HL; Guevara, SR</t>
  </si>
  <si>
    <t>Caceres-Saez, Iris; Haro, Daniela; Blank, Olivia; Aguayo-Lobo, Anelio; Dougnac, Catherine; Arredondo, Cristobal; Luis Cappozzo, H.; Ribeiro Guevara, Sergio</t>
  </si>
  <si>
    <t>Macro-elements K, Na, Cl, Mg, and Ca in body tissues of false killer whales (Pseudorca crassidens) from the Southern Ocean</t>
  </si>
  <si>
    <t>Cetaceans; Electrolytes; Minerals; Reproductive organs; Soft tissues; Austral waters</t>
  </si>
  <si>
    <t>ENVIRONMENTAL SPECIMEN BANK; BOTTLE-NOSED DOLPHINS; TRACE-ELEMENTS; NONESSENTIAL ELEMENTS; CHLORINATED HYDROCARBONS; TURSIOPS-TRUNCATUS; BLOOD-CHEMISTRY; PHOCA-VITULINA; BOWHEAD WHALE; HEAVY-METALS</t>
  </si>
  <si>
    <t>Macro-elements such as potassium (K), sodium (Na), chlorine (Cl), magnesium (Mg), and calcium (Ca) are essential in marine mammals' nutrition. These elements are involved in physiological processes. Upon consumption, they are assimilated and accumulate in tissues. For the first time, they were detected in lung, spleen, liver, kidney, muscle, uterus, ovary, and testis of 5, and in skin of 12, stranded false killer whales (Pseudorca crassidens) in sub-Antarctic waters of the South Atlantic Ocean. Results showed that testis reached the highest potassium mean concentration, 1.62 (0.25) wt% dry weight (DW) (standard deviation in parentheses), followed by muscle, 1.11 (0.12) wt% DW, and decreasing in skin to 0.351 (0.098) wt% DW. Testis and lung exhibited among the highest sodium concentrations, with 0.96 (0.20) and 0.93 (0.18) wt% DW, respectively. Chlorine concentration was highest in testis, (1.55 wt% DW) followed by uterus (1.26 wt% DW) and kidney [1.13 (0.16) wt% DW]. Magnesium reached higher concentrations in uterus (0.134 wt% DW) and muscle [0.109 (0.054) wt% DW]. Calcium was higher in lung [0.230 (0.05) wt% DW] and kidney (0.149; 0.294 wt% DW). Hepatic levels of K, Na, Cl, and Mg in false killer whales are generally within the range of other studied species, while Ca levels are the highest reported. Macro-element concentration ranges were established for diverse tissues and organs of the false killer whale as the current best available baseline reference values for assessments of general condition.</t>
  </si>
  <si>
    <t>[Caceres-Saez, Iris; Luis Cappozzo, H.] Consejo Nacl Invest Cient &amp; Tecn, Museo Argentino Ciencias Nat Bernardino Rivadavia, Ave Angel Gallardo 470,C1405DJR, Buenos Aires, DF, Argentina; [Haro, Daniela] Univ Santo Tomas, Ctr Bahia Lomas, Ave Costanera, Punta Arenas 01834, Chile; [Blank, Olivia] Clin Vet Timaukel, Punta Arenas 01316, Chile; [Blank, Olivia] Ctr Rehabil Aves Lenadura CRAL, Punta Arenas 01316, Chile; [Aguayo-Lobo, Anelio] Inst Antartico Chileno INACH, Plaza Munoz Gamero 1055, Punta Arenas, Chile; [Dougnac, Catherine; Arredondo, Cristobal] Wildlife Conservat Soc, Balmaceda 586, Punta Arenas, Chile; [Arredondo, Cristobal] Tarukari Nongovt Org, Santiago, Chile; [Ribeiro Guevara, Sergio] Ctr Atom Bariloche, Lab Anal Activac Neutron, Av E Bustillo 8500, San Carlos De Bariloche, Rio Negro, Argentina</t>
  </si>
  <si>
    <t>Consejo Nacional de Investigaciones Cientificas y Tecnicas (CONICET); Museo Argentino de Ciencias Naturales Bernardino Rivadavia (MACN); Universidad Santo Tomas; Comision Nacional de Energia Atomica (CNEA); Centro Atomico Bariloche</t>
  </si>
  <si>
    <t>Caceres-Saez, I (corresponding author), Consejo Nacl Invest Cient &amp; Tecn, Museo Argentino Ciencias Nat Bernardino Rivadavia, Ave Angel Gallardo 470,C1405DJR, Buenos Aires, DF, Argentina.</t>
  </si>
  <si>
    <t>caceres.saez@gmail.com</t>
  </si>
  <si>
    <t>Haro, Daniela/AAO-5242-2020</t>
  </si>
  <si>
    <t>Dougnac, Catherine/0000-0002-4282-7845; Haro, Daniela/0000-0002-9391-1262; Ribeiro Guevara, Sergio/0000-0001-7203-7687</t>
  </si>
  <si>
    <t>10.1007/s00300-022-03012-9</t>
  </si>
  <si>
    <t>WOS:000749585300001</t>
  </si>
  <si>
    <t>Emanuelsson, BD; Thomas, ER; Tetzner, DR; Humby, JD; Vladimirova, DO</t>
  </si>
  <si>
    <t>Emanuelsson, B. Daniel; Thomas, Elizabeth R.; Tetzner, Dieter R.; Humby, Jack D.; Vladimirova, Diana O.</t>
  </si>
  <si>
    <t>Ice Core Chronologies from the Antarctic Peninsula: The Palmer, Jurassic, and Rendezvous Age-Scales</t>
  </si>
  <si>
    <t>GEOSCIENCES</t>
  </si>
  <si>
    <t>Antarctic Peninsula chronology; ice cores; volcanism; age-scales; annual-layer counting; water stable isotopes</t>
  </si>
  <si>
    <t>CONTINUOUS-FLOW ANALYSIS; STABLE WATER ISOTOPES; HIGH-RESOLUTION; WEST ANTARCTICA; WAIS DIVIDE; SEA; INFORMATION; ERUPTION; SIGNALS; SULFATE</t>
  </si>
  <si>
    <t>In this study, we present the age scales for three Antarctic Peninsula (AP) ice cores: Palmer, Rendezvous, and Jurassic. The three cores are all intermediate-depth cores, in the 133-141 m depth range. Non-sea-salt sulfate ([nssSO(4)(2-)]) and hydrogen peroxide (H2O2) display marked seasonal variability suitable for annual-layer counting. The Palmer ice core covers 390 years, 1621-2011 C.E., and is one of the oldest AP cores. Rendezvous and Jurassic are lower elevation high-snow accumulation sites and therefore cover shorter intervals, 1843-2011 C.E. and 1874-2011 C.E., respectively. The age scales show good agreement with known volcanic age horizons. The three chronologies' start and end dates of volcanic events are compared to the volcanic events in the published WAIS Divide core. The age difference for the Palmer age scale is +/- 6 months, Rendezvous +/- 9 months, and Jurassic +/- 7 months. Our results demonstrate the advantage of dating several cores from the same region at the same time. Additional confidence can be gained in the age scales by evaluating and finding synchronicity of [nssSO(4)(2-)] peaks amongst the sites.</t>
  </si>
  <si>
    <t>[Emanuelsson, B. Daniel; Thomas, Elizabeth R.; Tetzner, Dieter R.; Humby, Jack D.; Vladimirova, Diana O.] NERC, Ice Dynam &amp; Paleoclimate Grp, British Antarct Survey, High Cross,Madingley Rd, Cambridge CB3 0ET, England; [Tetzner, Dieter R.] Univ Cambridge, Dept Earth Sci, Downing St, Cambridge CB2 3EQ, England</t>
  </si>
  <si>
    <t>UK Research &amp; Innovation (UKRI); Natural Environment Research Council (NERC); NERC British Antarctic Survey; University of Cambridge</t>
  </si>
  <si>
    <t>Emanuelsson, BD (corresponding author), NERC, Ice Dynam &amp; Paleoclimate Grp, British Antarct Survey, High Cross,Madingley Rd, Cambridge CB3 0ET, England.</t>
  </si>
  <si>
    <t>danem@bas.ac.uk; lith@bas.ac.uk; dietet95@bas.ac.uk; jacby@bas.ac.uk; diaadi@bas.ac.uk</t>
  </si>
  <si>
    <t>Thomas, Elizabeth Ruth/ADF-3660-2022</t>
  </si>
  <si>
    <t>Thomas, Elizabeth Ruth/0000-0002-3010-6493; Emanuelsson, B. Daniel/0000-0002-9373-6951; Tetzner, Dieter/0000-0001-7659-8799; Vladimirova, Diana/0000-0002-1678-0174; humby, jack/0000-0003-0526-2766</t>
  </si>
  <si>
    <t>British Antarctic Survey; Natural Environment Research Council (NERC, Cambridge, UK); NERC [NE/J020710/1]; Haus der Kulturen der Welt (HKW, Berlin, Germany); Anthropocene working group (AWG)</t>
  </si>
  <si>
    <t>British Antarctic Survey; Natural Environment Research Council (NERC, Cambridge, UK); NERC(UK Research &amp; Innovation (UKRI)Natural Environment Research Council (NERC)); Haus der Kulturen der Welt (HKW, Berlin, Germany); Anthropocene working group (AWG)</t>
  </si>
  <si>
    <t>The ice core drilling and analysis was funded by the British Antarctic Survey, Natural Environment Research Council (NERC, Cambridge, UK), part of UK research and innovation and NERC grant [NE/J020710/1]. Palmer analysis was funded by Haus der Kulturen der Welt (HKW, Berlin, Germany), in collaboration with the Anthropocene working group (AWG).</t>
  </si>
  <si>
    <t>MDPI</t>
  </si>
  <si>
    <t>BASEL</t>
  </si>
  <si>
    <t>ST ALBAN-ANLAGE 66, CH-4052 BASEL, SWITZERLAND</t>
  </si>
  <si>
    <t>2076-3263</t>
  </si>
  <si>
    <t>Geosciences</t>
  </si>
  <si>
    <t>10.3390/geosciences12020087</t>
  </si>
  <si>
    <t>6H2AZ</t>
  </si>
  <si>
    <t>gold, Green Published, Green Accepted</t>
  </si>
  <si>
    <t>WOS:000885250800001</t>
  </si>
  <si>
    <t>Dai, DX; Lu, HB; Xing, P; Wu, QL</t>
  </si>
  <si>
    <t>Dai, Daoxin; Lu, Huibin; Xing, Peng; Wu, Qinglong</t>
  </si>
  <si>
    <t>Comparative Genomic Analyses of the Genus Nesterenkonia Unravels the Genomic Adaptation to Polar Extreme Environments</t>
  </si>
  <si>
    <t>MICROORGANISMS</t>
  </si>
  <si>
    <t>microbial adaptation; comparative genome; polar environments; Nesterenkonia</t>
  </si>
  <si>
    <t>SP NOV.; PERMAFROST BACTERIUM; MECHANISMS; DIVERSITY; ALGORITHM; RADIATION; SEQUENCE; NITROGEN; COLD; REVEALS</t>
  </si>
  <si>
    <t>The members of the Nesterenkonia genus have been isolated from various habitats, like saline soil, salt lake, sponge-associated and the human gut, some of which are even located in polar areas. To identify their stress resistance mechanisms and draw a genomic profile across this genus, we isolated four Nesterenkonia strains from the lakes in the Tibetan Plateau, referred to as the third pole, and compared them with all other 30 high-quality Nesterenkonia genomes that are deposited in NCBI. The Heaps' law model estimated that the pan-genome of this genus is open and the number of core, shell, cloud, and singleton genes were 993 (6.61%), 2782 (18.52%), 4117 (27.40%), and 7132 (47.47%), respectively. Phylogenomic and ANI/AAI analysis indicated that all genomes can be divided into three main clades, named NES-1, NES-2, and NES-3. The strains isolated from lakes in the Tibetan Plateau were clustered with four strains from different sources in the Antarctic and formed a subclade within NES-2, described as NES-AT. Genome features of this subclade, including GC (guanine + cytosine) content, tRNA number, carbon/nitrogen atoms per residue side chain (C/N-ARSC), and amino acid composition, in NES-AT individuals were significantly different from other strains, indicating genomic adaptation to cold, nutrient-limited, osmotic, and ultraviolet conditions in polar areas. Functional analysis revealed the enrichment of specific genes involved in bacteriorhodopsin synthesis, biofilm formation, and more diverse nutrient substance metabolism genes in the NES-AT clade, suggesting potential adaptation strategies for energy metabolism in polar environments. This study provides a comprehensive profile of the genomic features of the Nesterenkonia genus and reveals the possible mechanism for the survival of Nesterenkonia isolates in polar areas.</t>
  </si>
  <si>
    <t>[Dai, Daoxin; Lu, Huibin; Xing, Peng; Wu, Qinglong] Chinese Acad Sci, Nanjing Inst Geog &amp; Limnol, State Key Lab Lake Sci &amp; Environm, 73 East Beijing Rd, Nanjing 210008, Peoples R China; [Dai, Daoxin] Univ Chinese Acad Sci, Coll Resources &amp; Environm, Beijing 100049, Peoples R China; [Lu, Huibin] Yunnan Normal Univ, Sch Tourism &amp; Geog, Yunnan Key Lab Plateau Geog Proc &amp; Environm Chang, Kunming 650500, Yunnan, Peoples R China; [Wu, Qinglong] Univ Chinese Acad Sci, Sino Danish Ctr Sci &amp; Educ, Beijing 100049, Peoples R China; [Wu, Qinglong] Chinese Acad Sci, Fuxianhu Stn Deep Lake Res, Chengjiang 652500, Peoples R China</t>
  </si>
  <si>
    <t>Chinese Academy of Sciences; Nanjing Institute of Geography &amp; Limnology, CAS; Chinese Academy of Sciences; University of Chinese Academy of Sciences, CAS; Yunnan Normal University; Chinese Academy of Sciences; University of Chinese Academy of Sciences, CAS; Chinese Academy of Sciences</t>
  </si>
  <si>
    <t>Wu, QL (corresponding author), Chinese Acad Sci, Nanjing Inst Geog &amp; Limnol, State Key Lab Lake Sci &amp; Environm, 73 East Beijing Rd, Nanjing 210008, Peoples R China.;Wu, QL (corresponding author), Univ Chinese Acad Sci, Sino Danish Ctr Sci &amp; Educ, Beijing 100049, Peoples R China.;Wu, QL (corresponding author), Chinese Acad Sci, Fuxianhu Stn Deep Lake Res, Chengjiang 652500, Peoples R China.</t>
  </si>
  <si>
    <t>daidaoxin2022@163.com; luhuibin611@163.com; pxing@niglas.ac.cn; qlwu@niglas.ac.cn</t>
  </si>
  <si>
    <t>xing, peng/HDM-6843-2022</t>
  </si>
  <si>
    <t>wu, qing long/0000-0003-1636-4928; Xing, Peng/0000-0002-4917-5181</t>
  </si>
  <si>
    <t>National Natural Science Foundation of China [31730013]; Key Research Program of Frontier Science, Chinese Academy of Sciences [QYZDJ-SSW-DQC030]</t>
  </si>
  <si>
    <t>National Natural Science Foundation of China(National Natural Science Foundation of China (NSFC)); Key Research Program of Frontier Science, Chinese Academy of Sciences</t>
  </si>
  <si>
    <t>This work was supported by the National Natural Science Foundation of China (31730013) and the Key Research Program of Frontier Science, Chinese Academy of Sciences (QYZDJ-SSW-DQC030).</t>
  </si>
  <si>
    <t>2076-2607</t>
  </si>
  <si>
    <t>Microorganisms</t>
  </si>
  <si>
    <t>10.3390/microorganisms10020233</t>
  </si>
  <si>
    <t>2V8NG</t>
  </si>
  <si>
    <t>WOS:000824095100001</t>
  </si>
  <si>
    <t>Hudson, J; Adams, M; Jantawongsri, K; Dempster, T; Nowak, BF</t>
  </si>
  <si>
    <t>Hudson, Jemma; Adams, Mark; Jantawongsri, Khattapan; Dempster, Tim; Nowak, Barbara F.</t>
  </si>
  <si>
    <t>Evaluation of Low Temperature and Salinity as a Treatment of Atlantic Salmon against Amoebic Gill Disease</t>
  </si>
  <si>
    <t>mariculture; salmon; Neoparamoeba perurans</t>
  </si>
  <si>
    <t>NEOPARAMOEBA-PERURANS; SALAR L.; WATER CHEMISTRY; MARINE; PATHOLOGY; AGD; SURVIVAL; FISH; LICE</t>
  </si>
  <si>
    <t>Amoebic gill disease (AGD) is a significant health issue for Atlantic salmon farmed in a marine environment. While the disease is currently managed using freshwater or hydrogen peroxide baths, there is a need to develop other treatments. The aims of this study were to examine the effect of salinity (0 ppt and 35 ppt) and temperature (3 degrees C and 15 degrees C) on attachment and survival of Neoparamoeba perurans in vitro over short exposure times (15 min and 2 h) and to assess the efficacy of reduced temperature (3 degrees C) as treatment for Atlantic salmon affected by AGD. In vitro freshwater 3 degrees C was at least as effective as freshwater 15 degrees C and the attachment was significantly lower after 2 h in freshwater 3 degrees C than freshwater 15 degrees C. In vivo there was no difference between the fish treated with freshwater 15 degrees C for 2 h or freshwater 3 degrees C. This study showed that despite exposure to low temperature reducing attachment of N. perurans to their substrate in vitro, 15 min cold-water bath treatment was not more effective at reducing AGD in Atlantic salmon than current commercial 2 h freshwater bath.</t>
  </si>
  <si>
    <t>[Hudson, Jemma; Adams, Mark; Jantawongsri, Khattapan; Nowak, Barbara F.] Univ Tasmania, Inst Marine &amp; Antarctic Studies IMAS, Launceston, Tas 7250, Australia; [Dempster, Tim] Univ Melbourne, Sch Bio Sci, Sustainable Aquaculture Lab Temperate &amp; Trop SALT, Fac Sci, Melbourne, Vic 3010, Australia</t>
  </si>
  <si>
    <t>University of Tasmania; Melbourne Genomics Health Alliance; University of Melbourne</t>
  </si>
  <si>
    <t>Nowak, BF (corresponding author), Univ Tasmania, Inst Marine &amp; Antarctic Studies IMAS, Launceston, Tas 7250, Australia.</t>
  </si>
  <si>
    <t>jhudson6@utas.edu.au; Mark.Adams@utas.edu.au; Khattapan.Jantawongsri@utas.edu.au; dempster@unimelb.edu.au; B.Nowak@utas.edu.au</t>
  </si>
  <si>
    <t>Nowak, Barbara/J-7261-2014; Dempster, Tim/E-9630-2011</t>
  </si>
  <si>
    <t>Jantawongsri, Khattapan/0000-0003-1738-8091; Dempster, Tim/0000-0001-8041-426X</t>
  </si>
  <si>
    <t>Australian Research Council [FT140100383]; Australian Research Council [FT140100383] Funding Source: Australian Research Council</t>
  </si>
  <si>
    <t>Australian Research Council(Australian Research Council); Australian Research Council(Australian Research Council)</t>
  </si>
  <si>
    <t>This research was funded by Australian Research Council Future Fellowship FT140100383 Environmental and behavioural approaches for parasite resistant aquaculture awarded to T.D.</t>
  </si>
  <si>
    <t>10.3390/microorganisms10020202</t>
  </si>
  <si>
    <t>2V8KS</t>
  </si>
  <si>
    <t>WOS:000824088500001</t>
  </si>
  <si>
    <t>Kharitonov, VV</t>
  </si>
  <si>
    <t>Kharitonov, V. V.</t>
  </si>
  <si>
    <t>Ice Ridges in the Shokalsky Strait: The 2019 Research</t>
  </si>
  <si>
    <t>RUSSIAN METEOROLOGY AND HYDROLOGY</t>
  </si>
  <si>
    <t>ice ridge; thermal drilling; cross-sectional profile; consolidated layer; keel; porosity</t>
  </si>
  <si>
    <t>INTERNAL STRUCTURE; SEA</t>
  </si>
  <si>
    <t>Morphological characteristics of three first-year ice ridges were investigated in the Shokalsky Strait in April and May 2019 by hot-water thermal drilling with the recording of penetration rate. Boreholes were drilled along the ice ridge cross-section with an interval of 0.25 m. The ice ridge cross-sectional profiles are presented. The sail height for the investigated ridges varied within 1.8-2.7 m, and the keel draft varied from 7.0 to 9.1 m. The ratio of the keel draft to the sail height was equal to 2.7-5.2, the thickness of the consolidated layer was 2.4-2.7 m. The mean porosity of the unconsolidated part of the keel in the ice ridges made up 28-36%. The porosity distributions for the unconsolidated part of the keel along the drilling profile are given for the analyzed ice ridges. The main feature of one of the ridges was an almost rectilinear slope of the keel, which laterally extended for 16 m.</t>
  </si>
  <si>
    <t>[Kharitonov, V. V.] Arctic &amp; Antarctic Res Inst, Ul Beringa 38, St Petersburg 199397, Russia</t>
  </si>
  <si>
    <t>Arctic &amp; Antarctic Research Institute</t>
  </si>
  <si>
    <t>Kharitonov, VV (corresponding author), Arctic &amp; Antarctic Res Inst, Ul Beringa 38, St Petersburg 199397, Russia.</t>
  </si>
  <si>
    <t>sogra.kharitonov@mail.ru</t>
  </si>
  <si>
    <t>Kharitonov, Victor/0000-0003-1847-9980</t>
  </si>
  <si>
    <t>PLEIADES PUBLISHING INC</t>
  </si>
  <si>
    <t>PLEIADES HOUSE, 7 W 54 ST, NEW YORK, NY, UNITED STATES</t>
  </si>
  <si>
    <t>1068-3739</t>
  </si>
  <si>
    <t>1934-8096</t>
  </si>
  <si>
    <t>RUSS METEOROL HYDRO+</t>
  </si>
  <si>
    <t>Russ. Meteorol. Hydrol.</t>
  </si>
  <si>
    <t>10.3103/S106837392202008X</t>
  </si>
  <si>
    <t>2H4LM</t>
  </si>
  <si>
    <t>WOS:000814268000008</t>
  </si>
  <si>
    <t>Lee, S</t>
  </si>
  <si>
    <t>Lee, Seokwoo</t>
  </si>
  <si>
    <t>Korea Recent Developments in Korean Polar Policy and Legislation</t>
  </si>
  <si>
    <t>ASIA-PACIFIC JOURNAL OF OCEAN LAW AND POLICY</t>
  </si>
  <si>
    <t>Korea has long recognized the humanitarian and national significance of the Arctic and Antarctic. Korea has actively participated in scientific research in the Antarctic and has promoted economic cooperation with the Arctic nations. Korea joined the Antarctic Treaty System in 1986; established the Antarctic King Sejong Station in 1988, the Arctic Dasan Station in Ny-Alesund, Norway in 2002, and the Antarctic Jang Bogo Station in 2014; and joined the Svalbard Treaty in 2012. Furthermore, Korea has participated in summits with the Arctic nations since 2008. In 2009, then President Lee Myung-Bak visited Russia, Greenland, and Norway to promote cooperation in shipbuilding, energy resources, among others, over the Northern Sea Route. In 2018, Korea announced the Policy Framework for the Promotion of Arctic Activities of the Republic of Korea (2018-2022) and the 2050 Polar Vision. The Korean government's polar activities are underpinned by policies and plans, which include the Basic Plan of Antarctic Research (2007-2011, 20122016, 2017-2021), Measures for the Advancement of Polar Region Policy (2012), Comprehensive Arctic Plan (2013), and Korean Arctic Master Plan (2013-2017, 2018-2022). In April 2021, the Korean government passed the Polar Activities Promotion Act,1 which embodies the legal framework for Korea's commitment to the polar region. This note will focus on recent developments in Korean polar policy and legislation.</t>
  </si>
  <si>
    <t>[Lee, Seokwoo] Inha Univ, Law Sch, Law, Incheon, South Korea</t>
  </si>
  <si>
    <t>Inha University</t>
  </si>
  <si>
    <t>Lee, S (corresponding author), Inha Univ, Law Sch, Law, Incheon, South Korea.</t>
  </si>
  <si>
    <t>leeseokwoo@inha.ac.kr</t>
  </si>
  <si>
    <t>LEE, SEOKWOO/HCH-8836-2022</t>
  </si>
  <si>
    <t>BRILL</t>
  </si>
  <si>
    <t>LEIDEN</t>
  </si>
  <si>
    <t>PLANTIJNSTRAAT 2, P O BOX 9000, 2300 PA LEIDEN, NETHERLANDS</t>
  </si>
  <si>
    <t>2451-9367</t>
  </si>
  <si>
    <t>2451-9391</t>
  </si>
  <si>
    <t>ASIA-PAC J OCEAN LAW</t>
  </si>
  <si>
    <t>Asia-Pac. J. Ocean Law Policy</t>
  </si>
  <si>
    <t>10.1163/24519391-07010009</t>
  </si>
  <si>
    <t>1M5XB</t>
  </si>
  <si>
    <t>WOS:000800040800009</t>
  </si>
  <si>
    <t>Xiao, EZ; Jiang, F; Guo, JX; Latif, K; Fu, L; Sun, B</t>
  </si>
  <si>
    <t>Xiao, Enzhao; Jiang, Feng; Guo, Jingxue; Latif, Khalid; Fu, Lei; Sun, Bo</t>
  </si>
  <si>
    <t>3D Interpretation of a Broadband Magnetotelluric Data Set Collected in the South of the Chinese Zhongshan Station at Prydz Bay, East Antarctica</t>
  </si>
  <si>
    <t>REMOTE SENSING</t>
  </si>
  <si>
    <t>East Antarctica; magnetotelluric; 3D interpretation; the Prydz Bay; Chinese Zhongshan Station</t>
  </si>
  <si>
    <t>BENEATH; INVERSION; REGION; SYSTEM</t>
  </si>
  <si>
    <t>Antarctica is covered by a thick ice sheet, and the application of geophysical methods is necessary to image the subglacial structures for studying the hydrologic systems and tectonic deformations in the Antarctic continent. The magnetotelluric (MT) method is one of the best approaches to obtain the subglacial electrical resistivities. However, only a very small volume of data has been collected so far in Antarctica using this method. In this paper, we report on a broadband MT profile collected at 10 sites in the south of the Chinese Zhongshan Station at Prydz Bay, and a 3D resistivity model was constructed by inversion of these data. This 3D model shows two low resistivity zones at a depth shallower than 6 km. They are consistent with the low-velocity zones in the previous shear-wave model and can be interpreted as the result of interconnected fluids associated with a downward migration of subglacial water. In addition, a distinct eastward dipping low resistivity zoneis present in the crust, which extends from the top surface to the lower crust. Since its location coincides with the highly positive magnetization named Amery Lineament, it is proposed that this eastward dipping low resistivity zoneextending in the entire crust probably reveals the geometry structure of the Amery Lineament at depth. Besides, it can be inferred from this new 3D resistivity model that the Amery Lineament is at least a crustal-scale structure, which probably outcrops on the land surface but was covered by the ice sheets in the study area.</t>
  </si>
  <si>
    <t>[Xiao, Enzhao; Guo, Jingxue; Sun, Bo] Polar Res Inst China, Key Lab Polar Sci, MNR, Shanghai 200136, Peoples R China; [Jiang, Feng] Chinese Acad Sci, South China Sea Inst Oceanol, Key Lab Ocean &amp; Marginal Sea Geol, Guangzhou 510301, Peoples R China; [Jiang, Feng; Fu, Lei] Southern Univ Sci &amp; Technol, Dept Earth &amp; Space Sci, Shenzhen 518055, Peoples R China; [Latif, Khalid] Univ Peshawar, Natl Ctr Excellence Geol, Peshawar 25130, Pakistan</t>
  </si>
  <si>
    <t>Polar Research Institute of China; Chinese Academy of Sciences; South China Sea Institute of Oceanology, CAS; Southern University of Science &amp; Technology; University of Peshawar</t>
  </si>
  <si>
    <t>Jiang, F (corresponding author), Chinese Acad Sci, South China Sea Inst Oceanol, Key Lab Ocean &amp; Marginal Sea Geol, Guangzhou 510301, Peoples R China.;Jiang, F (corresponding author), Southern Univ Sci &amp; Technol, Dept Earth &amp; Space Sci, Shenzhen 518055, Peoples R China.</t>
  </si>
  <si>
    <t>xiaoenzhao@pric.org.cn; fengj.cn9@gmail.com; guojingxue@pric.org.cn; khalidlatif@uop.edu.pk; ful@sustech.edu.cn; sunbo@pric.org.cn</t>
  </si>
  <si>
    <t>sun, bo/JFA-9978-2023; Jiang, Feng/GRR-9672-2022</t>
  </si>
  <si>
    <t>Jiang, Feng/0000-0002-0351-3210; Latif, Khalid/0000-0002-5329-9902</t>
  </si>
  <si>
    <t>National Key R&amp;D Program of China [2019YFC1509102]; Shanghai Sailing Program [21YF1452100]; National Natural Science Foundation of China [42104064]</t>
  </si>
  <si>
    <t>National Key R&amp;D Program of China; Shanghai Sailing Program; National Natural Science Foundation of China(National Natural Science Foundation of China (NSFC))</t>
  </si>
  <si>
    <t>This research was funded by the National Key R&amp;D Program of China, grant number 2019YFC1509102 and by the Shanghai Sailing Program, grant number 21YF1452100 and by the National Natural Science Foundation of China, grant number 42104064.</t>
  </si>
  <si>
    <t>2072-4292</t>
  </si>
  <si>
    <t>REMOTE SENS-BASEL</t>
  </si>
  <si>
    <t>Remote Sens.</t>
  </si>
  <si>
    <t>10.3390/rs14030496</t>
  </si>
  <si>
    <t>Environmental Sciences; Geosciences, Multidisciplinary; Remote Sensing; Imaging Science &amp; Photographic Technology</t>
  </si>
  <si>
    <t>Environmental Sciences &amp; Ecology; Geology; Remote Sensing; Imaging Science &amp; Photographic Technology</t>
  </si>
  <si>
    <t>2C4UV</t>
  </si>
  <si>
    <t>WOS:000810866300001</t>
  </si>
  <si>
    <t>Wilson, EA; Thompson, AF; Stewart, AL; Sun, ST</t>
  </si>
  <si>
    <t>Wilson, Earle A.; Thompson, Andrew F.; Stewart, Andrew L.; Sun, Shantong</t>
  </si>
  <si>
    <t>Bathymetric Control of Subpolar Gyres and the Overturning Circulation in the Southern Ocean</t>
  </si>
  <si>
    <t>JOURNAL OF PHYSICAL OCEANOGRAPHY</t>
  </si>
  <si>
    <t>Southern Ocean; Eddies; Ocean dynamics; Gyres; General circulation models; Idealized models</t>
  </si>
  <si>
    <t>ANTARCTIC CIRCUMPOLAR CURRENT; WEDDELL GYRE; BOTTOM WATER; TRANSIENT EDDIES; SEA-ICE; TRANSPORT; MODEL; EXPORT; DEEP; STRATIFICATION</t>
  </si>
  <si>
    <t>The subpolar gyres of the Southern Ocean form an important dynamical link between the Antarctic Circumpolar Current (ACC) and the coastline of Antarctica. Despite their key involvement in the production and export of bottom water and the poleward transport of oceanic heat, these gyres are rarely acknowledged in conceptual models of the Southern Ocean circulation, which tend to focus on the zonally averaged overturning across the ACC. To isolate the effect of these gyres on the regional circulation, we carried out a set of numerical simulations with idealized representations of theWeddell Sea sector in the Southern Ocean. A key result is that the zonally oriented submarine ridge along the northern periphery of the subpolar gyre plays a fundamental role in setting the stratification and circulation across the entire region. In addition to sharpening and strengthening the horizontal circulation of the gyre, the zonal ridge establishes a strong meridional density front that separates the weakly stratified subpolar gyre from the more stratified circumpolar flow. Critically, the formation of this front shifts the latitudinal outcrop position of certain deep isopycnals such that they experience different buoyancy forcing at the surface. Additionally, the zonal ridge modifies the mechanisms by which heat is transported poleward by the ocean, favoring heat transport by transient eddies while suppressing that by stationary eddies. This study highlights the need to characterize how bathymetry at the subpolar gyre-ACC boundary may constrain the transient response of the regional circulation to changes in surface forcing. SIGNIFICANCE STATEMENT: This study explores the impact of seafloor bathymetry on the dynamics of subpolar gyres in the Southern Ocean. The subpolar gyres are major circulation features that connect the Antarctic Circumpolar Current (ACC) and the coastline of Antarctica. This work provides deeper insight for how the submarine ridges that exist along the northern periphery of these gyres shape the vertical distribution of tracers and overturning circulation in these regions. These findings highlight an underappreciated yet fundamentally important topographical constraint on the three-dimensional cycling of heat and carbon in the Southern Ocean}processes that have far-reaching implications for the global climate. Future work should explore how the presence of these ridges affect the time-evolving response of the Southern Ocean to changes in surface conditions.</t>
  </si>
  <si>
    <t>[Wilson, Earle A.; Thompson, Andrew F.; Sun, Shantong] CALTECH, Environm Sci &amp; Engn, Pasadena, CA 91125 USA; [Stewart, Andrew L.] Univ Calif Los Angeles, Dept Atmospher &amp; Ocean Sci, Los Angeles, CA USA</t>
  </si>
  <si>
    <t>California Institute of Technology; University of California System; University of California Los Angeles</t>
  </si>
  <si>
    <t>Wilson, EA (corresponding author), CALTECH, Environm Sci &amp; Engn, Pasadena, CA 91125 USA.</t>
  </si>
  <si>
    <t>earlew@caltech.edu</t>
  </si>
  <si>
    <t>Sun, Shantong/HTR-4945-2023</t>
  </si>
  <si>
    <t>Stewart, Andrew/0000-0001-5861-4070; Sun, Shantong/0000-0002-6932-5589</t>
  </si>
  <si>
    <t>NSF [OCE-1756956, OPP-2023259, OPP-2023244]; Caltech's Terrestrial Hazard Observations and Reporting (THOR) Center</t>
  </si>
  <si>
    <t>NSF(National Science Foundation (NSF)); Caltech's Terrestrial Hazard Observations and Reporting (THOR) Center</t>
  </si>
  <si>
    <t>EAW, AFT, and SS were supported by NSF Awards OCE-1756956 and OPP-2023259. EAW also acknowledges support from Caltech's Terrestrial Hazard Observations and Reporting (THOR) Center. ALS was supported by NSF Award OPP-2023244. Numerical simulations were carried out at the Resnick High Performance Computing Center at Caltech. The authors graciously thank the MITgcm modelling team for their invaluable efforts. The authors also thank two anonymous reviewers for their insightful and constructive feedback, which substantially improved this manuscript.</t>
  </si>
  <si>
    <t>AMER METEOROLOGICAL SOC</t>
  </si>
  <si>
    <t>BOSTON</t>
  </si>
  <si>
    <t>45 BEACON ST, BOSTON, MA 02108-3693, UNITED STATES</t>
  </si>
  <si>
    <t>0022-3670</t>
  </si>
  <si>
    <t>1520-0485</t>
  </si>
  <si>
    <t>J PHYS OCEANOGR</t>
  </si>
  <si>
    <t>J. Phys. Oceanogr.</t>
  </si>
  <si>
    <t>10.1175/JPO-D-21-0136.1</t>
  </si>
  <si>
    <t>1X2KV</t>
  </si>
  <si>
    <t>WOS:000807289600002</t>
  </si>
  <si>
    <t>Stouffer, RJ; Russell, JL; Beadling, RL; Broccoli, AJ; Krasting, JP; Malyshev, S; Naiman, Z</t>
  </si>
  <si>
    <t>Stouffer, R. J.; Russell, J. L.; Beadling, R. L.; Broccoli, A. J.; Krasting, J. P.; Malyshev, S.; Naiman, Z.</t>
  </si>
  <si>
    <t>The Role of Continental Topography in the Present-Day Ocean's Mean Climate</t>
  </si>
  <si>
    <t>JOURNAL OF CLIMATE</t>
  </si>
  <si>
    <t>Ocean; Ocean circulation; Paleoclimate</t>
  </si>
  <si>
    <t>PACIFIC PRECIPITATION PATTERN; LARGE-SCALE OROGRAPHY; MOUNTAIN UPLIFT; GENERAL-CIRCULATION; PART II; ATMOSPHERE; MODEL; SYSTEM; FORMULATION; MONSOON</t>
  </si>
  <si>
    <t>Climate models of varying complexity have been used for decades to investigate the impact of mountains on the atmosphere and surface climate. Here, the impact of removing the continental topography on the present-day ocean climate is investigated using three different climate models spanning multiple generations. An idealized study is performed where all present-day land surface topography is removed and the equilibrium change in the oceanic mean state with and without the mountains is studied. When the mountains are removed, changes found in all three models include a weakening of the Atlantic meridional overturning circulation and associated SST cooling in the subpolar North Atlantic. The SSTs also warm in all the models in the western North Pacific Ocean associated with a northward shift of the atmospheric jet and the Kuroshio. In the ocean interior, the magnitude of the temperature and salinity response to removing the mountains is relatively small and the sign and magnitude of the changes generally vary among the models. These different interior ocean responses are likely related to differences in the mean state of the control integrations due to differences in resolution and associated subgrid-scale mixing parameterizations. Compared to the results from 4xCO(2) simulations, the interior ocean temperature changes caused by mountain removal are relatively small; however, the oceanic circulation response and Northern Hemisphere near-surface temperature changes are of a similar magnitude to the response to such radiative forcing changes.</t>
  </si>
  <si>
    <t>[Stouffer, R. J.; Russell, J. L.; Beadling, R. L.] Univ Arizona, Dept Geosci, Tucson, AZ USA; [Beadling, R. L.] Univ Corp Atmospher Res, Boulder, CO USA; [Beadling, R. L.] Princeton Univ, Atmospher &amp; Ocean Sci Program, Princeton, NJ 08544 USA; [Broccoli, A. J.] Rutgers State Univ, Dept Environm Sci, New Brunswick, NJ USA; [Broccoli, A. J.] Rutgers State Univ, Inst Earth Ocean &amp; Atmospher Sci, New Brunswick, NJ USA; [Krasting, J. P.; Malyshev, S.] NOAA, Geophys Fluid Dynam Lab, Princeton, NJ USA; [Naiman, Z.] TuSimple Inc, Tucson, AZ USA</t>
  </si>
  <si>
    <t>University of Arizona; National Center Atmospheric Research (NCAR) - USA; Princeton University; National Oceanic Atmospheric Admin (NOAA) - USA; Rutgers University System; Rutgers University New Brunswick; Rutgers University System; Rutgers University New Brunswick; National Oceanic Atmospheric Admin (NOAA) - USA</t>
  </si>
  <si>
    <t>Stouffer, RJ (corresponding author), Univ Arizona, Dept Geosci, Tucson, AZ USA.</t>
  </si>
  <si>
    <t>ronaldstouffer@arizona.edu</t>
  </si>
  <si>
    <t>Broccoli, Anthony J/D-9186-2014; Krasting, John P/G-9360-2019</t>
  </si>
  <si>
    <t>Broccoli, Anthony J/0000-0003-2619-1434;</t>
  </si>
  <si>
    <t>NSF's Southern Ocean Carbon and Climate Observations and Modeling (SOCCOM) Project under NSF [PLR-1425989]; NOAA; NASA; National Science Foundation (NSF) Frontiers in Earth System Dynamics; NSF [EAR-1338553]</t>
  </si>
  <si>
    <t>NSF's Southern Ocean Carbon and Climate Observations and Modeling (SOCCOM) Project under NSF; NOAA(National Oceanic Atmospheric Admin (NOAA) - USA); NASA(National Aeronautics &amp; Space Administration (NASA)); National Science Foundation (NSF) Frontiers in Earth System Dynamics(National Science Foundation (NSF)); NSF(National Science Foundation (NSF))</t>
  </si>
  <si>
    <t>Drs. John P. Dunne and Stephen Griffies and two anonymous reviewers provided very helpful comments on earlier versions of this manuscript. The authors are also grateful for the support of Dr. V. Ramaswamy, Director of GFDL. The HPC support team at UA where the MCMUA model was integrated was also very helpful. JR and RB: This work was funded by NSF's Southern Ocean Carbon and Climate Observations and Modeling (SOCCOM) Project under NSF Award PLR-1425989, with additional support from NOAA and NASA. Logistical support for SOCCOM in the Antarctic was provided by the U.S. NSF through the U.S. Antarctic Program. ZN: This work was supported in part by the National Science Foundation (NSF) Frontiers in Earth System Dynamics and NSF Grant EAR-1338553.</t>
  </si>
  <si>
    <t>45 BEACON ST, BOSTON, MA 02108-3693 USA</t>
  </si>
  <si>
    <t>0894-8755</t>
  </si>
  <si>
    <t>1520-0442</t>
  </si>
  <si>
    <t>J CLIMATE</t>
  </si>
  <si>
    <t>J. Clim.</t>
  </si>
  <si>
    <t>10.1175/JCLI-D-20-0690.1</t>
  </si>
  <si>
    <t>1L3LY</t>
  </si>
  <si>
    <t>WOS:000799194300011</t>
  </si>
  <si>
    <t>Nie, YG; Zheng, ZQ; Lu, YL; Wei, YT; Wu, LJ; Liu, XD</t>
  </si>
  <si>
    <t>Nie, Yaguang; Zheng, Zhangqin; Lu, Yilin; Wei, Yutong; Wu, Lijun; Liu, Xiaodong</t>
  </si>
  <si>
    <t>Ornithogenic soils in the lake margin reveal the most recent Adelie penguin recolonization in Cape Royds, Antarctica</t>
  </si>
  <si>
    <t>Climate warming; Ornithogenic soil; Penguin population change; Lake margin; The Ross Sea region</t>
  </si>
  <si>
    <t>ROSS SEA REGION; MAGNETIC-SUSCEPTIBILITY; PACIFIC SECTOR; CLIMATE-CHANGE; VICTORIA LAND; ICE-AGE; SEDIMENTS; ISLAND; TEMPERATURE; VARIABILITY</t>
  </si>
  <si>
    <t>Ice-free areas hold the most biologically active and diverse ecosystems in Antarctica, in which penguins play an important role. As the climate conditions changed in the past, penguins migrated among different breeding sites, making their populations recorded in a certain area a key index to explore the interactions between the local environment and ecological processes. Two Pb-210-dated ornithogenic soil profiles encoded MR1 and MR2 are used in this study to recover the time of Adelie penguin (Pygoscelis adeliae) recolonization in Cape Royds of Ross Island, and their recent population change based on the element assemblage related to penguin guano, including Cu, Cd, Hg, P, S, Se, and Zn. It is revealed by both profiles that abundant penguins reentered this ice-free area at about 1820 to 1830, corresponding to the onset of a continuous warming. We found the reconstructed penguin population change pattern of MR1 in the lake margin in good agreement with the census and monitoring data since the late 1950s, and the pattern was subjected to environmental factors including temperature, sea ice, and polynyas. Our results showed that the ornithogenic soils in the lake margin can reflect the size of the penguin colony, and bridge the gap between long-term records and modern census, laying the basis for assessing the future penguin population in response to the drastically changing climate due to anthropogenic influence.</t>
  </si>
  <si>
    <t>[Nie, Yaguang; Lu, Yilin; Wei, Yutong; Wu, Lijun] Anhui Univ, Inst Phys Sci &amp; Informat Technol, Informat Mat &amp; Intelligent Sensing Lab Anhui Prov, Hefei 230601, Peoples R China; [Zheng, Zhangqin; Liu, Xiaodong] Univ Sci &amp; Technol China, Sch Earth &amp; Space Sci, Anhui Prov Key Lab Polar Environm &amp; Global Change, Hefei 230026, Anhui, Peoples R China</t>
  </si>
  <si>
    <t>Anhui University; Chinese Academy of Sciences; University of Science &amp; Technology of China, CAS</t>
  </si>
  <si>
    <t>Nie, YG (corresponding author), Anhui Univ, Inst Phys Sci &amp; Informat Technol, Informat Mat &amp; Intelligent Sensing Lab Anhui Prov, Hefei 230601, Peoples R China.;Liu, XD (corresponding author), Univ Sci &amp; Technol China, Sch Earth &amp; Space Sci, Anhui Prov Key Lab Polar Environm &amp; Global Change, Hefei 230026, Anhui, Peoples R China.</t>
  </si>
  <si>
    <t>nyg@ahu.edu.cn; ycx@ustc.edu.cn</t>
  </si>
  <si>
    <t>lu, yilin/W-7007-2018</t>
  </si>
  <si>
    <t>Chinese Arctic and Antarctic Administration of the State Oceanic Administration; National Natural Science Foundation of China [41776188, 41976191, 21507136]; Open Fund of State Key Laboratory of Loess and Quaternary Geology, Institute of Earth Environment, CAS [SKLLQG2006]; strategic Priority Research Program of Chinese Academy of Sciences [XDB40000000]</t>
  </si>
  <si>
    <t>Chinese Arctic and Antarctic Administration of the State Oceanic Administration; National Natural Science Foundation of China(National Natural Science Foundation of China (NSFC)); Open Fund of State Key Laboratory of Loess and Quaternary Geology, Institute of Earth Environment, CAS; strategic Priority Research Program of Chinese Academy of Sciences(Chinese Academy of Sciences)</t>
  </si>
  <si>
    <t>We thank the Chinese Arctic and Antarctic Administration of the State Oceanic Administration for project support. We also thank the United States Antarctic Program (USAP), Raytheon Polar Services, and in particular S. D. Emslie, J. Smykla, E. Gruber and L. Coats for their valuable assistance in the field. Two anonymous reviewers are acknowledged for their valuable comments and suggestions. This study was supported by the National Natural Science Foundation of China (Grant Nos. 41776188, 41976191, 21507136), Open Fund of State Key Laboratory of Loess and Quaternary Geology, Institute of Earth Environment, CAS (Grant No. SKLLQG2006), and the strategic Priority Research Program of Chinese Academy of Sciences (Grant No. XDB40000000).</t>
  </si>
  <si>
    <t>10.1016/j.catena.2022.106069</t>
  </si>
  <si>
    <t>0Y5PM</t>
  </si>
  <si>
    <t>WOS:000790442700003</t>
  </si>
  <si>
    <t>Król, P; Kusiak, MA; Dunkley, DJ; Wilde, SA; Yi, K; Whitehouse, MJ; Lee, S; Harley, SL</t>
  </si>
  <si>
    <t>Krol, Piotr; Kusiak, Monika A.; Dunkley, Daniel J.; Wilde, Simon A.; Yi, Keewook; Whitehouse, Martin J.; Lee, Shinae; Harley, Simon L.</t>
  </si>
  <si>
    <t>Neoarchean magmatism in the southern Scott and Raggatt Mountains, Napier Complex, east Antarctica</t>
  </si>
  <si>
    <t>PRECAMBRIAN RESEARCH</t>
  </si>
  <si>
    <t>East Antarctica; Enderby Land; Napier Complex; Archean granitoids; Zircon; U-Pb geochronology</t>
  </si>
  <si>
    <t>ULTRAHIGH-TEMPERATURE METAMORPHISM; CRUST-MANTLE INTERACTIONS; HIGH-GRADE METAMORPHISM; LATE-ARCHEAN GRANITOIDS; MT. RIISER-LARSEN; ENDERBY-LAND; DHARWAR CRATON; UHT METAMORPHISM; CLOSEPET GRANITE; ORTHO-PYROXENE</t>
  </si>
  <si>
    <t>The Napier Complex of Enderby Land and Kemp Land is a unique part of the Eastern Antarctic Shield, as it preserves history of crustal growth extending from the Eo-to Neoarchean. It is composed mainly of enderbitic and charnockitic gneisses and granulites metamorphosed at ca. 2.5 Ga, and locally at ca. 2.8 Ga, under high-to ultra-high temperature conditions. These events have been well-characterized in the central and western parts of the complex; however, the south-southwestern region has been little studied. Samples from the southern Scott and Raggatt Mountains were selected for zircon U-Pb dating by Secondary Ion Mass Spectrometry and whole-rock geochemical analysis. Tonalitic gneiss from the Raggatt Mountains and trondhjemitic gneiss from the southern Scott Mountains have protolith ages of 2711 +/- 5 Ma and 2726 +/- 6 Ma, respectively. In contrast, tonalitic samples from the southern Scott Mountains have protolith ages of ca. 2539 +/- 5, 2533 +/- 5 and 2522 +/- 9 Ma. The younger generation of magmatism overlaps the timing of metamorphic zircon growth between 2540 and 2440 Ma observed in this study. The geochemistry of ca. 2720 Ma gneisses indicates that magmatism was generated by medium-pressure melting (&gt; 1.5 GPa) of basaltic crust, whereas ca. 2530 Ma magmas were generated at lower pressures (&lt; 1.2 GPa). The ca. 2.7 Ga magmatism may be associated with continental crust formed at 2.8 Ga, or be newly formed crust that was assembled with older prior to or during a tectonometa-morphic event at ca. 2.5 Ga. Tonalitic magmatism at 2.53 Ga during the first half of the 2585-2420 Ma meta-morphic event may be a product of partial melting during high-grade metamorphism. Although protolith ages across the complex are still scarce, differences between regions raise the possibility that the complex contains crustal domains of different ages and origins that may not have been assembled until the ca. 2.5 Ga tectono-thermal event.</t>
  </si>
  <si>
    <t>[Krol, Piotr] Polish Acad Sci, Inst Geol Sci, Twarda 51-55, PL-00818 Warsaw, Poland; [Kusiak, Monika A.; Dunkley, Daniel J.] Polish Acad Sci, Inst Geophys, Warsaw, Poland; [Wilde, Simon A.] Curtin Univ, Sch Earth &amp; Planetary Sci, Perth, WA, Australia; [Yi, Keewook; Lee, Shinae] Korea Basic Sci Inst KBSI, Ochang Campus, Daejeon, South Korea; [Whitehouse, Martin J.] Swedish Museum Nat Hist, Dept Geosci, Stockholm, Sweden; [Harley, Simon L.] Univ Edinburgh, Sch Geosci, Edinburgh, Midlothian, Scotland</t>
  </si>
  <si>
    <t>Polish Academy of Sciences; Institute of Geological Sciences of the Polish Academy of Sciences; Polish Academy of Sciences; Institute of Geophysics of the Polish Academy of Sciences; Curtin University; Korea Basic Science Institute (KBSI); Swedish Museum of Natural History; University of Edinburgh</t>
  </si>
  <si>
    <t>Król, P (corresponding author), Polish Acad Sci, Inst Geol Sci, Twarda 51-55, PL-00818 Warsaw, Poland.</t>
  </si>
  <si>
    <t>piotr.krol@twarda.pan.pl</t>
  </si>
  <si>
    <t>Wilde, Simon Alexander/C-5174-2009; Whitehouse, Martin J/E-1425-2013</t>
  </si>
  <si>
    <t>Wilde, Simon Alexander/0000-0002-4546-8278;</t>
  </si>
  <si>
    <t>Norwegian Financial Mechanism [2014-2021: UMO2019/34/H/ST10/00619, 4548]; KBSI under the RD program [D37700]; ICT, South Korea</t>
  </si>
  <si>
    <t>Norwegian Financial Mechanism; KBSI under the RD program; ICT, South Korea</t>
  </si>
  <si>
    <t>The research leading to these results has received funding from the Norwegian Financial Mechanism 2014-2021: UMO2019/34/H/ST10/00619 to MAK; Australian Antarctic Science Grant: Project No. 4548 to SAW; and was supported by KBSI under the R&amp;D program (Project No. D37700) supervised by the Ministry of Science and ICT, South Korea. Chris Carson and Alix Post of Geoscience Australia are thanked for help, discussion, and especially for access to legacy samples collected by the Bureau of Mineral Resources during Australian National Antarctic Research Expeditions. Two anonymous reviewers are thanked for their comment, which assisted us in improving the manuscript.</t>
  </si>
  <si>
    <t>0301-9268</t>
  </si>
  <si>
    <t>1872-7433</t>
  </si>
  <si>
    <t>PRECAMBRIAN RES</t>
  </si>
  <si>
    <t>Precambrian Res.</t>
  </si>
  <si>
    <t>10.1016/j.precamres.2021.106530</t>
  </si>
  <si>
    <t>0V1IA</t>
  </si>
  <si>
    <t>WOS:000788097700002</t>
  </si>
  <si>
    <t>Fioramonti, NE; Guevara, SR; Becker, YA; Riccialdelli, L</t>
  </si>
  <si>
    <t>Fioramonti, N. E.; Guevara, S. Ribeiro; Becker, Y. A.; Riccialdelli, L.</t>
  </si>
  <si>
    <t>Mercury transfer in coastal and oceanic food webs from the Southwest Atlantic Ocean</t>
  </si>
  <si>
    <t>Mercury; Stable isotopes; Trophodinamics; Beagle Channel; Marine Protected Area Namuncura - Burdwood; Bank</t>
  </si>
  <si>
    <t>PERSISTENT ORGANIC POLLUTANTS; METHYLMERCURY PRODUCTION; INVERSE RELATIONSHIP; ATMOSPHERIC MERCURY; MARINE ECOSYSTEMS; TROPHIC STRUCTURE; STABLE-ISOTOPES; BEAGLE CHANNEL; BURDWOOD BANK; HEAVY-METAL</t>
  </si>
  <si>
    <t>The dynamics of contaminants, such as mercury (Hg), in marine trophic webs is a critical topic in the scientific community due to the high concentrations encountered in organisms. In this study we attempted to provide information on total Hg accumulation patterns and possible pathways of trophic transfers assessed in combination with delta C-13 and delta N-15 to understand how this contaminant permeates three sub-Antarctic food webs: the Beagle Channel (BC), the Atlantic coast of Tierra del Fuego (AC-TDF) and Burdwood Bank (BB). We found a site specific pattern of Hg transfer and biomagnification processes, while the oceanic BB showed major Hg transfer through the pelagic domain, coastal sectors (BC and AC-TDF) indicate a general biodilution process but with Hg concentrations incrementing with the benthivory grade. This represents a dissimilar Hg bioavailability for marine consumers that rely on different diet and forage in different habitats, and may become an issue of important conservation concern for these southern areas.</t>
  </si>
  <si>
    <t>[Fioramonti, N. E.; Becker, Y. A.; Riccialdelli, L.] Consejo Nacl Invest Cient &amp; Tecn CONICET, Ctr Austral Invest Cientifi cas CAD, Bernardo Houssay 200, Ushuaia, Tierra Del Fueg, Argentina; [Guevara, S. Ribeiro] Ctr At Bariloche, Lab Anal Activac Neutron, Av E Bustillo Km 9-500, San Carlos De Bariloche, Argentina</t>
  </si>
  <si>
    <t>Consejo Nacional de Investigaciones Cientificas y Tecnicas (CONICET)</t>
  </si>
  <si>
    <t>Fioramonti, NE (corresponding author), Consejo Nacl Invest Cient &amp; Tecn CONICET, Ctr Austral Invest Cientifi cas CAD, Bernardo Houssay 200, Ushuaia, Tierra Del Fueg, Argentina.</t>
  </si>
  <si>
    <t>nicofiora26@gmail.com</t>
  </si>
  <si>
    <t>Ribeiro Guevara, Sergio/0000-0001-7203-7687</t>
  </si>
  <si>
    <t>Centro Austral de Investigaciones Cientificas (CADIC-CONICET); Centro Atomico Bariloche; MPA Naumncura-Burdwood Bank authorities; MPA Namuncura; Agencia Nacional de Promocion Cientifica y Tecnologica [PICT 2013-2228]; CONICET (PUE 2016 CADIC); CONICET; [Dec-2016]; [26875]</t>
  </si>
  <si>
    <t>Centro Austral de Investigaciones Cientificas (CADIC-CONICET)(Consejo Nacional de Investigaciones Cientificas y Tecnicas (CONICET)); Centro Atomico Bariloche; MPA Naumncura-Burdwood Bank authorities; MPA Namuncura; Agencia Nacional de Promocion Cientifica y Tecnologica(ANPCyTSpanish Government); CONICET (PUE 2016 CADIC); CONICET(Consejo Nacional de Investigaciones Cientificas y Tecnicas (CONICET)); ;</t>
  </si>
  <si>
    <t>We are indebted to the Centro Austral de Investigaciones Cientificas (CADIC-CONICET), Centro Atomico Bariloche and MPA Naumncura-Burdwood Bank authorities, which provided economic and logistical support. Special thanks to G.A. Lovrich Scientific Coordinator of the MPAN-BB. We also thank all captains and crews of the RVs 'Puerto Deseado, and 'Victor Angelescu,' and the scientific chief of each survey, i. e., D. Roccatagliata (Mar-Apr 2016) , J. Martin (Dec-2016) , G. Colombo-MJ. Diez (Nov-2018) . M. Torres (CADIC-CONICET) , A. Gil, G. Quiroga and A. Dauverne (LIECA-Mendoza) aided with the isotopic analyses. This study was funded by the MPA Namuncura (Law 26875), the Agencia Nacional de Promocion Cientifica y Tecnologica (PICT 2013-2228) and CONICET (PUE 2016 CADIC). NEF research was carried out under a PhD fellowship from CONICET. This work is contribution no. 56 of the MPA Namuncura (Law 26875).</t>
  </si>
  <si>
    <t>10.1016/j.marpolbul.2022.113365</t>
  </si>
  <si>
    <t>0G0TQ</t>
  </si>
  <si>
    <t>WOS:000777767700002</t>
  </si>
  <si>
    <t>Glazkova, T; Hernández-Molina, FJ; Dorokhova, E; Mena, A; Roque, C; Rodríguez-Tovar, FJ; Krechik, V; Kuleshova, L; Llave, E</t>
  </si>
  <si>
    <t>Glazkova, T.; Hernandez-Molina, F. J.; Dorokhova, E.; Mena, A.; Roque, C.; Rodriguez-Tovar, F. J.; Krechik, V.; Kuleshova, L.; Llave, E.</t>
  </si>
  <si>
    <t>Sedimentary processes in the Discovery Gap (Central-NE Atlantic): An example of a deep marine gateway</t>
  </si>
  <si>
    <t>DEEP-SEA RESEARCH PART I-OCEANOGRAPHIC RESEARCH PAPERS</t>
  </si>
  <si>
    <t>Deep-water sedimentation; Bottom currents; Paleocirculation; Antarctic bottom water; Contourites; Deep marine gateways; Discovery gap; Central-NE Atlantic</t>
  </si>
  <si>
    <t>ANTARCTIC BOTTOM WATER; CONTOURITE DEPOSITIONAL SYSTEM; DIGITAL IMAGE TREATMENT; BENTHIC FORAMINIFERAL ASSEMBLAGES; AZORES-GIBRALTAR REGION; TORE-MADEIRA RISE; SEA TRACE FOSSIL; MEDITERRANEAN OUTFLOW; OVERTURNING CIRCULATION; ICHNOLOGICAL ANALYSIS</t>
  </si>
  <si>
    <t>Paleoceanographic studies of abyssal bottom currents are often complicated by low current speeds and sedimentation rates, resulting in sediment condensation or erosion. However, increased rates of erosion and deposition may occur where bottom current velocities change as they pass through deep marine gaps and gateways. Despite this, the depositional processes in these gateways and their paleoceanographic implications remain poorly understood. Based on new sedimentological, hydrological and geophysical (high resolution seismic and bathymetry) data from Discovery Gap (Azores-Gibraltar Fracture Zone) collected during the 43rd cruise of the R/V Akademik Nikolaj Strakhov in 2019, the key sedimentary processes occurring in the Late Quaternary have been determined. Two depressions with depths exceeding 5300 m in the centre and south of Discovery Gap have been identified, the latter filled with contouritic deposits. These depressions are separated by a roughly N-S trending central sill at 4860 m and a sediment filled terrace at 4720 m water depth. Elongated NE-SW trending highs and sills, are present in the north and south of the study area. Their importance in controlling the flow of water through Discovery Gap is determined by the presence of erosion at the base of these highs with adjacent sheeted or mounded contourite drifts. Pelagic, hemipelagic, reworked pelagic/hemipelagic and fine-grained contourite sedimentary facies have been identified. The sedimentary facies associations point to remarkable variability in the Antarctic Bottom Water (AABW), linked to glacial-interglacial changes, and its intermittent influence in Discovery Gap during the Quaternary. During glacial intervals (MIS 6, 4 and 2) and at their terminations there was enhanced bottom current activity coeval with higher terrigenous content, and increased carbonate dissolution. The results of this study improve our understanding of sedimentary processes in abyssal environments and highlight the value of the sedimentary record in deep marine gateways for interpreting the interaction of bottom water with abyssal morphology. Future work in other modern deep gaps is essential to shed more light on how deep gaps form and to fully reconstruct deep-water paleocirculation within oceanic basins.</t>
  </si>
  <si>
    <t>[Glazkova, T.; Hernandez-Molina, F. J.] Royal Holloway Univ London, Dept Earth Sci, Egham TW20 0EX, Surrey, England; [Dorokhova, E.; Krechik, V.; Kuleshova, L.] Russian Acad Sci, Shirshov Inst Oceanol, Moscow 117218, Russia; [Dorokhova, E.; Krechik, V.] Immanuel Kant Balt Fed Univ, Kaliningrad 236016, Russia; [Mena, A.] Univ Vigo, Dept Xeociencias Marinas &amp; Ordenac Terr, Vigo 36310, Spain; [Roque, C.] EMEPC Estrutura Missa Extensao Plataforma Contine, Paco De Arcos, Portugal; [Roque, C.] Univ Lisbon, IDL Inst Dom Luiz, Campo Grande, P-1749016 Lisbon, Portugal; [Rodriguez-Tovar, F. J.] Univ Granada, Dept Estratig &amp; Paleontol, Granada 18002, Spain; [Llave, E.] Inst Geol &amp; Minero Espana, Madrid 28003, Spain</t>
  </si>
  <si>
    <t>University of London; Royal Holloway University London; Russian Academy of Sciences; Shirshov Institute of Oceanology; Immanuel Kant Baltic Federal University; Universidade de Vigo; Universidade de Lisboa; University of Granada</t>
  </si>
  <si>
    <t>Glazkova, T (corresponding author), Royal Holloway Univ London, Dept Earth Sci, Egham TW20 0EX, Surrey, England.</t>
  </si>
  <si>
    <t>Tatiana.Glazkova.2016@live.rhul.ac.uk</t>
  </si>
  <si>
    <t>Dorokhova, Evgenia V/L-3075-2016; Roque, Cristina/IUQ-7364-2023; Krechik, Viktor/J-9941-2016</t>
  </si>
  <si>
    <t>Roque, Cristina/0000-0002-2583-594X; Mena, Anxo/0000-0002-1909-1104; Dorokhova, Evgenia/0000-0002-0079-7342; Kuleshova, Liubov/0000-0002-8511-225X; Krechik, Viktor/0000-0001-6440-060X</t>
  </si>
  <si>
    <t>Secretaria de Estado de I + D + I, Spain [CGL2015-66835-P, PID2019-104625RB-100]; FEDER Andalucia [B-RNM-072-UGR18]; Junta de Andalucia [P18-RT-4074]; SCORE projects [CGL2016-80445-R]; Russian Science Foundation [19-1700246]</t>
  </si>
  <si>
    <t>Secretaria de Estado de I + D + I, Spain(Spanish Government); FEDER Andalucia; Junta de Andalucia(Junta de Andalucia); SCORE projects; Russian Science Foundation(Russian Science Foundation (RSF))</t>
  </si>
  <si>
    <t>This project was done within the framework of The Drifters Research Group at Royal Holloway University of London (RHUL). The authors thank the captain, crew and onboard scientific team of the 43rd cruise onboard the R/V Akademik Nikolaj Strakhov. Research by RT was funded by Projects CGL2015-66835-P and PID2019-104625RB-100 (Secretaria de Estado de I + D + I, Spain), B-RNM-072-UGR18 (FEDER Andalucia) and P18-RT-4074 (Junta de Andalucia). Research by EL was supported through the CGL2016-80445-R (AEI/FEDER, UE) SCORE projects. The field research, stable isotope interpretation, and the age model construction were carried out within framework of the state assignment of IO RAS (theme No. 0128-2021-0012). Hydrological data processing and core ANS43006_A analysis (CaCO3, MS, and XRF) were supported by the Russian Science Foundation (grant No. 19-1700246). The SBE 19plus V2 SeaCAT hydrophysical probe (Sea-Bird Electronics, United States) used during the expedition was kindly provided by the Moscow State University. We thank the editor and the two anonymous reviewers for their comments and suggestions which have helped us to improve the original submitted version of this work. We would also like to thank L. Bashirova for the insightful discussion which has improved the final version of this manuscript.</t>
  </si>
  <si>
    <t>0967-0637</t>
  </si>
  <si>
    <t>1879-0119</t>
  </si>
  <si>
    <t>DEEP-SEA RES PT I</t>
  </si>
  <si>
    <t>Deep-Sea Res. Part I-Oceanogr. Res. Pap.</t>
  </si>
  <si>
    <t>10.1016/j.dsr.2021.103681</t>
  </si>
  <si>
    <t>0N9FR</t>
  </si>
  <si>
    <t>WOS:000783135800002</t>
  </si>
  <si>
    <t>Wang, XX; Liang, C; Yang, XH; Chen, FS; Li, R; Qu, CF; Miao, JL</t>
  </si>
  <si>
    <t>Wang, Xixi; Liang, Chen; Yang, Xihong; Chen, Fushan; Li, Ran; Qu, Changfeng; Miao, Jinlai</t>
  </si>
  <si>
    <t>Complete genome sequence of Pseudoalteromonas sp. Xi13 capable of degrading κ-selenocarrageenan isolated from the floating ice of Southern Ocean</t>
  </si>
  <si>
    <t>MARINE GENOMICS</t>
  </si>
  <si>
    <t>Antarctica; Pseudoalteromonas sp. Xi13; Degradation; kappa-Selenocarrageenan; Oligosaccharides; Complete genome</t>
  </si>
  <si>
    <t>SELENIUM; CARRAGEENASE</t>
  </si>
  <si>
    <t>kappa-Selenocarrageenan, a type of selenized carrageenan polysaccharide, can be degraded by bacteria into oligosaccharides, which has a lower molecular weight and a higher bioavailability. However, research on the microbial degradation of kappa-selenocarrageenan is less. In this article, we show that Pseudoalteromonas sp. Xi13, a possibly novel Antarctic bacterium isolated from the floating ice of Southern Ocean, can degrade kappa-seleno-carrageenan into selenium-oligosaccharides. To gain insights into these biological activities, this bacterium was focused on screening, identification and optimization of submerged fermentation conditions by single-factor experiment. Furthermore, Selenium-oligosaccharides, mainly disaccharides and tetrasaccharides, had a certain inhibitory effect on HeLa cervical cancer cells. Whole genome sequencing and data analysis revealed a plethora of glycoside hydrolase might be involved in kappa-selenocarrageenan degradation simultaneously. All told, the recent analysis of above experiment may provide a detailed insight into the characterization, function and catalytic mechanism of Pse sp. Xi13.</t>
  </si>
  <si>
    <t>[Wang, Xixi; Liang, Chen; Yang, Xihong; Chen, Fushan] Qingdao Univ Sci &amp; Technol, Coll Chem &amp; Mol Engn, Qingdao 266042, Peoples R China; [Wang, Xixi; Liang, Chen; Li, Ran; Qu, Changfeng; Miao, Jinlai] Minist Nat Resources, Inst Oceanog 1, Key Lab Marine Ecoenvironm Sci &amp; Technol, Qingdao 266061, Peoples R China; [Qu, Changfeng; Miao, Jinlai] Qingdao Natl Lab Marine Sci &amp; Technol, Lab Marine Drugs &amp; Bioprod, Qingdao 266071, Peoples R China</t>
  </si>
  <si>
    <t>Qingdao University of Science &amp; Technology; Ministry of Natural Resources of the People's Republic of China; First Institute of Oceanography, Ministry of Natural Resources; Laoshan Laboratory</t>
  </si>
  <si>
    <t>Qu, CF; Miao, JL (corresponding author), 6 Xianxialing Rd, Qingdao, Peoples R China.</t>
  </si>
  <si>
    <t>cfqu@fio.org.cn; miaojinlai@fio.org.cn</t>
  </si>
  <si>
    <t>He, Ying Ying/HZL-0137-2023; Wang, Yitong/KBA-1959-2024; Wang, Junzhe/KCK-4991-2024; Liang, Chen/HNP-5916-2023; li, chunlin/KFS-0761-2024</t>
  </si>
  <si>
    <t>He, Ying Ying/0000-0002-8759-3157;</t>
  </si>
  <si>
    <t>National Key Research and Development Program of China [2018YFD0900705]; Basic Scientific Fund for National Public Research Institutes of China [2020Q02]; Natural Science Foundation of China [32000074, 42176130]; Natural Science Foundation of Shandong [ZR2019BD023, ZR2021MD044]; Tai Mountain Industry Leading Talent of Shan Dong [2019TSCYCX-06]; Guangxi Science and Technology Base and special talents [AA21196002]</t>
  </si>
  <si>
    <t>National Key Research and Development Program of China; Basic Scientific Fund for National Public Research Institutes of China; Natural Science Foundation of China(National Natural Science Foundation of China (NSFC)); Natural Science Foundation of Shandong(Natural Science Foundation of Shandong Province); Tai Mountain Industry Leading Talent of Shan Dong; Guangxi Science and Technology Base and special talents</t>
  </si>
  <si>
    <t>This study was supported by the National Key Research and Development Program of China (2018YFD0900705), Basic Scientific Fund for National Public Research Institutes of China (2020Q02), Natural Science Foundation of China (32000074; 42176130), Natural Science Foundation of Shandong (ZR2019BD023; ZR2021MD044), Tai Mountain Industry Leading Talent of Shan Dong (2019TSCYCX-06), and Guangxi Science and Technology Base and special talents (AA21196002.</t>
  </si>
  <si>
    <t>1874-7787</t>
  </si>
  <si>
    <t>1876-7478</t>
  </si>
  <si>
    <t>MAR GENOM</t>
  </si>
  <si>
    <t>Mar. Genom.</t>
  </si>
  <si>
    <t>10.1016/j.margen.2021.100917</t>
  </si>
  <si>
    <t>Genetics &amp; Heredity; Marine &amp; Freshwater Biology</t>
  </si>
  <si>
    <t>0N9XE</t>
  </si>
  <si>
    <t>WOS:000783182200012</t>
  </si>
  <si>
    <t>Zhang, Q; Fu, LP; Gui, YY; Miao, JL; Li, J</t>
  </si>
  <si>
    <t>Zhang, Qian; Fu, Liping; Gui, Yuanyuan; Miao, Jinlai; Li, Jiang</t>
  </si>
  <si>
    <t>Complete genome sequence of Polaribacter sejongensis NJDZ03 exhibiting diverse macroalgal polysaccharide-degrading activity</t>
  </si>
  <si>
    <t>Complete genome; Polaribacter sejongensis; Polysaccharide-degrading bacteria</t>
  </si>
  <si>
    <t>SP-NOV.; BACTERIA; ENZYMES</t>
  </si>
  <si>
    <t>A macroalgal polysaccharide-degrading bacterial strain, Polaribacter sejongensis NJDZ03, was isolated from the surface of a species of Desmarestia, a seaweed genus endemic to Antarctica. To explore the mechanism underlying the multiple polysaccharide-degrading abilities of this strain, we sequenced and analyzed its complete genome. We found that the genome comprises a 4,078,668 bp circular chromosome containing 3484 coding genes, including 18 rRNA operons whose genes are arranged in the order of 16S-23S-5S rRNA. Gene annotation revealed the existence of three putative polysaccharide utilization loci (PULs) consisting of several agarase, carrangeenase, and alginate lyase genes, repectively. These PULs are likely responsible for the strong agar-, alginate-, and carrageenan-degrading capabilities of P. sejongensis NJDZ03, especially its ability to degrade diverse carrageenans, including kappa-carrageenan, tau-carrageenan, and lambda-carrageenan. Our findings should provide new insights into the carbon cycle of the Antarctic oceanic ecosystem.</t>
  </si>
  <si>
    <t>[Zhang, Qian; Fu, Liping; Miao, Jinlai; Li, Jiang] Minist Nat Resources, Inst Oceanog 1, Key Lab Ecol Environm Sci &amp; Technol, Qingdao 266061, Peoples R China; [Gui, Yuanyuan] Qingdao Univ, Coll Environm Sci &amp; Engn, Qingdao 266071, Peoples R China</t>
  </si>
  <si>
    <t>First Institute of Oceanography, Ministry of Natural Resources; Ministry of Natural Resources of the People's Republic of China; Qingdao University</t>
  </si>
  <si>
    <t>Li, J (corresponding author), Minist Nat Resources, Inst Oceanog 1, Key Lab Ecol Environm Sci &amp; Technol, Qingdao 266061, Peoples R China.</t>
  </si>
  <si>
    <t>lijiang@fio.org.cn</t>
  </si>
  <si>
    <t>fu, liping/HGV-1950-2022</t>
  </si>
  <si>
    <t>Impact and Response of Antarctic Seas to Climate Change Program [RFSOCC2020-2022]; Key Research and Development Project of China [2018YFC1406704]</t>
  </si>
  <si>
    <t>Impact and Response of Antarctic Seas to Climate Change Program; Key Research and Development Project of China</t>
  </si>
  <si>
    <t>This study was supported financially by the Impact and Response of Antarctic Seas to Climate Change Program (RFSOCC2020-2022) and the Key Research and Development Project of China (2018YFC1406704).</t>
  </si>
  <si>
    <t>10.1016/j.margen.2021.100913</t>
  </si>
  <si>
    <t>WOS:000783182200010</t>
  </si>
  <si>
    <t>Valiente, S; Fernández-Castro, B; Campanero, R; Marrero-Díaz, A; Rodríguez-Santana, A; Gelado-Cabellero, MD; Nieto-Cid, M; Delgado-Huertas, A; Arístegui, J; Alvarez-Salgado, XA</t>
  </si>
  <si>
    <t>Valiente, S.; Fernandez-Castro, B.; Campanero, R.; Marrero-Diaz, A.; Rodriguez-Santana, A.; Gelado-Cabellero, M. D.; Nieto-Cid, M.; Delgado-Huertas, A.; Aristegui, J.; Alvarez-Salgado, X. A.</t>
  </si>
  <si>
    <t>Dissolved and suspended organic matter dynamics in the Cape Verde Frontal Zone (NW Africa)</t>
  </si>
  <si>
    <t>Dissolved organic matter; Particulate organic matter; Water masses; Carbon cycling; Nitrogen cycling; Cape Verde Frontal Zone</t>
  </si>
  <si>
    <t>RANGE OFFSHORE TRANSPORT; LARVAL FISH ASSEMBLAGES; CANARY UPWELLING SYSTEM; PRIMARY NITRITE MAXIMUM; WATER MASSES; NORTHWEST AFRICA; EASTERN BOUNDARY; CARBON EXPORT; OCEANIC EDDY; NITROGEN</t>
  </si>
  <si>
    <t>The Cape Verde Frontal Zone (CVFZ) is a highly dynamic region located in the southern boundary of the Canary Current Eastern Boundary Upwelling Ecosystem. Due to the interaction of the Cape Verde Front with the Mauritanian coastal upwelling, the area features large vertical and horizontal export fluxes of organic matter. While the flux, composition and biogeochemical role of sinking organic matter have been thoroughly studied, much less attention has been paid to the dissolved (DOM) and suspended particulate (POM) organic matter fractions. Full-depth profiles of DOM and POM were recorded during an oceanographic cruise in the CVFZ, with four consecutive transects defining a box embracing the giant filament of Cape Blanc and the Cape Verde front. The distributions of DOM and POM and their C:N stoichiometric ratios in the epipelagic layer were strongly influenced by the position of the transects relative to the giant filament and the front. Geographical heteroge-neity in POM and DOM distributions and elemental composition was also observed within each of the different water masses of contrasting origin present in the area (North and South Atlantic Central Water, Subpolar Mode Water, Mediterranean Water, Antarctic Intermediate Water, Labrador Sea Water and North East Atlantic Deep Water). These facts suggest that water masses properties are re-shaped by biogeochemical processes occurring within the CVFZ. Nevertheless, our analysis indicates that DOM and POM mineralisation represents only 8.1% of the inorganic carbon and 17.8% of the inorganic nitrogen produced by the local mineralisation of organic matter. Intense lateral export of POM and DOM out of the boundaries of the CVFZ is the likely reason behind these low contributions, which confirm the prominent role of sinking fluxes of organic matter for mineralisation processes in this region. The DOM distribution in the CVFZ interior is apparently affected by the dissolution of fast sinking particles.</t>
  </si>
  <si>
    <t>[Valiente, S.; Campanero, R.; Delgado-Huertas, A.] CSIC Inst Andaluz Ciencias Tierra IACT CSIC, Granada, Spain; [Valiente, S.; Fernandez-Castro, B.; Campanero, R.; Nieto-Cid, M.; Alvarez-Salgado, X. A.] CSIC Inst Invest Marinas IIM CSIC, Vigo, Spain; [Fernandez-Castro, B.] Univ Southampton, Natl Oceanog Ctr Southampton, Ocean &amp; Earth Sci, Southampton, Hants, England; [Marrero-Diaz, A.; Rodriguez-Santana, A.] Univ Las Palmas Gran Canaria, Dept Fis, Las Palmas Gran Canaria, Spain; [Gelado-Cabellero, M. D.] Univ La Palmas Gran Canarias, Dept Quim, Las Palmas Gran Canaria, Spain; [Nieto-Cid, M.] Inst Espanol Oceanog IEO, Ctr Oceanog A Coruna, La Coruna, Spain; [Aristegui, J.] Univ Las Palmas Gran Canaria, Inst Oceanog &amp; Cambio Global, Telde, Spain</t>
  </si>
  <si>
    <t>Consejo Superior de Investigaciones Cientificas (CSIC); CSIC - Instituto de Investigaciones Marinas (IIM); University of Southampton; NERC National Oceanography Centre; Universidad de Las Palmas de Gran Canaria; Spanish Institute of Oceanography; Universidad de Las Palmas de Gran Canaria</t>
  </si>
  <si>
    <t>Valiente, S (corresponding author), CSIC Inst Andaluz Ciencias Tierra IACT CSIC, Granada, Spain.;Valiente, S (corresponding author), CSIC Inst Invest Marinas IIM CSIC, Vigo, Spain.</t>
  </si>
  <si>
    <t>Alvarez-Salgado, Xose Anton/A-8365-2012; Marrero-Díaz, Ángeles/H-2175-2015; Rodriguez-Santana, Angel/H-8596-2015; Delgado Huertas, Antonio/F-6866-2011; Arístegui, Javier/D-5833-2013; CABALLERO, MARIA DOLORES GELADO/H-5696-2015; Nieto Cid, M. Mar/M-2734-2014</t>
  </si>
  <si>
    <t>Marrero-Díaz, Ángeles/0000-0001-7697-0036; Rodriguez-Santana, Angel/0000-0003-1960-6777; Delgado Huertas, Antonio/0000-0002-7240-1570; Arístegui, Javier/0000-0002-7526-7741; Fernandez Castro, Bieito/0000-0001-7797-854X; Nieto Cid, M. Mar/0000-0001-7614-4076; Gelado-Caballero, M.D./0000-0003-4001-9673; Alvarez-Salgado, X. Anton/0000-0002-2387-9201; Valiente Rodriguez, Sara/0000-0003-1751-5740; Campanero Nieto, Ruben/0000-0002-4452-2658</t>
  </si>
  <si>
    <t>Spanish National Science Plan research [CTM2015-69392-C3, PID2019-109084RB-C2]; Spanish Ministry of Science and Innovation [BES-2016-079216, BES-2016-076462]; Juan de La Cierva Formacion fellowship [FJCI-641-2015-25712]; European Unions [834330]; project FERMIO (MINECO) [CTM2014-57334-JIN]; FEDER funds; European Union [AMD-817806-5]; Marie Curie Actions (MSCA) [834330] Funding Source: Marie Curie Actions (MSCA)</t>
  </si>
  <si>
    <t>Spanish National Science Plan research; Spanish Ministry of Science and Innovation(Spanish Government); Juan de La Cierva Formacion fellowship; European Unions(European Union (EU)); project FERMIO (MINECO); FEDER funds(European Union (EU)); European Union(European Union (EU)); Marie Curie Actions (MSCA)(Marie Curie Actions)</t>
  </si>
  <si>
    <t>We would like to thank the captain and crew of R/V Sarmiento de Gamboa and the personnel of the CSIC Unidad de Tecnologia Marina (UTM) , for their help during the FLUXES I cruise, as well as to M.J. Pazo for DOM and POM analysis and V. Vieitez for nutrient and POM ana-lyses. This work was supported by Spanish National Science Plan research grants FLUXES (CTM2015-69392-C3) and e-IMPACT (PID2019-109084RB-C2) . S.V.R and R.C.N were supported by PhD fel-lowships from the Spanish Ministry of Science and Innovation (BES-2016-079216 and BES-2016-076462) ; B.F.C was supported by a Juan de La Cierva Formacion fellowship (FJCI-641-2015-25712) and by the European Unions Horizon 2020 research and innovation program under the Marie Sklodowska-Curie grant agreement No. 834330 (SO-CUP) . M.N.-C. was partially supported by the project FERMIO (MINECO, CTM2014-57334-JIN) , co-financed with FEDER funds. J.A. was partly supported by the project SUMMER (AMD-817806-5) from the European Unions Horizon 2020 research and innovation program.</t>
  </si>
  <si>
    <t>10.1016/j.pocean.2021.102727</t>
  </si>
  <si>
    <t>0P5TN</t>
  </si>
  <si>
    <t>WOS:000784290800002</t>
  </si>
  <si>
    <t>Duffy, M; Tibbett, EJ; Smith, C; Warny, S; Feakins, SJ; Escarguel, G; Askin, R; Leventer, A; Shevenell, AE</t>
  </si>
  <si>
    <t>Duffy, Meghan; Tibbett, Emily J.; Smith, Catherine; Warny, Sophie; Feakins, Sarah J.; Escarguel, Gilles; Askin, Rosemary; Leventer, Amy; Shevenell, Amelia E.</t>
  </si>
  <si>
    <t>Snapshots of pre-glacial paleoenvironmental conditions along the Sabrina Coast, East Antarctica: New palynological and biomarker evidence</t>
  </si>
  <si>
    <t>GEOBIOS</t>
  </si>
  <si>
    <t>East Antarctica; Paleogene; Cretaceous; Palynology; Paleovegetation</t>
  </si>
  <si>
    <t>TOTTEN GLACIER; IDENTIFICATION; GREENHOUSE; GLACIATION; VEGETATION; AUSTRALIA; ICEHOUSE; SURFACE; ONSET; OCEAN</t>
  </si>
  <si>
    <t>The Aurora Subglacial Basin (ASB) catchment contains 3-5 m of sea-level equivalent ice volume that drains to the Sabrina Coast, East Antarctica via the Totten Glacier system. Observed thinning and retreat of Totten Glacier indicate regional sensitivity to oceanographic and atmospheric warming. Paleoclimate studies of climatically sensitive catchments are required to understand the evolution of the East Antarctic Ice Sheet (EAIS) and its outlet glacier systems. Recent seismic and sediment studies from the Sabrina Coast document the evolution of the EAIS in the ASB catchment, suggesting that the region has long been sensitive to climatic changes. This study presents new palynological and biomarker data from Sabrina Coast continental shelf sediments. Detailed palynological records were obtained from four short jumbo piston cores (JPC; NBP14-02 JPC-30,-31,-54 and-55), enabling reconstructions of regional vegetation and environments prior to and during Cenozoic EAIS development. The Sabrina Flora is dominated by angiosperms, with Gambierina spp. often exceeding 40% of the assemblage, and diverse Proteaceae, Battenipollis spp., Forcipites spp., Nothofagidites spp., fern, and conifer palynomorphs indicative of an open shrubby ecosystem. Excellent preservation and frequent occurrence of Gambierina spp. clusters suggest that a majority of the Sabrina Flora assemblage is penecontemporaneous with sedimentation; however, some uncertainties remain whether this sedimentation occurred in the Late Cretaceous or the Paleogene. Despite that uncertainty, high abundances of Gambierina spp. and Battenipollis spp., in combination with relatively low (&lt; 10%) Nothofagidites spp. abundances indicate that the Sabrina Flora is unique in Antarctica. Evaluation of biomarkers finds evidence for penecontemporaneous and reworked components. The penecontemporaneous C30 n-alkanoic acids have delta C-13 values of-30.2 +/- 0.5%x, consistent with delta C-13 values in an open canopy woodland or shrubby open vegetation. Their hydrogen isotope (delta D) values of similar to 215 +/- 4.5%x, indicate precipitation isotopic composition (delta D-precip) of similar to 130%x, similar to coastal snow in the same region today. Together, Sabrina Flora palynomorph and plant wax data suggest a drier, more open coastal vegetation in the Aurora Basin of East Antarctica rather than the closed rainforest vegetation often described from other parts of Antarctica for the Cretaceous to Paleogene. To directly compare records from the circum-Antarctic, additional long sedimentary records with improved biostratigraphic constraints are required. Such records will enable identification of regional climate gradients or micro climates, and allow assessment of the environmental conditions and mechanisms driving observed differences. (C) 2021 Elsevier Masson SAS. All rights reserved.</t>
  </si>
  <si>
    <t>[Duffy, Meghan; Warny, Sophie] Louisiana State Univ, Dept Geol &amp; Geophys, Baton Rouge, LA 70803 USA; [Duffy, Meghan; Warny, Sophie] Louisiana State Univ, Museum Nat Sci, Baton Rouge, LA 70803 USA; [Tibbett, Emily J.; Feakins, Sarah J.] Univ Southern Calif, Dept Earth Sci, Los Angeles, CA USA; [Smith, Catherine] Texas A&amp;M Univ, Int Ocean Discovery Program, College Stn, TX USA; [Escarguel, Gilles] Univ Claude Bernard Lyon 1, Univ Lyon, CNRS, ENTPE,UMR LEHNA 5023, F-69622 Villeurbanne, France; [Leventer, Amy] Colgate Univ, Dept Geol, Hamilton, NY USA; [Shevenell, Amelia E.] Univ S Florida, Coll Marine Sci, St Petersburg, FL USA</t>
  </si>
  <si>
    <t>Louisiana State University System; Louisiana State University; Louisiana State University System; Louisiana State University; University of Southern California; Texas A&amp;M University System; Texas A&amp;M University College Station; Centre National de la Recherche Scientifique (CNRS); Universite Claude Bernard Lyon 1; Colgate University; State University System of Florida; University of South Florida</t>
  </si>
  <si>
    <t>Duffy, M (corresponding author), Louisiana State Univ, Dept Geol &amp; Geophys, Baton Rouge, LA 70803 USA.;Duffy, M (corresponding author), Louisiana State Univ, Museum Nat Sci, Baton Rouge, LA 70803 USA.</t>
  </si>
  <si>
    <t>mduffy7@lsu.edu</t>
  </si>
  <si>
    <t>Feakins, Sarah/K-4149-2012; Shevenell, Amelia E/C-2757-2015; Warny, Sophie A/A-8226-2013</t>
  </si>
  <si>
    <t>Feakins, Sarah/0000-0003-3434-2423; Leventer, Amy/0000-0001-9401-0987</t>
  </si>
  <si>
    <t>National Science Foundation Antarctic Integrated Systems Science Project [NSF PLR1143836, PLR-1143837, PLR-1143843, PLR-1430550, PLR-1048343]; US NSF CAREER [ANT-1048343, NSF-OPP-1908548]</t>
  </si>
  <si>
    <t>National Science Foundation Antarctic Integrated Systems Science Project; US NSF CAREER(National Science Foundation (NSF))</t>
  </si>
  <si>
    <t>Core acquisition during NBP14-02 was supported by the National Science Foundation Antarctic Integrated Systems Science Project (grants NSF PLR1143836, PLR-1143837, PLR-1143843, PLR-1430550, and PLR-1048343) . We thank the NBP14-02 crew and scientific party for their roles in collecting the samples. Processing of all palynologic samples was funded by US NSF CAREER grant ANT-1048343 to S. Warny. Plant wax work was funded by NSF-OPP-1908548 to S. Feakins.</t>
  </si>
  <si>
    <t>ELSEVIER FRANCE-EDITIONS SCIENTIFIQUES MEDICALES ELSEVIER</t>
  </si>
  <si>
    <t>ISSY-LES-MOULINEAUX</t>
  </si>
  <si>
    <t>65 RUE CAMILLE DESMOULINS, CS50083, 92442 ISSY-LES-MOULINEAUX, FRANCE</t>
  </si>
  <si>
    <t>0016-6995</t>
  </si>
  <si>
    <t>1777-5728</t>
  </si>
  <si>
    <t>GEOBIOS-LYON</t>
  </si>
  <si>
    <t>Geobios</t>
  </si>
  <si>
    <t>10.1016/j.geobios.2021.09.001</t>
  </si>
  <si>
    <t>Paleontology</t>
  </si>
  <si>
    <t>0M7CH</t>
  </si>
  <si>
    <t>WOS:000782307200001</t>
  </si>
  <si>
    <t>Kajtar, JB; Hernaman, V; Holbrook, NJ; Petrelli, P</t>
  </si>
  <si>
    <t>Kajtar, Jules B.; Hernaman, Vanessa; Holbrook, Neil J.; Petrelli, Paola</t>
  </si>
  <si>
    <t>Tropical western and central Pacific marine heatwave data calculated from gridded sea surface temperature observations and CMIP6</t>
  </si>
  <si>
    <t>DATA IN BRIEF</t>
  </si>
  <si>
    <t>Marine heatwave; Extreme event; Pacific ocean; Sea surface temperature; Observational; Model outputs; CMIP6; Projections</t>
  </si>
  <si>
    <t>Processed marine heatwave metrics are provided for the tropical western and central Pacific Ocean region (120 degrees E 140 degrees W, 40 degrees S-15 degrees N). The metrics are computed from daily sea surface temperature (SST) data, from both observations and models. The observed marine heatwave data are calculated from NOAA 0.25 degrees daily Optimum Interpolation Sea Surface Temperature (OISST) over the period 1982-2019. The modelled marine heatwave data are from analysis of 18 model simulations as part of the Coupled Model Intercomparison Project, Phase 6 (CMIP6) over the period 1982-2100, where two future scenarios have been analysed. The marine heat wave data are provided on a grid point basis across the domain. Marine heatwave timeseries metrics are also provided for three case study regions: Fiji, Samoa, and Palau. (c) 2021 The Authors. Published by Elsevier Inc. This is an open access article under the CC BY-NC-ND license (http://creativecommons.org/licenses/by-nc-nd/4.0/)</t>
  </si>
  <si>
    <t>[Kajtar, Jules B.; Holbrook, Neil J.; Petrelli, Paola] Univ Tasmania, Inst Marine &amp; Antarctic Studies, Hobart, Tas, Australia; [Kajtar, Jules B.; Holbrook, Neil J.; Petrelli, Paola] Univ Tasmania, Australian Res Council Ctr Excellence Climate Ext, Hobart, Tas, Australia; [Hernaman, Vanessa] CSIRO Oceans &amp; Atmosphere, Climate Sci Ctr, Aspendale, Vic, Australia</t>
  </si>
  <si>
    <t>University of Tasmania; University of Tasmania; Commonwealth Scientific &amp; Industrial Research Organisation (CSIRO)</t>
  </si>
  <si>
    <t>Kajtar, JB (corresponding author), Univ Tasmania, Inst Marine &amp; Antarctic Studies, Hobart, Tas, Australia.</t>
  </si>
  <si>
    <t>jules.kajtar@utas.edu.au</t>
  </si>
  <si>
    <t>Hernaman, Vanessa/ABA-8227-2021; Kajtar, Jules B./A-5897-2016; Holbrook, Neil/M-7544-2013</t>
  </si>
  <si>
    <t>Hernaman, Vanessa/0000-0002-0042-7579; Kajtar, Jules B./0000-0003-0114-6610; Holbrook, Neil/0000-0002-3523-6254</t>
  </si>
  <si>
    <t>Australian Government; Australian Research Council Centre of Excellence for Climate Extremes [CE170100023]; Australian Government's National Environmen-tal Science Programme (NESP) Earth Systems and Climate Change Hub; Climate Systems Hub under NESP</t>
  </si>
  <si>
    <t>Australian Government(Australian Government); Australian Research Council Centre of Excellence for Climate Extremes(Australian Research Council); Australian Government's National Environmen-tal Science Programme (NESP) Earth Systems and Climate Change Hub; Climate Systems Hub under NESP</t>
  </si>
  <si>
    <t>We acknowledge the World Climate Research Programme's Working Group on Coupled Mod-elling, which is responsible for CMIP, and we thank the climate modelling groups for producing and making available their model output. CMIP6 model outputs were made available with the assistance of resources from the National Computational Infrastructure (NCI) , which is supported by the Australian Government. NOAA High Resolution SST data were provided by the NOAA Na-tional Centers for Environmental Information. JBK, NJH, and PP acknowledge ongoing support from the Australian Research Council Centre of Excellence for Climate Extremes (CE170100023) . JBK, VH, and NJH acknowledge support from the Australian Government's National Environmen-tal Science Programme (NESP) Earth Systems and Climate Change Hub (Project 5.8) . JBK and NJH acknowledge further support from the Climate Systems Hub under phase 2 of NESP. We acknowledge Eric Oliver for the use of his marineHeatWaves python module, freely available at https://github.com /ecjoliver/marineHeatWaves. We thank the anonymous reviewer and scientific editor for their comments and feedback.</t>
  </si>
  <si>
    <t>2352-3409</t>
  </si>
  <si>
    <t>DATA BRIEF</t>
  </si>
  <si>
    <t>Data Brief</t>
  </si>
  <si>
    <t>10.1016/j.dib.2021.107694</t>
  </si>
  <si>
    <t>0J5AK</t>
  </si>
  <si>
    <t>WOS:000780116200017</t>
  </si>
  <si>
    <t>Nielsen, R; Uenzelmann-Neben, G</t>
  </si>
  <si>
    <t>Nielsen, Ricarda; Uenzelmann-Neben, Gabriele</t>
  </si>
  <si>
    <t>On the paleo footprint of Cape Darnley Bottom Water off MacRobertson Land Shelf, East Antarctica</t>
  </si>
  <si>
    <t>Cape Darnley Botom Water; Mixed -drift formation; Seismic reflection data; Deep-sea sediments; MacRobertson Land shelf - Prydz Bay</t>
  </si>
  <si>
    <t>MAC-ROBERTSON LAND; PRYDZ BAY-REGION; CONTINENTAL-SLOPE; SEDIMENT TRANSPORT; MIDDLE MIOCENE; ODP SITE-1165; SEA; CIRCULATION; MARGIN; RISE</t>
  </si>
  <si>
    <t>Cape Darnley Bottom Water (CDBW) is a major contributor to Antarctic Bottom Water (AABW) formation in the MacRobertson Land continental shelf area, East Antarctica. As the production of CDBW is dependent on intense sea ice formation in the Cape Darnley Polynya Region, it is sensitive to climatic changes, such as global warming. Studying paleo-conditions of CDBW during Antarctica's transition from coolhouse to icehouse during the middle to late Miocene allows to gain knowledge about the onset of bottom water production in the Cosmonaut/Prydz Bay region as well as changes in the strength and outflow path of the CDBW.In order to study the paleo-conditions of the CDBW, we have investigated the formation history of a 200 km long, 70 km wide sediment drift (Darnley Drift herein) at the western flank of Wild Canyon. In the early Miocene, the upper rise was dominated by turbiditic channel-levee growth and large continental sediment supply off the MacRobertson Land continental shelf. Therefore, no indications of CDBW formation were observed. During the middle Miocene, the dominant sediment transport regime transformed from turbiditic to contouritic mode, mirroring Antarctica's climatic transition into an icehouse world. This climatic transformation caused the initiation of CDBW, which is inferred from the onset of Darnley Drift formation as a levee-drift and its growth to a maximum areal extent of 60,000 km(2), four times the size of today. Since the late Miocene/early Pliocene the sedimentation rate has been strongly reduced and bottom current controlled deposition dominated. The growth of mixed levee-drifts along the continental slope-rise transition parallel to Darnley Drift suggests an intensifi-cation of paleo CDBW generation and outflow to be comparable to observations of recent CDBW, in addition to an intensification of the Antarctic Slope Front and Circumpolar Deep Water.</t>
  </si>
  <si>
    <t>[Nielsen, Ricarda; Uenzelmann-Neben, Gabriele] Alfred Wegener Inst, Helmholtz Ctr Polar &amp; Marine Sci, Bremerhaven, Germany</t>
  </si>
  <si>
    <t>Helmholtz Association; Alfred Wegener Institute, Helmholtz Centre for Polar &amp; Marine Research</t>
  </si>
  <si>
    <t>Nielsen, R (corresponding author), Alfred Wegener Inst, Helmholtz Ctr Polar &amp; Marine Sci, Bremerhaven, Germany.</t>
  </si>
  <si>
    <t>ricarda.nielsen@awi.de</t>
  </si>
  <si>
    <t>Uenzelmann-Neben, Gabriele/0000-0002-0115-5923</t>
  </si>
  <si>
    <t>Alfred Wegener Institute, Helmholtz Center for Polar-and Marine Science</t>
  </si>
  <si>
    <t>Alfred Wegener Institute, Helmholtz Center for Polar-and Marine Science(Helmholtz Association)</t>
  </si>
  <si>
    <t>The project is funded by the Alfred Wegener Institute, Helmholtz Center for Polar-and Marine Science.</t>
  </si>
  <si>
    <t>10.1016/j.margeo.2022.106735</t>
  </si>
  <si>
    <t>0D5ZU</t>
  </si>
  <si>
    <t>Green Submitted, hybrid</t>
  </si>
  <si>
    <t>WOS:000776074200002</t>
  </si>
  <si>
    <t>Cajiao, D; Leung, YF; Larson, LR; Tejedo, P; Benayas, J</t>
  </si>
  <si>
    <t>Cajiao, Daniela; Leung, Yu-Fai; Larson, Lincoln R.; Tejedo, Pablo; Benayas, Javier</t>
  </si>
  <si>
    <t>Tourists' motivations, learning, and trip satisfaction facilitate pro-environmental outcomes of the Antarctic tourist experience</t>
  </si>
  <si>
    <t>JOURNAL OF OUTDOOR RECREATION AND TOURISM-RESEARCH PLANNING AND MANAGEMENT</t>
  </si>
  <si>
    <t>Attitudes; Knowledge; Behavior intentions; Experiential outputs; Pro-environmental outcomes; Perceived learning</t>
  </si>
  <si>
    <t>LAST-CHANCE TOURISM; PLACE ATTACHMENT; CONSERVATION; BEHAVIOR; WILDLIFE; KNOWLEDGE; TRAVEL; AMBASSADORSHIP; ANTECEDENTS; INTENTIONS</t>
  </si>
  <si>
    <t>Tourism in Antarctica has been growing and diversifying. While Antarctic tourists are purported to have meaningful interactions with the Antarctic environment, little empirical research exists to understand how motivations and trip characteristics of the Antarctic journey shape tourists' experiential outputs, which may in turn influence their pro-environmental outcomes. To examine these relationships, we conducted exploratory analyses using 242 pre-and post-trip surveys collected during the 2019-2020 Antarctic season. We identified four motivation types of Antarctic tourists: experience &amp; learning, adventure into Antarctica, social bonding, and trip of a lifetime. Following the interactional model of tourist experience, we associated this motivation typology and trip characteristics with experiential outputs (Perceived Learning, Measured Learning, and Satisfaction) and pro environmental outcomes (Environmental Concerns, Management Preferences, and Behavior Intentions). Our results indicated most tourists traveling to Antarctica already possessed high levels of pro-environmental attitudes and behavior intentions, leading to few significant changes after the journey. However, we found that the specific inputs of motivations and trip characteristics influenced experiential outputs in different ways-especially Perceived Learning and Satisfaction-, which were strongly associated with pro-environmental outcomes. Findings reinforce the importance of meaningful and transformative Antarctic tourist experiences in promoting sustainable human-environment interactions and provide new insights regarding tourists' learning and experiential outcomes.Management implications: Tourists traveling to Antarctica hold a diversity of expectations and motivations. These motivations interact with trip characteristics to influence tourists' experiences. Enhanced understanding of these relationships could contribute to the Antarctic tourism industry efforts to develop strategic promotion, programming, and communication strategies that produce meaningful experiences and foster pro-environmental outcomes. As tourism diversifies, we should reflect on how the Antarctic tourist experience could become more customized and participatory, effectively inspiring Antarctic tourists to serve as stewards and ambassadors for the Last Frontier.</t>
  </si>
  <si>
    <t>[Cajiao, Daniela; Tejedo, Pablo; Benayas, Javier] Univ Autonoma Madrid, Dept Ecol, C Darwin 2, E-28049 Madrid, Spain; [Cajiao, Daniela] Univ San Francisco Quito, Inst Ecol Aplicada ECOLAP, USFQ, POB 1712841, Cumbay, Ecuador; [Leung, Yu-Fai; Larson, Lincoln R.] North Carolina State Univ, Dept Pk Recreat &amp; Tourism Management, 4008 Biltmore Hall, Raleigh, NC 27695 USA</t>
  </si>
  <si>
    <t>Autonomous University of Madrid; Universidad San Francisco de Quito; North Carolina State University</t>
  </si>
  <si>
    <t>Cajiao, D (corresponding author), Univ Autonoma Madrid, Dept Ecol, C Darwin 2, E-28049 Madrid, Spain.</t>
  </si>
  <si>
    <t>danicajiao@gmail.com; Leung@ncsu.edu; lrlarson@ncsu.edu; pablo.tejedo@uam.es; javier.benayas@uam.es</t>
  </si>
  <si>
    <t>Tejedo, Pablo/A-7163-2010; Benayas Del Alamo, Fco. Javier/E-5663-2017</t>
  </si>
  <si>
    <t>Tejedo, Pablo/0000-0002-1865-0445; Cajiao, Daniela/0000-0003-0816-2138; Larson, Lincoln/0000-0001-9591-1269; Leung, Yu-Fai/0000-0002-0928-798X; Benayas Del Alamo, Fco. Javier/0000-0002-5906-9569</t>
  </si>
  <si>
    <t>International Association of Antarctica Tour Operators (IAATO) as part of the Fellowship Program</t>
  </si>
  <si>
    <t>This research was funded by the International Association of Antarctica Tour Operators (IAATO) as part of the Fellowship Program for early-career researchers awarded for the period 2019-2020. Special acknowledgment to the IAATO member operators who actively sup-ported the development of this research: Ponant, Aurora Expeditions and G Adventures. Thanks to Marisol Vereda, Carlos Olave, Instituto de Ecologia Aplicada de la Universidad San Francisco de Quito, the Tourism Secretariat Office in Ushuaia and CEQUA Foundation in Punta Arenas for their logistical support. Special thanks to Juan Carlos Izurieta for his statistical advice.</t>
  </si>
  <si>
    <t>2213-0780</t>
  </si>
  <si>
    <t>2213-0799</t>
  </si>
  <si>
    <t>J OUTDOOR REC TOUR</t>
  </si>
  <si>
    <t>J. Outdo. Recreat. Tour. Res. Plan.</t>
  </si>
  <si>
    <t>10.1016/j.jort.2021.100454</t>
  </si>
  <si>
    <t>Hospitality, Leisure, Sport &amp; Tourism</t>
  </si>
  <si>
    <t>Social Sciences - Other Topics</t>
  </si>
  <si>
    <t>0D6OX</t>
  </si>
  <si>
    <t>WOS:000776113500002</t>
  </si>
  <si>
    <t>Lee, S; Jeong, SY; Nguyen, DL; So, JE; Kim, KH; Kim, JH; Han, SJ; Suh, SS; Lee, JH; Youn, UJ</t>
  </si>
  <si>
    <t>Lee, Seulah; Jeong, Se Yun; Dieu Linh Nguyen; So, Jae Eun; Kim, Ki Hyun; Kim, Ji Hee; Han, Se Jong; Suh, Sung-Suk; Lee, Jun Hyuck; Youn, Ui Joung</t>
  </si>
  <si>
    <t>Stereocalpin B, a New Cyclic Depsipeptide from the Antarctic Lichen Ramalina terebrata</t>
  </si>
  <si>
    <t>METABOLITES</t>
  </si>
  <si>
    <t>Ramalina terebrata; cyclic depsipeptides; dibenzofuran; antimicrobial; cytotoxicity; anti-inflammation</t>
  </si>
  <si>
    <t>USNIC ACID; DERIVATIVES</t>
  </si>
  <si>
    <t>Stereocalpin B, a new cyclic depsipeptide (1), and a new dibenzofuran derivative (3), were isolated from the Antarctic lichen, Ramalina terebrata (Ramalinaceae), along with a known cyclic depsipeptide (2). The structures of new compounds were characterized by comprehensive spectrometric analyses; high-resolution fast atom bombardment mass spectrometry (HR-FABMS) and liquid chromatography-tandem mass spectrometry (LC-MS/MS). Stereocalpin B (1) existed in a rotameric equilibrium, which was confirmed using nuclear Overhauser effect spectroscopy (NOESY)/exchange spectroscopy (EXSY) spectrum. Absolute configurations of the amino acid units in 1 were assigned using the advanced Marfey's method and subsequent NOESY analysis of the 5-hydroxy-2,4-dimethyl-3-oxo-decanoic acid residue confirmed the complete stereochemistry of 1. Compounds 1-3 exhibited moderate antimicrobial activities against E. coli, with the IC50 values ranging from 18-30 mu g/mL. Compound 2 exhibited cell growth inhibition against HCT116 cell lines, with the IC50 value of 20 +/- 1.20 mu M, and compounds 1 and 2 also showed potent anti-inflammatory activities against lipopolysaccharide (LPS)-induced RAW264.7 macrophages with the IC50 values ranging from 5-7 mu M.</t>
  </si>
  <si>
    <t>[Lee, Seulah; Dieu Linh Nguyen; So, Jae Eun; Kim, Ji Hee; Han, Se Jong; Youn, Ui Joung] Korea Polar Res Inst, Div Life Sci, Incheon 21990, South Korea; [Jeong, Se Yun; Kim, Ki Hyun] Sungkyunkwan Univ, Sch Pharm, Suwon 16419, South Korea; [Dieu Linh Nguyen; So, Jae Eun; Han, Se Jong; Lee, Jun Hyuck; Youn, Ui Joung] Univ Sci &amp; Technol, Dept Polar Sci, Incheon 21990, South Korea; [Suh, Sung-Suk] Mokpo Natl Univ, Dept Biosci, Mokpo 58554, South Korea; [Lee, Jun Hyuck] Korea Polar Res Inst, Res Unit Cryogen Novel Mat, Incheon 21990, South Korea</t>
  </si>
  <si>
    <t>Korea Polar Research Institute (KOPRI); Sungkyunkwan University (SKKU); Mokpo National University; Korea Polar Research Institute (KOPRI)</t>
  </si>
  <si>
    <t>Youn, UJ (corresponding author), Korea Polar Res Inst, Div Life Sci, Incheon 21990, South Korea.;Youn, UJ (corresponding author), Univ Sci &amp; Technol, Dept Polar Sci, Incheon 21990, South Korea.</t>
  </si>
  <si>
    <t>seulah@kopri.re.kr; jseyun12@gmail.com; ndlinh@kopri.re.kr; cladonia@kopri.re.kr; khkim83@skku.edu; jhalgae@kopri.re.kr; hansj@kopri.re.kr; sungsuksuh@mokpo.ac.kr; junhyucklee@kopri.re.kr; ujyoun@kopri.re.kr</t>
  </si>
  <si>
    <t>Lee, Seulah/GRY-3543-2022; Kim, Ki Hyun/AFL-6089-2022</t>
  </si>
  <si>
    <t>Kim, Ki Hyun/0000-0002-5285-9138; Lee, Jun Hyuck/0000-0002-4831-2228; HAN, Se Jong/0000-0001-9576-2179; Lee, Seulah/0000-0002-4657-5104</t>
  </si>
  <si>
    <t>KOPRI Grant [15250103]; Ministry of Oceans and Fisheries, Korea [PM22030]; [PE22160]</t>
  </si>
  <si>
    <t>KOPRI Grant(Korea Polar Research Institute of Marine Research Placement (KOPRI)); Ministry of Oceans and Fisheries, Korea;</t>
  </si>
  <si>
    <t>This work was part of a project titled Development of potential antibiotic compounds using polar organism resources (15250103, KOPRI Grant PM22030), funded by the Ministry of Oceans and Fisheries, Korea. This study was also supported by the Korea Polar Research Institue (KOPRI; grant number PE22160).</t>
  </si>
  <si>
    <t>2218-1989</t>
  </si>
  <si>
    <t>Metabolites</t>
  </si>
  <si>
    <t>10.3390/metabo12020141</t>
  </si>
  <si>
    <t>Biochemistry &amp; Molecular Biology</t>
  </si>
  <si>
    <t>0D3UK</t>
  </si>
  <si>
    <t>WOS:000775924000001</t>
  </si>
  <si>
    <t>Nikitczuk, MP; Bebout, GE; Ota, T; Kunihiro, T; Mustard, JF; Flemming, RL; Tanaka, R; Halldórsson, SA; Nakamura, E</t>
  </si>
  <si>
    <t>Nikitczuk, M. P.; Bebout, G. E.; Ota, T.; Kunihiro, T.; Mustard, J. F.; Flemming, R. L.; Tanaka, R.; Halldorsson, S. A.; Nakamura, E.</t>
  </si>
  <si>
    <t>Nitrogenous Altered Volcanic Glasses as Targets for Mars Sample Return: Examples From Antarctica and Iceland</t>
  </si>
  <si>
    <t>JOURNAL OF GEOPHYSICAL RESEARCH-PLANETS</t>
  </si>
  <si>
    <t>hyaloclastites; Mars; stable isotopes (nitrogen); basalt alteration; biogeochemistry; planetary sample-return</t>
  </si>
  <si>
    <t>SUBMARINE BASALTIC GLASS; TRANSANTARCTIC MOUNTAINS; ISOTOPIC COMPOSITIONS; CARAPACE-NUNATAK; CLAY-MINERALS; VICTORIA-LAND; OCEANIC-CRUST; REFLECTANCE SPECTROSCOPY; CHEMICAL CLASSIFICATION; ENDOLITHIC MICROBORINGS</t>
  </si>
  <si>
    <t>Mars exploration is focused on seeking evidence of habitable environments and microbial life. Terrestrial glassy basalts may be the closest Mars-surface weathering analog and observations increasingly indicate their potential to preserve biogeochemical records. The textures, major and trace element geochemistry, and N concentrations and isotopic compositions of subaerial, subglacial and continental lacustrine hyaloclastites from Antarctica, Iceland, and Oregon, respectively, were studied using micro-imaging and chemical methods, including gas-source mass spectrometry. Alteration by meteoric-sourced waters occurred in circum-neutral, increasingly alkaline low-temperature conditions of similar to 60 degrees C-100 degrees C (Iceland) and similar to 60 degrees C-170 degrees C (Antarctica). Incompatible large ion lithophile element (LILE) enrichments compared to mid-ocean ridge basalt (MORB) are consistent with more advanced alteration in Antarctic breccias consisting of heulandite-clinoptilolite, calcite, erionite, quartz, and fluorapophyllite. Granular and tubular alteration textures and radial apatite represent possible microbial traces. Most samples contain more N than fresh MORB or ocean island basalt reflecting enrichment beyond concentrations attributable to igneous processes. Antarctic samples contain 52-1,143 ppm N and have delta N-15(air) values of -20.8 parts per thousand to -7.1 parts per thousand. Iceland-Oregon basalts contain 1.6-172 ppm N with delta N-15 of -6.7 parts per thousand to +7.3 parts per thousand. Correlations between alteration extents, N concentrations, and concentrations of K2O, other LILEs, and Li and B, reflect the siting of secondary N likely as NH4+ replacing K+ and potentially as N-2 in phyllosilicates and zeolites. Although much of the N enrichment and isotope fractionation presented here is not definitively biogenic, given several unknown factors, we suggest that a combination of textures, major and trace element alteration and N and other isotope geochemical compositions could constitute a compelling biosignature in samples from Mars' surface/near-surface. Plain Language Summary Finding evidence of past or present life beyond Earth involves identifying physical features and/or chemistries preserved within rocks. Our knowledge of how the signs of life are preserved, and how to identify them, depends on our understanding of Earth biology and how similar rocks on other planetary bodies can preserve such evidence. Volcanic rocks containing natural glass that are subject to chemical modification by waters are relevant to studying alteration at/near the surface of Mars. We have analyzed examples from Iceland and Antarctica to identify textures, minerals, and chemistry, particularly nitrogen, because it is required for all life on Earth, and other elements that can become concentrated in minerals during rock alteration. Minerals formed as a result of rock-water interactions indicate their formation in fluids with pH &lt; 9 and temperatures of &lt;170 degrees C. Relatively high concentrations of nitrogen correlated with those of other elements (i.e., potassium) indicate that nitrogen is stored in these minerals. Although much of the N chemistry here is not definitively the result of biological activity, chemically modified glassy volcanics containing nitrogen-bearing minerals may be useful targets to aim for, especially with other observations, when selecting samples on Mars in the search for ancient or modern life.</t>
  </si>
  <si>
    <t>[Nikitczuk, M. P.; Bebout, G. E.] Lehigh Univ, Dept Earth &amp; Environm Sci, Bethlehem, PA 18015 USA; [Bebout, G. E.; Ota, T.; Kunihiro, T.; Tanaka, R.; Nakamura, E.] Okayama Univ, Pheasant Mem Lab Geochem &amp; Coscmochem, Inst Planetary Mat, Misasa, Tottori, Japan; [Mustard, J. F.] Brown Univ, Dept Earth Environm &amp; Planetary Sci, Providence, RI 02912 USA; [Flemming, R. L.] Univ Western Ontario, Dept Earth Sci, London, ON, Canada; [Halldorsson, S. A.] Univ Iceland, Nord Volcanol Ctr, Inst Earth Sci, Reykjavik, Iceland</t>
  </si>
  <si>
    <t>Lehigh University; Okayama University; Brown University; Western University (University of Western Ontario); University of Iceland</t>
  </si>
  <si>
    <t>Nikitczuk, MP (corresponding author), Lehigh Univ, Dept Earth &amp; Environm Sci, Bethlehem, PA 18015 USA.</t>
  </si>
  <si>
    <t>mpn217@lehigh.edu</t>
  </si>
  <si>
    <t>Halldorsson, Saemundur A/L-9560-2015; Ota, Tsutomu/N-9026-2019; Kunihiro, Tak/B-1896-2011</t>
  </si>
  <si>
    <t>Ota, Tsutomu/0000-0003-4801-1609; Mustard, John/0000-0003-2509-0287; Kunihiro, Tak/0000-0001-5605-1227; Nikitczuk, Matthew/0000-0003-3563-6247</t>
  </si>
  <si>
    <t>National Science Foundation [EAR-1624092]; University of Western Ontario (NSERC) [RGPIN-2016-06048]; 21st Century Center of Excellence, Japanese Ministry of Education, Science, Sports, and Culture; Lehigh University Department of Earth and Environmental Sciences; Office of International Students and Scholars (OISS); College of Arts and Sciences (CAS); Grants-in-Aid for Scientific Research [20K04108] Funding Source: KAKEN</t>
  </si>
  <si>
    <t>National Science Foundation(National Science Foundation (NSF)); University of Western Ontario (NSERC); 21st Century Center of Excellence, Japanese Ministry of Education, Science, Sports, and Culture(Ministry of Education, Culture, Sports, Science and Technology, Japan (MEXT)); Lehigh University Department of Earth and Environmental Sciences; Office of International Students and Scholars (OISS); College of Arts and Sciences (CAS); Grants-in-Aid for Scientific Research(Ministry of Education, Culture, Sports, Science and Technology, Japan (MEXT)Japan Society for the Promotion of ScienceGrants-in-Aid for Scientific Research (KAKENHI))</t>
  </si>
  <si>
    <t>M. P. Nikitczuk acknowledges support of the N isotope work from the National Science Foundation (grant EAR-1624092 to G. E. Bebout), of the micro-analytical and geochemical work by the Pheasant Memorial Laboratory (Institute for Planetary Materials), and of the micro-XRD analyses by The University of Western Ontario (NSERC Discovery Grant RGPIN-2016-06048 to R. L. Flemming). Funding for the work at the IPM was from grants from the 21st Century Center of Excellence, Japanese Ministry of Education, Science, Sports, and Culture (to E. Nakamura). Additional funding for geochemical and mineralogical analyses, was provided by the Lehigh University Department of Earth and Environmental Sciences, Office of International Students and Scholars (OISS), and College of Arts and Sciences (CAS). The authors thank Bruce Idleman for ongoing technical support in the stable isotope geochemistry laboratory at the Lehigh University.</t>
  </si>
  <si>
    <t>2169-9097</t>
  </si>
  <si>
    <t>2169-9100</t>
  </si>
  <si>
    <t>J GEOPHYS RES-PLANET</t>
  </si>
  <si>
    <t>J. Geophys. Res.-Planets</t>
  </si>
  <si>
    <t>e2021JE007052</t>
  </si>
  <si>
    <t>10.1029/2021JE007052</t>
  </si>
  <si>
    <t>ZO3IX</t>
  </si>
  <si>
    <t>WOS:000765623000013</t>
  </si>
  <si>
    <t>Coxon, JC; Chisham, G; Freeman, MP; Anderson, BJ; Fear, RC</t>
  </si>
  <si>
    <t>Coxon, John C.; Chisham, Gareth; Freeman, Mervyn P.; Anderson, Brian J.; Fear, Robert C.</t>
  </si>
  <si>
    <t>Distributions of Birkeland Current Density Observed by AMPERE are Heavy-Tailed or Long-Tailed</t>
  </si>
  <si>
    <t>JOURNAL OF GEOPHYSICAL RESEARCH-SPACE PHYSICS</t>
  </si>
  <si>
    <t>Birkeland currents; q-exponential; distributions; Tsallis statistics; field-aligned currents; space weather</t>
  </si>
  <si>
    <t>FIELD-ALIGNED CURRENTS; MAGNETOSPHERE; CONVECTION; EXCITATION; SUPERDARN; DYNAMICS; NORTHERN; DMSP</t>
  </si>
  <si>
    <t>We analyze probability distributions of Birkeland current densities measured by the Active Magnetosphere and Planetary Electrodynamics Response Experiment. We find that the distributions are leptokurtic rather than normal and they are sometimes heavy-tailed. We fit q-exponential functions to the distributions and use these to estimate where the largest currents are likely to occur. The shape and scale parameters of the fitted q-exponential distribution vary with location: The scale parameter maximizes for current densities with the same polarity and in the same location as the average Region 1 current, whereas the shape parameter maximizes for current densities with the same polarity and in the same location as the average Region 2 current. We find that current densities |J| &gt;= 0.2 mu A m(-2) are most likely to occur in the average Region 1 current region, and second most likely to occur in the average Region 2 current region. However, for extreme currents (|J| &gt;= 4.0 mu A m(-2)), we find that the most likely location is colocated with the average Region 2 current region on the dayside, at a colatitude of 18 degrees-22 degrees.</t>
  </si>
  <si>
    <t>[Coxon, John C.] Northumbria Univ, Dept Math Phys &amp; Elect Engn, Newcastle Upon Tyne, Tyne &amp; Wear, England; [Coxon, John C.; Fear, Robert C.] Univ Southampton, Sch Phys &amp; Astron, Southampton, Hants, England; [Chisham, Gareth; Freeman, Mervyn P.] British Antarctic Survey, Cambridge, England; [Anderson, Brian J.] Johns Hopkins Univ, Appl Phys Lab, Laurel, MD USA</t>
  </si>
  <si>
    <t>Northumbria University; University of Southampton; UK Research &amp; Innovation (UKRI); Natural Environment Research Council (NERC); NERC British Antarctic Survey; Johns Hopkins University; Johns Hopkins University Applied Physics Laboratory</t>
  </si>
  <si>
    <t>Coxon, JC (corresponding author), Northumbria Univ, Dept Math Phys &amp; Elect Engn, Newcastle Upon Tyne, Tyne &amp; Wear, England.;Coxon, JC (corresponding author), Univ Southampton, Sch Phys &amp; Astron, Southampton, Hants, England.</t>
  </si>
  <si>
    <t>work@johncoxon.co.uk</t>
  </si>
  <si>
    <t>Freeman, Mervyn/E-5687-2019; Anderson, Brian J/I-8615-2012; Coxon, John/AAN-9355-2021</t>
  </si>
  <si>
    <t>Coxon, John/0000-0002-0166-6854; Chisham, Gareth/0000-0003-1151-5934</t>
  </si>
  <si>
    <t>Science and Technology Facilities Council (STFC) Ernest Rutherford Fellowship [ST/V004883/1, ST/R000719/1]; British Antarctic Survey (BAS) Polar Science for Planet Earth Programme; UK Natural Environment Research Council (NERC), as part of United Kingdom Research and Innovation (UKRI)</t>
  </si>
  <si>
    <t>Science and Technology Facilities Council (STFC) Ernest Rutherford Fellowship(UK Research &amp; Innovation (UKRI)Science &amp; Technology Facilities Council (STFC)); British Antarctic Survey (BAS) Polar Science for Planet Earth Programme; UK Natural Environment Research Council (NERC), as part of United Kingdom Research and Innovation (UKRI)</t>
  </si>
  <si>
    <t>J.C. Coxon was supported by Science and Technology Facilities Council (STFC) Ernest Rutherford Fellowship ST/V004883/1 and Consolidated Grant ST/R000719/1. G. Chisham and M.P. Freeman were supported by the British Antarctic Survey (BAS) Polar Science for Planet Earth Programme, as funded by the UK Natural Environment Research Council (NERC), as part of United Kingdom Research and Innovation (UKRI).</t>
  </si>
  <si>
    <t>2169-9380</t>
  </si>
  <si>
    <t>2169-9402</t>
  </si>
  <si>
    <t>J GEOPHYS RES-SPACE</t>
  </si>
  <si>
    <t>J. Geophys. Res-Space Phys.</t>
  </si>
  <si>
    <t>e2021JA029801</t>
  </si>
  <si>
    <t>10.1029/2021JA029801</t>
  </si>
  <si>
    <t>ZO4US</t>
  </si>
  <si>
    <t>WOS:000765721800002</t>
  </si>
  <si>
    <t>Park, JS; Shi, QQ; Shi, XL; Shue, JH; Degeling, AW; Nowada, M; Tian, AM; Kim, KH; Pitkänen, T; Zhang, YL</t>
  </si>
  <si>
    <t>Park, Jong-Sun; Shi, Quan Qi; Shi, Xueling; Shue, Jih-Hong; Degeling, Alexander W.; Nowada, Motoharu; Tian, An Min; Kim, Khan-Hyuk; Pitkanen, Timo; Zhang, Yongliang</t>
  </si>
  <si>
    <t>Radial Interplanetary Magnetic Field-Induced North-South Asymmetry in the Solar Wind-Magnetosphere-Ionosphere Coupling: A Case Study</t>
  </si>
  <si>
    <t>radial interplanetary magnetic field; hemispheric asymmetry; polar cap index; ionospheric convection</t>
  </si>
  <si>
    <t>HIGH-LATITUDE CONVECTION; SMALL-SCALE IRREGULARITIES; F-REGION; IMF; FLOW; MAGNETOPAUSE; COMPONENT; CURRENTS</t>
  </si>
  <si>
    <t>In this paper, we present a case study of the radial interplanetary magnetic field (IMF B-x)-induced asymmetric solar wind-magnetosphere-ionosphere (SW-M-I) coupling between the northern and southern polar caps using ground-based and satellite-based data. Under prolonged conditions of strong earthward IMF on 5 March 2015, we find significant discrepancies between polar cap north (PCN) and polar cap south (PCS) magnetic indices with a negative bay-like change in the PCN and a positive bay-like change in the PCS. The difference between these indices (PCN-PCS) reaches a minimum of -1.63 mV/m, which is approximately three times higher in absolute value than the values for most of the time on this day (within +/- 0.5 mV/m). The high-latitude plasma convection also shows an asymmetric feature such that there exists an additional convection cell near the noon sector in the northern polar cap, but not in the southern polar cap. Meanwhile, negative bays in the north-south component of ground magnetic field perturbations (less than 50 nT) observed in the nightside auroral region of the Northern Hemisphere are accompanied with the brightening and widening of the nightside auroral oval in the Southern Hemisphere, implying a weak, but clear energy transfer to the nightside ionosphere of both hemispheres. After the hemispheric asymmetries in the polar caps disappear, a substorm onset takes place. All these observations indicate that IMF B-x-induced single lobe reconnection that occurred in the Northern Hemisphere plays an important role in hemispheric asymmetry in the energy transfer from the solar wind to the polar cap through the magnetosphere.</t>
  </si>
  <si>
    <t>[Park, Jong-Sun; Shi, Quan Qi; Degeling, Alexander W.; Nowada, Motoharu; Tian, An Min; Pitkanen, Timo] Shandong Univ, Inst Space Sci, Shandong Prov Key Lab Opt Astron &amp; Solar Terr Env, Weihai, Peoples R China; [Shi, Xueling] Virginia Tech, Dept Elect &amp; Comp Engn, Blacksburg, VA USA; [Shi, Xueling] Natl Ctr Atmospher Res, High Altitude Observ, Pob 3000, Boulder, CO 80307 USA; [Shue, Jih-Hong] Natl Cent Univ, Inst Space Sci, Taoyuan, Taiwan; [Kim, Khan-Hyuk] Kyung Hee Univ, Sch Space Res, Yongin, South Korea; [Pitkanen, Timo] Umea Univ, Dept Phys, Umea, Sweden; [Zhang, Yongliang] Johns Hopkins Univ, Appl Phys Lab, Laurel, MD USA</t>
  </si>
  <si>
    <t>Shandong University; Virginia Polytechnic Institute &amp; State University; National Center Atmospheric Research (NCAR) - USA; National Central University; Kyung Hee University; Umea University; Johns Hopkins University; Johns Hopkins University Applied Physics Laboratory</t>
  </si>
  <si>
    <t>Park, JS (corresponding author), Shandong Univ, Inst Space Sci, Shandong Prov Key Lab Opt Astron &amp; Solar Terr Env, Weihai, Peoples R China.</t>
  </si>
  <si>
    <t>parkjspace@sdu.edu.cn</t>
  </si>
  <si>
    <t>Park, Jong-Sun/HOH-8882-2023; Nowada, Motoharu/AAX-4550-2020; SHI, QUANQI/M-6959-2015; Pitkänen, Timo/AGO-2897-2022; Kim, Khan-Hyuk/E-2361-2013; Degeling, Alexander/F-1091-2016</t>
  </si>
  <si>
    <t>Park, Jong-Sun/0000-0002-2732-1168; Nowada, Motoharu/0000-0003-4849-3433; SHI, QUANQI/0000-0001-6835-4751; Kim, Khan-Hyuk/0000-0001-8872-6065; Shi, Xueling/0000-0001-8425-8241; Pitkanen, Timo/0000-0002-5681-0366</t>
  </si>
  <si>
    <t>NSFC [41850410495, 41731068, 41961130382]; NSF [AGS-1341918, AGS-1935110, 42074194]; Shandong University (Weihai) Future Plan for Young Scholars [2017WHWLJH08]; Basic Science Research Program through NRF [NRF-2019R1F1A1055444]; SNSA [118/17]</t>
  </si>
  <si>
    <t>NSFC(National Natural Science Foundation of China (NSFC)); NSF(National Science Foundation (NSF)); Shandong University (Weihai) Future Plan for Young Scholars; Basic Science Research Program through NRF(National Research Foundation of Korea); SNSA(Swedish National Space Agency (SNSA))</t>
  </si>
  <si>
    <t>This work was supported by NSFC grant 41850410495. Q. Q. Shi is supported by NSFC grants 41731068 and 41961130382. X. Shi acknowledges the support of NSF through awards AGS-1341918 and AGS-1935110. M. Nowada was supported by NSFC grant 42074194. A. M. Tian is supported by the Shandong University (Weihai) Future Plan for Young Scholars (2017WHWLJH08). The work of K.-H. Kim was supported by the Basic Science Research Program through NRF funded by NRF-2019R1F1A1055444. T. Pitkanen is supported by SNSA grant 118/17. The authors wish to thank the International Space Science Institute in Beijing (ISSI-BJ) for supporting and hosting the meetings of the International Team on The morphology of auroras at Earth and giant planets: Characteristics and their magnetospheric implications, during which the discussions leading/contributing to this publication were initiated/held. For the SuperMAG products, the authors gratefully acknowledge INTERMAGNET, Alan Thomson; CARISMA, PI Ian Mann; CANMOS, Geomagnetism Unit of the Geological Survey of Canada; The S-RAMP Database, PI K. Yumoto and Dr. K. Shiokawa; The SPIDR database; AARI, PI Oleg Troshichev; The MACCS program, PI M. Engebretson; GIMA; MEASURE, UCLA IGPP and Florida Institute of Technology; SAMBA, PI Eftyhia Zesta; 210 Chain, PI K. Yumoto; SAMNET, PI Farideh Honary; IMAGE, PI Liisa Juusola; Finnish Meteorological Institute, PI Liisa Juusola; Sodankyla Geophysical Observatory, PI Tero Raita; UiT the Arctic University of Norway, TromsO Geophysical Observatory, PI Magnar G. Johnsen; GFZ German Research Centre For Geosciences, PI Jurgen Matzka; Institute of Geophysics, Polish Academy of Sciences, PI Anne Neska and Jan Reda; Polar Geophysical Institute, PI Alexander Yahnin and Yarolav Sakharov; Geological Survey of Sweden, PI Gerhard Schwarz; Swedish Institute of Space Physics, PI Masatoshi Yamauchi; AUTUMN, PI Martin Connors; DTU Space, Thom Edwards and PI Anna Willer; South Pole and McMurdo Magnetometer, PI's Louis J. Lanzarotti and Alan T. Weatherwax; ICESTAR; RAPIDMAG; British Antarctic Survey; McMac, PI Dr. Peter Chi; BGS, PI Dr. Susan Macmillan; Pushkov Institute of Terrestrial Magnetism, Ionosphere and Radio Wave Propagation (IZMIRAN); MFGI, PI B. Heilig; Institute of Geophysics, Polish Academy of Sciences, PI Anne Neska and Jan Reda; University of L'Aquila, PI M. Vellante; BCMT, V. Lesur and A. Chambodut; Data obtained in cooperation with Geoscience Australia, PI Andrew Lewis; AALPIP, co-PIs Bob Clauer and Michael Hartinger; MagStar, PI Jennifer Gannon; SuperMAG, PI Jesper W. Gjerloev; Data obtained in cooperation with the Australian Bureau of Meteorology, PI Richard Marshall. The authors also acknowledge the use of SuperDARN data. SuperDARN is a collection of radars funded by national scientific funding agencies of Australia, Canada, China, France, Italy, Japan, Norway, South Africa, United Kingdom, and the United States of America.</t>
  </si>
  <si>
    <t>e2021JA030020</t>
  </si>
  <si>
    <t>10.1029/2021JA030020</t>
  </si>
  <si>
    <t>WOS:000765721800026</t>
  </si>
  <si>
    <t>Wang, ZW; Lu, JY; Hu, HQ; Liu, JJ; Hu, ZJ; Wang, M; Li, B; Chen, XC; Wu, YW; Zhang, H; Guan, HY</t>
  </si>
  <si>
    <t>Wang, Zhiwei; Lu, Jianyong; Hu, Hongqiao; Liu, Jianjun; Hu, Zejun; Wang, Ming; Li, Bin; Chen, Xiangcai; Wu, Yewen; Zhang, Hua; Guan, Haiyan</t>
  </si>
  <si>
    <t>HMB Variations Measured by SuperDARN During the Extremely Radial IMFs: Is the Coupling Function Applicable in Radial IMF?</t>
  </si>
  <si>
    <t>radial IMF; Heppner-Maynard boundary; IMF Bx; S-M-I coupling</t>
  </si>
  <si>
    <t>INTERPLANETARY MAGNETIC-FIELD; HIGH-LATITUDE; ENERGY-TRANSFER; SOLAR-WIND; MAGNETOPAUSE; MAGNETOSPHERE; PATTERNS; SIMULATION; NORTHWARD; FLOWS</t>
  </si>
  <si>
    <t>The effect of radial interplanetary magnetic field (IMF BX ${\mathrm{B}}_{\mathrm{X}}$) has been ignored in the solar wind-magnetosphere-ionosphere (S-M-I) coupling. We present a statistical study of IMF Bx effects on the Heppner-Maynard Boundary (HMB) midnight latitude calculated from SuperDARN measurements between January 2002 and December 2017. The HMB represents the equatorward extent of the ionospheric convection pattern and can be used as a proxy for the equatorward boundary of the auroral oval. That is, the HMB expands toward lower latitude when the level of S-M-I coupling is enhanced. It is found that the averaged HMB midnight latitudes during both sunward and antisunward radial IMFs are around 64-65 degrees magnetic latitude (MLAT). HMB midnight latitude is negatively correlated with the magnitude of IMF Bx as well as solar wind speed, while no significant trend is found between HMB midnight latitude and IMF Bz or By during radial IMF. For antisunward radial IMF, the relationship between upstream parameters and HMB is more dependent than in sunward radial direction. As the first long-term statistical study focused on HMB during radial IMF conditions, this work provides observational evidence that the IMF Bx plays an important role in the coupling process and the traditional coupling function could not be applicable in the case of radial IMF.</t>
  </si>
  <si>
    <t>[Wang, Zhiwei; Lu, Jianyong; Wang, Ming; Wu, Yewen; Zhang, Hua] Nanjing Univ Informat Sci &amp; Technol, Inst Space Weather, Nanjing, Peoples R China; [Wang, Zhiwei; Hu, Hongqiao; Liu, Jianjun; Hu, Zejun; Li, Bin; Chen, Xiangcai] Polar Res Inst China, MNR Key Lab Polar Sci, Shanghai, Peoples R China; [Guan, Haiyan] Nanjing Univ Informat Sci &amp; Technol, Sch Remote Sensing Geomat Engn, Nanjing, Peoples R China</t>
  </si>
  <si>
    <t>Nanjing University of Information Science &amp; Technology; Polar Research Institute of China; Nanjing University of Information Science &amp; Technology</t>
  </si>
  <si>
    <t>Lu, JY (corresponding author), Nanjing Univ Informat Sci &amp; Technol, Inst Space Weather, Nanjing, Peoples R China.;Hu, HQ (corresponding author), Polar Res Inst China, MNR Key Lab Polar Sci, Shanghai, Peoples R China.</t>
  </si>
  <si>
    <t>jylu@nuist.edu.cn; hhq@pric.org.cn</t>
  </si>
  <si>
    <t>Li, Bin/P-7806-2014; Chen, Xiangcai/S-9746-2019; Hu, Ze-Jun/X-8090-2019; Lu, Jianyong/F-8159-2014</t>
  </si>
  <si>
    <t>Chen, Xiangcai/0000-0002-6325-5049; Hu, Ze-Jun/0000-0003-2448-2094; Lu, Jianyong/0000-0001-7042-5395; Wang, Ming/0000-0002-3290-8721; wang, zhiwei/0000-0002-5395-5447; Liu, Jianjun/0000-0003-0465-6210; Zhang, Hua/0000-0003-1895-7524</t>
  </si>
  <si>
    <t>National Key Research and Development Plan of China [2018YFC1407305, 2018YFC1407304, 2018YFF01013706, 2021YFE0106400]; National Natural Science Foundation of China [42030203, 41974185, 41974190, 41831072, 42074195, 41674169]; Foundation of National Key Laboratory of Electromagnetic Environment [201801003]; Natural Science Foundation of Jiangsu Province [BK20170952]; Chinese Meridian Project; International Cooperation Advance Research on Key Scientific Issues of the International Meridian Project [A131901W14]; Institute of Applied Meteorology</t>
  </si>
  <si>
    <t>National Key Research and Development Plan of China; National Natural Science Foundation of China(National Natural Science Foundation of China (NSFC)); Foundation of National Key Laboratory of Electromagnetic Environment; Natural Science Foundation of Jiangsu Province(Natural Science Foundation of Jiangsu Province); Chinese Meridian Project; International Cooperation Advance Research on Key Scientific Issues of the International Meridian Project; Institute of Applied Meteorology</t>
  </si>
  <si>
    <t>We acknowledge the use of NASA/GSFC's Space Physics Data Facility for OMNI IMF data. We thank the Chinese National Arctic and Antarctic Data Center for providing computing devices and SuperDARN data. This work was supported in part by the National Key Research and Development Plan of China (2018YFC1407305, 2018YFC1407304, 2018YFF01013706, 2021YFE0106400), the National Natural Science Foundation of China (Grants 42030203, 41974185, 41974190, 41831072, 42074195, 41674169), the Foundation of National Key Laboratory of Electromagnetic Environment (201801003), the Natural Science Foundation of Jiangsu Province (BK20170952), the Chinese Meridian Project, International Cooperation Advance Research on Key Scientific Issues of the International Meridian Project (A131901W14), and the fund from Institute of Applied Meteorology. Finally, we thank the reviewers and editors for their favors to this work.</t>
  </si>
  <si>
    <t>e2021JA029589</t>
  </si>
  <si>
    <t>10.1029/2021JA029589</t>
  </si>
  <si>
    <t>WOS:000765721800001</t>
  </si>
  <si>
    <t>Keller, NB; Oskina, NS; Olshanetskiy, DM</t>
  </si>
  <si>
    <t>Keller, N. B.; Oskina, N. S.; Olshanetskiy, D. M.</t>
  </si>
  <si>
    <t>Scleractinian Corals as an Indicator of Vertical Density of the Antarctic Circumpolar Current</t>
  </si>
  <si>
    <t>OCEANOLOGY</t>
  </si>
  <si>
    <t>scleractinian corals; Antarctica; Antarctic Circumpolar Current</t>
  </si>
  <si>
    <t>TRANSPORT</t>
  </si>
  <si>
    <t>The article presents data indicating the relationship of the bathymetric distribution of solitary endemic scleractinian corals inhabiting the Antarctic continental shelf and upper continental slope with the vertical density of the Antarctic Circumpolar Current. The study is based on materials collected by expeditions of the Shirshov Institute of Oceanology (IO RAS) and the literature data. The results show that endemic species that appeared in the Late Neogene and Pleistocene were unable to propagate across other oceans due to the existing horizontal and vertical density of the Arctic Circumpolar Current during that period.</t>
  </si>
  <si>
    <t>[Keller, N. B.; Oskina, N. S.] Russian Acad Sci, Shirshov Inst Oceanol, Moscow 117997, Russia; [Olshanetskiy, D. M.] Russian Acad Sci, Geol Inst, Moscow 119017, Russia</t>
  </si>
  <si>
    <t>Russian Academy of Sciences; Shirshov Institute of Oceanology; Geological Institute, Russian Academy of Sciences; Russian Academy of Sciences</t>
  </si>
  <si>
    <t>Keller, NB (corresponding author), Russian Acad Sci, Shirshov Inst Oceanol, Moscow 117997, Russia.</t>
  </si>
  <si>
    <t>keller@ocean.ru; nsoskina@mail.ru; mitia@list.ru</t>
  </si>
  <si>
    <t>Geological Institute RAS [012820210008, 0114-2021-0003]; Russian Foundation for Basic Research [19-05-00361]</t>
  </si>
  <si>
    <t>Geological Institute RAS(Russian Academy of Sciences); Russian Foundation for Basic Research(Russian Foundation for Basic Research (RFBR)Spanish Government)</t>
  </si>
  <si>
    <t>This study was performed as part of state task nos. 012820210008 and 0114-2021-0003 of the Geological Institute RAS and was supported by the Russian Foundation for Basic Research, project no. 19-05-00361.</t>
  </si>
  <si>
    <t>0001-4370</t>
  </si>
  <si>
    <t>1531-8508</t>
  </si>
  <si>
    <t>OCEANOLOGY+</t>
  </si>
  <si>
    <t>Oceanology</t>
  </si>
  <si>
    <t>10.1134/S0001437022010064</t>
  </si>
  <si>
    <t>ZT9PE</t>
  </si>
  <si>
    <t>WOS:000769479700011</t>
  </si>
  <si>
    <t>Sushchevskaya, NM; Levchenko, OV; Belyatsky, BV</t>
  </si>
  <si>
    <t>Sushchevskaya, N. M.; Levchenko, O., V; Belyatsky, B., V</t>
  </si>
  <si>
    <t>To the Question of Magmatism and Origin of the Afanasy Nikitin Rise Due to Discovery of Ancient Zircon by Three Billion Years Age</t>
  </si>
  <si>
    <t>Afanasy Nikitin Rise; Indian Ocean; mantle plume; spreading; lithosphere; ridge; fault; basalt; tholeiite; zircon</t>
  </si>
  <si>
    <t>INDIAN-OCEAN; 85-DEGREES-E RIDGE; CROZET ARCHIPELAGO; KERGUELEN PLATEAU; EAST ANTARCTICA; EVOLUTION; MICROCONTINENTS; CONTAMINATION; PETROGENESIS; CONSTRAINTS</t>
  </si>
  <si>
    <t>A zircon with an age of similar to 2.9 Ga, much older than all existing dates, has been discovered for the first time in basalts of the Afanasy Nikitin Rise. Such an ancient age is typical of continental crust rocks of Western Hindustan or Antarctica. Analyses have revealed the geochemical similarity of magmas of the Conrad and Afanasy Nikitin rises and their difference from Crozet Rise magmas owing to their different formation conditions. Emplacement of the Conrad and Afanasy Nikitin rises occurred similar to 80-90 Ma ago under the influence of the same Conrad hotspot near the spreading Indian-Antarctic Ridge. This hotspot is a satellite of the giant Kerguelen Plume, active in the Eastern Indian Ocean from 130 Ma ago to the present. The plume formed the Ninetyeast Ridge in the ancient spreading center, and plume magmas leaked along the spreading zone up to the formation area of the Conrad and Afanasy Nikitin rises. During interaction of the Kerguelen Plume with the spreading zone and transform faults, nonspreading blocks of the ancient continental lithosphere of the Gondwana may have been preserved.</t>
  </si>
  <si>
    <t>[Sushchevskaya, N. M.] Russian Acad Sci, Vernadsky Inst Geochem &amp; Analyt Chem, Moscow, Russia; [Levchenko, O., V] Russian Acad Sci, Shirshov Inst Oceanol, Moscow, Russia; [Belyatsky, B., V] Karpinsky All Russian Sci Res Geol Inst, St Petersburg, Russia</t>
  </si>
  <si>
    <t>Russian Academy of Sciences; Vernadsky Institute of Geochemistry &amp; Analytical Chemistry; Russian Academy of Sciences; Shirshov Institute of Oceanology</t>
  </si>
  <si>
    <t>Sushchevskaya, NM (corresponding author), Russian Acad Sci, Vernadsky Inst Geochem &amp; Analyt Chem, Moscow, Russia.</t>
  </si>
  <si>
    <t>nadyas@geokhi.ru; olevses@mail.ru; bbelyatsky@mail.ru</t>
  </si>
  <si>
    <t>Belyatsky, Boris/V-6644-2019</t>
  </si>
  <si>
    <t>Belyatsky, Boris/0000-0002-4022-9366</t>
  </si>
  <si>
    <t>Russian Foundation for Basic Research [19-05-00680]; [0137-2019-0012]; [0128-2021-0005]</t>
  </si>
  <si>
    <t>Russian Foundation for Basic Research(Russian Foundation for Basic Research (RFBR)Spanish Government); ;</t>
  </si>
  <si>
    <t>The study was supported by the Russian Foundation for Basic Research (project no. 19-05-00680) and partly within a state task (topic nos. 0137-2019-0012 (N.M. Sushchevskaya) and 0128-2021-0005 (O.V. Levchenko).</t>
  </si>
  <si>
    <t>10.1134/S0001437022010143</t>
  </si>
  <si>
    <t>WOS:000769479700014</t>
  </si>
  <si>
    <t>de Aranzamendi, MC; Martínez, JJ; Held, C; Sahade, R</t>
  </si>
  <si>
    <t>Carla de Aranzamendi, Maria; Jose Martinez, Juan; Held, Christoph; Sahade, Ricardo</t>
  </si>
  <si>
    <t>Parallel shape divergence between ecotypes of the limpet Nacella concinna along the Antarctic Peninsula: a new model species for parallel evolution?</t>
  </si>
  <si>
    <t>ZOOLOGY</t>
  </si>
  <si>
    <t>Cytochrome Oxidase subunit I; eco-evolutionary dynamics; outline analysis; phenotypic trajectories; shell morphology; phenotypic plasticity</t>
  </si>
  <si>
    <t>SOUTHERN-OCEAN; CLIMATE-CHANGE; QUANTITATIVE-EVALUATION; LITTORINA-SAXATILIS; ADAPTIVE EVOLUTION; NATURAL-SELECTION; SHELL MORPHOLOGY; R PACKAGE; DIFFERENTIATION; STREBEL</t>
  </si>
  <si>
    <t>Parallel phenotypic divergence is the independent differentiation between phenotypes of the same lineage or species occupying ecologically similar environments in different populations. We tested in the Antarctic limpet Nacella concinna the extent of parallel morphological divergence in littoral and sublittoral ecotypes throughout its distribution range. These ecotypes differ in morphological, behavioural and physiological characteristics. We studied the lateral and dorsal outlines of shells and the genetic variation of the mitochondrial gene Cytochrome Oxidase subunit I from both ecotypes in 17 sample sites along more than 2,000 km. The genetic data indicate that both ecotypes belong to a single evolutionary lineage. The magnitude and direction of phenotypic variation differ between ecotypes across sample sites; completely parallel ecotype-pairs (i.e., they diverge in the same magnitude and in the same direction) were detected in 84.85% of lateral and 65.15% in dorsal view comparisons. Besides, specific traits (relative shell height, position of shell apex, and elliptical/pear-shape outline variation) showed high parallelism. We observed weak morphological covariation between the two shape shell views, indicating that distinct evolutionary forces and environmental pressures could be acting on this limpet shell shape. Our results demonstrate there is a strong parallel morphological divergence pattern in N. concinna along its distribution, making this Antarctic species a suitable model for the study of different evolutionary forces shaping the shell evolution of this limpet.</t>
  </si>
  <si>
    <t>[Carla de Aranzamendi, Maria; Sahade, Ricardo] Univ Nacl Cordoba, Fac Ciencias Exactas Fis &amp; Nat, Av Velez Sarsfield 299,Catedra Ecol Marina,X5000J, Cordoba, Argentina; [Carla de Aranzamendi, Maria; Sahade, Ricardo] Consejo Nacl Invest Cient &amp; Tecn CONICET, Inst Div &amp; Ecol Anim IDEA, Ecosistemas &amp; Marinos Polares ECOMARES, Av Velez Sarsfield 299,X5000JJC, Cordoba, Argentina; [Jose Martinez, Juan] Consejo Nacl Invest Cient &amp; Tecn, Inst Ecorreg Andinas INECOA, Lab Ecol Evolut &amp; Biogeog, C Gorriti 237, RA-4600 San Salvador De Jujuy, Argentina; [Held, Christoph] Helmholtz Zentrum Polar &amp; Meeresforsch, Alfred Wegener Inst, Handelshafen 12, D-27570 Bremerhaven, Germany</t>
  </si>
  <si>
    <t>National University of Cordoba; Consejo Nacional de Investigaciones Cientificas y Tecnicas (CONICET); Consejo Nacional de Investigaciones Cientificas y Tecnicas (CONICET); Helmholtz Association; Alfred Wegener Institute, Helmholtz Centre for Polar &amp; Marine Research</t>
  </si>
  <si>
    <t>de Aranzamendi, MC; Sahade, R (corresponding author), Univ Nacl Cordoba, Consejo Nacl Invest Cient &amp; Tecn CONICET, Inst Div Ecol Anim IDEA, Fac Ciencias Exactas Fis &amp; Nat, Cordoba, Argentina.</t>
  </si>
  <si>
    <t>mcdearanzamendi@conicet.gov.ar; jjmartinez@conicet.gov.ar; christoph.held@awi.de; rsahade@unc.edu.ar</t>
  </si>
  <si>
    <t>Martinez, Juan Jose/AAG-4611-2020</t>
  </si>
  <si>
    <t>Martinez, Juan Jose/0000-0001-7961-3042; de Aranzamendi, Maria Carla/0000-0003-4442-0384</t>
  </si>
  <si>
    <t>Fondo para la Investigacion Cientifica y Tecnologica, Argentina (FONCyT) [PICTO2010-0119]; Secretaria de Ciencia y Tecnica, Universidad Nacional de Cordoba (SECyT UNC) [33620180100077CB]; EU project IMCONet (Interdisciplinary modelling of climate change in coastal Western Antarctica - network for staff exchange and training; European Science Foundation and Alfred Wegener Institut) [319718]</t>
  </si>
  <si>
    <t>Fondo para la Investigacion Cientifica y Tecnologica, Argentina (FONCyT); Secretaria de Ciencia y Tecnica, Universidad Nacional de Cordoba (SECyT UNC)(Secretaria de Ciencia y Tecnologia (SECYT)); EU project IMCONet (Interdisciplinary modelling of climate change in coastal Western Antarctica - network for staff exchange and training; European Science Foundation and Alfred Wegener Institut)</t>
  </si>
  <si>
    <t>This work was supported by Grants from the Fondo para la Investigaci ' on Cientifica y Tecnol ' ogica, Argentina (FONCyT; PICTO2010-0119), Secretaria de Ciencia y T ' ecnica, Universidad Nacional de C ' ordoba (SECyT UNC; 33620180100077CB) and the EU project IMCONet (Interdisciplinary modelling of climate change in coastal Western Antarctica - network for staff exchange and training; European Science Foundation and Alfred Wegener Institut; FP7 404 IRSES, action no. 319718).</t>
  </si>
  <si>
    <t>ELSEVIER GMBH</t>
  </si>
  <si>
    <t>MUNICH</t>
  </si>
  <si>
    <t>HACKERBRUCKE 6, 80335 MUNICH, GERMANY</t>
  </si>
  <si>
    <t>0944-2006</t>
  </si>
  <si>
    <t>1873-2720</t>
  </si>
  <si>
    <t>Zoology</t>
  </si>
  <si>
    <t>10.1016/j.zool.2021.125983</t>
  </si>
  <si>
    <t>ZX6WO</t>
  </si>
  <si>
    <t>WOS:000772036500002</t>
  </si>
  <si>
    <t>Lonin, S; Rios-Angulo, WA; Coronado, J</t>
  </si>
  <si>
    <t>Lonin, Serguei; Rios-Angulo, Wilson A.; Coronado, Jairo</t>
  </si>
  <si>
    <t>Swell Conditions at Potential Sites for the Colombian Antarctic Research Station</t>
  </si>
  <si>
    <t>SUSTAINABILITY</t>
  </si>
  <si>
    <t>Antarctic Station; Bransfield Strait; South Shetland Islands; swell; wave model</t>
  </si>
  <si>
    <t>WAVE MODELS</t>
  </si>
  <si>
    <t>The objective of this paper was to characterize swell conditions in the coastal zone of the South Shetland Islands, where our preliminary analyses evaluated potential locations for the Colombian scientific station. The Simulating Waves Nearshore (SWAN) spectral model was implemented for the Bransfield Strait. The boundary conditions were selected by a cluster analysis of the wave climate from global hindcasting obtained with the WAVEWATCH III model. Some comparisons between the model and wavemeter measurements were made. The results demonstrated that optimal sea state conditions for the scientific base are present in the South Bay, Livingston Island.</t>
  </si>
  <si>
    <t>[Lonin, Serguei; Rios-Angulo, Wilson A.] Armada Colombia, Escuela Naval Cadetes Almirante Padilla, Cartagena Indias 130001, Colombia</t>
  </si>
  <si>
    <t>Lonin, S (corresponding author), Armada Colombia, Escuela Naval Cadetes Almirante Padilla, Cartagena Indias 130001, Colombia.</t>
  </si>
  <si>
    <t>jairocoronado@yahoo.com; jairocoronado@yahoo.com; jairocoronado@yahoo.com</t>
  </si>
  <si>
    <t>Lonin, Serguei/0000-0001-9561-0554</t>
  </si>
  <si>
    <t>Colombian Navy; Ministry of Science, Technology and Innovation [65028]</t>
  </si>
  <si>
    <t>Colombian Navy; Ministry of Science, Technology and Innovation(Ministry of Energy, Science, Technology, Environment and Climate Change (MESTECC), Malaysia)</t>
  </si>
  <si>
    <t>The APC was funded by Colombian Navy and Ministry of Science, Technology and Innovation, under Project No. 65028.</t>
  </si>
  <si>
    <t>2071-1050</t>
  </si>
  <si>
    <t>SUSTAINABILITY-BASEL</t>
  </si>
  <si>
    <t>Sustainability</t>
  </si>
  <si>
    <t>10.3390/su14042318</t>
  </si>
  <si>
    <t>Green &amp; Sustainable Science &amp; Technology; Environmental Sciences; Environmental Studies</t>
  </si>
  <si>
    <t>Science &amp; Technology - Other Topics; Environmental Sciences &amp; Ecology</t>
  </si>
  <si>
    <t>ZW0YF</t>
  </si>
  <si>
    <t>WOS:000770946400001</t>
  </si>
  <si>
    <t>Ge, SL; Chen, ZH; Liu, QS; Wu, L; Zhong, Y; Liu, HL; Liu, JX; Zhang, Q</t>
  </si>
  <si>
    <t>Ge, Shulan; Chen, Zhihua; Liu, Qingsong; Wu, Li; Zhong, Yi; Liu, Helin; Liu, Jianxing; Zhang, Qiang</t>
  </si>
  <si>
    <t>Dynamic response of East Antarctic ice sheet to Late Pleistocene glacial-interglacial climatic forcing</t>
  </si>
  <si>
    <t>Terrigenous provenance; Magnetic coercivity cyclicity; Detrital epsilon(Nd); East Antarctic ice sheet dynamics; Late Pleistocene glacial-interglacial cycles</t>
  </si>
  <si>
    <t>PRINCE CHARLES MOUNTAINS; PRYDZ BAY; SOUTHERN-OCEAN; SM-ND; EVOLUTION; SURFACE; SHELF; VARIABILITY; COERCIVITY; SITE-1166</t>
  </si>
  <si>
    <t>Knowledge regarding the response of the East Antarctic Ice Sheet to glacial-interglacial climatic cycles in the late Pleistocene is critical to understanding the global climate system and projections of future sea level rise. Here, we observed notable glacial-interglacial cyclicity in magnetic properties, bulk detrital Sr-Nd isotopes, and Fe/Ti ratios over the previous 530 kyr in three well-dated gravity cores from the continental rise offshore of Prydz Bay (East Antarctica). Our results show that Antarctic continental sources with more Ti-rich magnetite, less radiogenic epsilon neodymium (epsilon(Nd)), and higher Fe/Ti ratios were predominant during glacials in comparison with interglacials. Specifically, the epsilon(Nd) amplitude through MIS 11-5 differs from that in the remainder of the records, which is also expressed in the magnetic coercivity cycles with subdued patterns. Following source identification on the basis of the detrital Sr-Nd distribution, we recognize two main (rock type) sources and infer two types of ice drainage flow pattern (flank and channelized), which follow different pathways in the Lambert Glacier-Amery Ice Shelf system (LG-AISS). The first follows an eastern path connecting the Ingrid Christensen Coast (flank), while the second follows a central channel via the LG-AISS (channelized) during MIS 11-5. Regular dynamics on glacial-interglacial timescales, manifested by changes in magnetic coercivity, are closely related to the modeled Antarctic ice volume and ice sheet movement, in which the second channelized pathway during MIS 11-5 corresponds to a 340-kyr-long episode with contiguous warmer-than-present Antarctic interglacials (MIS 11, 9, 7, and 5). Our records thus provide the clearest evidence so far of variable patterns of ice sheet dynamics during the late Pleistocene in the Prydz Bay sector of East Antarctica, which coincided with similar variation of ice drainage during the late Miocene-early Pliocene at around 1.13 Ma (ODP188). Similar ice drainage changes in these two periods imply that major ice flow reconfiguration can be triggered repeatedly by abrupt changes from a stable warm period to a cold one. The presented data not only reveal glacial-interglacial cyclicity in ice sheet advance and retreat in the meridional direction, but also implicate latitudinal adjustment (lateral) within a thin elongated drainage basin of the LG-AISS. (C) 2021 Elsevier Ltd. All rights reserved.</t>
  </si>
  <si>
    <t>[Ge, Shulan; Chen, Zhihua; Liu, Helin; Liu, Jianxing] Minist Nat Resources, Inst Oceanog 1, Key Lab Marine Geol &amp; Metallogeny, Qingdao 266061, Peoples R China; [Ge, Shulan; Chen, Zhihua; Liu, Qingsong; Liu, Jianxing] Qingdao Natl Lab Marine Sci &amp; Technol, Lab Marine Geol, Qingdao 266061, Peoples R China; [Liu, Qingsong; Zhong, Yi; Zhang, Qiang] Southern Univ Sci &amp; Technol, Ctr Marine Magnetism, Dept Ocean Sci &amp; Engn, Shenzhen 518005, Peoples R China; [Wu, Li] Tongji Univ, State Key Lab Marine Geol, Shanghai 200092, Peoples R China</t>
  </si>
  <si>
    <t>Ministry of Natural Resources of the People's Republic of China; First Institute of Oceanography, Ministry of Natural Resources; Laoshan Laboratory; Southern University of Science &amp; Technology; Tongji University</t>
  </si>
  <si>
    <t>Ge, SL; Chen, ZH (corresponding author), Minist Nat Resources, Inst Oceanog 1, Key Lab Marine Geol &amp; Metallogeny, Qingdao 266061, Peoples R China.</t>
  </si>
  <si>
    <t>shulange@fio.org.cn; chenzia@fio.org.cn</t>
  </si>
  <si>
    <t>Zhong, Yi/R-3249-2016; WU, Li/KHX-2389-2024; yin, yue/JQV-9753-2023</t>
  </si>
  <si>
    <t>Jianxing, Liu/0000-0001-8180-1683</t>
  </si>
  <si>
    <t>China National Science Foundation Program [41676191, 41376072, 41806063]; Project on the Impact and Response of Antarctic Seas to Climate Change (IRASCC2020-2022) - Chinese Arctic and Antarctic Administration [01-03-02, 03-02]; Shenzhen Science and Technology Program [KQTD20170810111725321]</t>
  </si>
  <si>
    <t>China National Science Foundation Program; Project on the Impact and Response of Antarctic Seas to Climate Change (IRASCC2020-2022) - Chinese Arctic and Antarctic Administration; Shenzhen Science and Technology Program</t>
  </si>
  <si>
    <t>This research was supported financially by the China National Science Foundation Program (41676191, 41376072, 41806063), the Project on the Impact and Response of Antarctic Seas to Climate Change (IRASCC2020-2022-No.01-03-02, No.03-02) supported financially by the Chinese Arctic and Antarctic Administration, and the Shenzhen Science and Technology Program (KQTD20170810111725321). We thank the members of the Chinese Antarctic Expedition Cruise onboard the R/V XueLong (29th and 30th cruises) for retrieving the sediment cores. The Chinese Scholarship Committee program supported SG during a visit to Utrecht University where part of the work was completed, and SG thanks Wout Krijgsman for revising an early version of the manuscript. We thank Ying Zhang at the FIO for pretreating and measuring the samples for radiogenic Sr/Nd isotope analysis, and we are grateful for the help from graduate students Xi Chen and Renjie Zhao with sampling and laboratory experiments. We thank James Buxton MSc, from Liwen Bianji (Edanz) (www.liwenbianji.cn), for editing the English text of a draft of this manuscript.</t>
  </si>
  <si>
    <t>FEB 1</t>
  </si>
  <si>
    <t>10.1016/j.quascirev.2021.107299</t>
  </si>
  <si>
    <t>ZQ1XX</t>
  </si>
  <si>
    <t>WOS:000766906200005</t>
  </si>
  <si>
    <t>Barnes, DKA</t>
  </si>
  <si>
    <t>Barnes, David K. A.</t>
  </si>
  <si>
    <t>COP26: how much real progress?</t>
  </si>
  <si>
    <t>[Barnes, David K. A.] British Antarctic Survey, Cambridge, England</t>
  </si>
  <si>
    <t>UK Research &amp; Innovation (UKRI); Natural Environment Research Council (NERC); NERC British Antarctic Survey</t>
  </si>
  <si>
    <t>Barnes, DKA (corresponding author), British Antarctic Survey, Cambridge, England.</t>
  </si>
  <si>
    <t>PII S0954102022000098</t>
  </si>
  <si>
    <t>10.1017/S0954102022000098</t>
  </si>
  <si>
    <t>WOS:000769421900003</t>
  </si>
  <si>
    <t>Sarker, S; Haque, MH; Nath, BK; Talukder, S; Lavers, JL; Raidal, SR</t>
  </si>
  <si>
    <t>Sarker, Subir; Haque, Md Hakimul; Nath, Babu Kanti; Talukder, Saranika; Lavers, Jennifer L.; Raidal, Shane R.</t>
  </si>
  <si>
    <t>Complete Mitochondrial Genome Sequence of a Seabird, Wedge-Tailed Shearwater (Ardenna pacifica)</t>
  </si>
  <si>
    <t>MICROBIOLOGY RESOURCE ANNOUNCEMENTS</t>
  </si>
  <si>
    <t>Here, we report the complete mitochondria! genome sequence of a seabird, wedge-tailed shearwater (Ardenna pacifica). The circular genome has a size of 16,434 bp and contains 13 protein-coding genes, 22 tRNA genes, and 2 rRNA genes. The study provides a reference mitochondrial genome of wedge-tailed shearwater for further molecular studies.</t>
  </si>
  <si>
    <t>[Sarker, Subir] La Trobe Univ, Sch Agr Biomed &amp; Environm, Dept Microbiol Anat Physiol &amp; Pharmacol, Melbourne, Vic, Australia; [Haque, Md Hakimul] Rajshahi Univ, Fac Agr, Dept Vet &amp; Anim Sci, Rajshahi, Bangladesh; [Nath, Babu Kanti; Raidal, Shane R.] Charles Sturt Univ, Fac Sci, Sch Anim &amp; Vet Sci, Bathurst, NSW, Australia; [Talukder, Saranika] Univ Melbourne, Fac Vet &amp; Agr Sci, Sch Agr &amp; Food, Melbourne, Vic, Australia; [Lavers, Jennifer L.] Univ Tasmania, Inst Marine &amp; Antarctic Studies, Hobart, Tas, Australia</t>
  </si>
  <si>
    <t>Melbourne Genomics Health Alliance; La Trobe University; University of Rajshahi; Charles Sturt University; Melbourne Genomics Health Alliance; University of Melbourne; University of Tasmania</t>
  </si>
  <si>
    <t>Sarker, S (corresponding author), La Trobe Univ, Sch Agr Biomed &amp; Environm, Dept Microbiol Anat Physiol &amp; Pharmacol, Melbourne, Vic, Australia.</t>
  </si>
  <si>
    <t>s.sarker@latrobe.edu.au</t>
  </si>
  <si>
    <t>Nath, Babu/KAM-0058-2024; Lavers, Jennifer/IWM-5417-2023; Talukder, Saranika/AGV-5719-2022; Lavers, Jennifer/O-4831-2017; Sarker, Subir/U-8444-2019; Haque, Md Hakimul/P-6416-2019; Raidal, Shane/C-4632-2008</t>
  </si>
  <si>
    <t>Lavers, Jennifer/0000-0001-7596-6588; Sarker, Subir/0000-0002-2685-8377; Haque, Md Hakimul/0000-0002-3856-6478; Talukder, Saranika/0000-0002-0453-3678; Nath, Babu/0000-0003-3620-1181; Raidal, Shane/0000-0001-7917-8976</t>
  </si>
  <si>
    <t>Australian Research Council Discovery Early Career Researcher Award [DE200100367]; Australian Government</t>
  </si>
  <si>
    <t>Australian Research Council Discovery Early Career Researcher Award(Australian Research Council); Australian Government(Australian Government)</t>
  </si>
  <si>
    <t>S.S. is the recipient of an Australian Research Council Discovery Early Career Researcher Award (grant DE200100367) funded by the Australian Government. The Australian Government had no role in study design, data collection and analysis, the decision to publish, or preparation of the manuscript.</t>
  </si>
  <si>
    <t>AMER SOC MICROBIOLOGY</t>
  </si>
  <si>
    <t>1752 N ST NW, WASHINGTON, DC 20036-2904 USA</t>
  </si>
  <si>
    <t>2576-098X</t>
  </si>
  <si>
    <t>MICROBIOL RESOUR ANN</t>
  </si>
  <si>
    <t>Microbiol. Resour. Ann.</t>
  </si>
  <si>
    <t>e01191-21</t>
  </si>
  <si>
    <t>10.1128/mra.01191-21</t>
  </si>
  <si>
    <t>ZO7WX</t>
  </si>
  <si>
    <t>Green Accepted, Green Published</t>
  </si>
  <si>
    <t>WOS:000765939700064</t>
  </si>
  <si>
    <t>Sepúlveda, B; Cornejo, A; Bárcenas-Pérez, D; Cheel, J; Areche, C</t>
  </si>
  <si>
    <t>Sepulveda, Beatriz; Cornejo, Alberto; Barcenas-Perez, Daniela; Cheel, Jose; Areche, Carlos</t>
  </si>
  <si>
    <t>Two New Fumarprotocetraric Acid Lactones Identified and Characterized by UHPLC-PDA/ESI/ORBITRAP/MS/MS from the Antarctic Lichen Cladonia metacorallifera</t>
  </si>
  <si>
    <t>SEPARATIONS</t>
  </si>
  <si>
    <t>Antarctica; Cladonia; depsides; depsidones; Fumarprotocetraric acid; lichens; UHPLC; ESI; MS</t>
  </si>
  <si>
    <t>Lichens are symbiotic organisms between algae and fungi, which are makers of secondary compounds named as lichen substances. Hyphenated techniques have significantly helped natural product chemistry, especially UHPLC/ESI/MS/MS in the identification, separation, and tentative characterization of secondary metabolites from natural sources. Twenty-five compounds were detected from the Antarctic lichen Cladonia metacorallifera for the first time using UHPLC-PDA/ESI/Orbitrap/MS/MS. Compounds 5 and 7 are reported as new compounds, based on their MS/MS fragmentation routes, and considered as fumarprotocetraric acid derivatives. Besides, ten known phenolic identified as orsellinic acid, ethyl 4-carboxyorsellinate, psoromic acid isomer, succinprotocetraric acid, siphulellic acid, connorstictic acid, cryptostictic acid, lecanoric acid, lobaric acid and gyrophoric acid are noticed for the first time in the Cladonia genus.</t>
  </si>
  <si>
    <t>[Sepulveda, Beatriz] Univ Andres Bello, Dept Ciencias Quim, Campus Vina Mar,Quillota 980, Vina Del Mar 2520000, Chile; [Cornejo, Alberto] Univ Andres Bello, Fac Med, Escuela Tecnol Med, Sazie 2315, Santiago 8370092, Chile; [Barcenas-Perez, Daniela; Cheel, Jose] Czech Acad Sci, Inst Microbiol, Lab Algal Biotechnol Ctr ALGATECH, Trebon 37981, Czech Republic; [Barcenas-Perez, Daniela] Univ South Bohemia, Fac Sci, Branisovska 1760, Ceske Budejovice 37005, Czech Republic; [Areche, Carlos] Univ Chile, Fac Ciencias, Dept Quim, Santiago 8320000, Chile</t>
  </si>
  <si>
    <t>Universidad Andres Bello; Universidad Andres Bello; Czech Academy of Sciences; Institute of Microbiology of the Czech Academy of Sciences; University of South Bohemia Ceske Budejovice; Universidad de Chile</t>
  </si>
  <si>
    <t>Areche, C (corresponding author), Univ Chile, Fac Ciencias, Dept Quim, Santiago 8320000, Chile.</t>
  </si>
  <si>
    <t>bsepulveda@uc.cl; alberto.cornejo@unab.cl; barcenas@alga.cz; jcheel@alga.cz; areche@uchile.cl</t>
  </si>
  <si>
    <t>Bárcenas Pérez, Daniela/AFJ-0758-2022; Areche, Carlos/I-2461-2013; Cheel, Jose/J-8401-2014</t>
  </si>
  <si>
    <t>Bárcenas Pérez, Daniela/0000-0003-3552-1394; Areche, Carlos/0000-0001-5246-1368; Cornejo, Alberto/0000-0003-0837-4130; Cheel, Jose/0000-0001-5789-9297</t>
  </si>
  <si>
    <t>University of South Bohemia [GAJU 017/2019/P]</t>
  </si>
  <si>
    <t>University of South Bohemia</t>
  </si>
  <si>
    <t>FundingThis work was supported by INACH RT 18-19; INACH RT 13-13 and Fondecyt Regular 1190314. D.B.-P. and J.C. thank the support of Technology Agency of the Czech Republic (NCK grant TN010000048/03, J.C. and D.B.-P.) and the National Programme of Sustainability I of the Ministry of Education, Youth and Sports of the Czech Republic (ID: LO1416, J.C.).</t>
  </si>
  <si>
    <t>2297-8739</t>
  </si>
  <si>
    <t>Separations</t>
  </si>
  <si>
    <t>10.3390/separations9020041</t>
  </si>
  <si>
    <t>Chemistry, Analytical</t>
  </si>
  <si>
    <t>Chemistry</t>
  </si>
  <si>
    <t>ZT3TA</t>
  </si>
  <si>
    <t>WOS:000769081500001</t>
  </si>
  <si>
    <t>Leask, EK; Ehlmann, BL</t>
  </si>
  <si>
    <t>Leask, Ellen K.; Ehlmann, Bethany L.</t>
  </si>
  <si>
    <t>Evidence for Deposition of Chloride on Mars From Small-Volume Surface water Events into the Late Hesperian-Early Amazons</t>
  </si>
  <si>
    <t>AGU ADVANCES</t>
  </si>
  <si>
    <t>BEARING DEPOSITS; ASSEMBLAGES; MINERALOGY; ANTARCTICA; HISTORY; SALTS; GALE; SITE; SIZE; WET</t>
  </si>
  <si>
    <t>We determine the environmental setting and timing of enigmatic large-scale chloride deposits on Mars, examining all available high-resolution imagery globally, building digital elevation models, surveying targeted infrared images intersecting chloride deposits for accessory minerals (e.g., clay, carbonate, and sulfate), and performing crater counting for age-dating when possible. We find that chloride deposits are commonly draped atop underlying topography, often associated with channels, sometimes perched above deep craters in local topographic lows, and span a wide range of elevations. Where measurable, chloride deposit thicknesses are typically &lt;3 m. The deposits range in elevation over tens of meters, inconsistent with previous hypotheses of playa-like environments, which are very flat. Chloride deposit elevations within larger basins are typically asymmetric with chloride deposits much higher on the inlet channel side, indicating that (a) surface water runoff was the most likely water source and (b) the basins were likely not filled completely with water in a deep lake setting but rather chlorides formed within a series of shallow ponds. Mass balance allows local sourcing from mobilization of cations and chlorine from dust/soil. Though prior global-scale studies report chloride deposits superimposed on Noachian terrains, crater-counting of local, stratigraphically-associated datable surfaces shows chlorides superimposed on 3.4-2.3 Ga volcanic terrain. This indicates that surface waters forming chloride deposits continued through the Hesperian and into the Amazonian, making them among the latest-formed, large-scale deposits of water-related minerals on Mars. Collectively, data suggest formation from meltwater from episodic ice/snow deposits continuing until 2.0-2.5 Ga. Plain Language Summary Chloride salt deposits on Mars are intriguing because they dissolve very readily and thus record the last stage of liquid water present at Mars' surface. They are found across the ancient, clay-rich, southern highlands of Mars but also sometimes on top of younger volcanic regions, around the edges of the ancient terrain. As a result, we think that they are much younger than the underlying ancient terrains, continuing to form as recently as 2.3 billion years ago. These salt deposits are different from salt flats on Earth, because they occur over a range of elevations and sometimes on slopes, rather than in a single flat area. The chlorides are often found in small depressions, including perched above much deeper craters where no chloride is observed. They are also often found within channels. For these reasons, we think that the water source came from surface runoff, rather than deep groundwater welling up to the surface. The small amounts of water required are most likely from occasional melting of ice. Chloride could come from the top of the soil; clay-rich soils form a salt crust when evaporation pulls water and dissolved salt up from the top similar to 1 meter.</t>
  </si>
  <si>
    <t>[Leask, Ellen K.; Ehlmann, Bethany L.] CALTECH, Div Geol &amp; Planetary Sci, Pasadena, CA 91125 USA; [Leask, Ellen K.] Johns Hopkins Univ, Appl Phys Lab, Laurel, MD USA</t>
  </si>
  <si>
    <t>California Institute of Technology; Johns Hopkins University; Johns Hopkins University Applied Physics Laboratory</t>
  </si>
  <si>
    <t>Ehlmann, BL (corresponding author), CALTECH, Div Geol &amp; Planetary Sci, Pasadena, CA 91125 USA.</t>
  </si>
  <si>
    <t>ehlmann@caltech.edu</t>
  </si>
  <si>
    <t>Ehlmann, Bethany/0000-0002-2745-3240; Leask, Ellen/0000-0002-3220-4003</t>
  </si>
  <si>
    <t>CRISM; National Aeronautics and Space Administration (NASA) Mars Fundamental Research grant [NNX12AB42G]; Engineering Research Council of Canada PGS-D scholarship; NASA [30917, NNX12AB42G] Funding Source: Federal RePORTER</t>
  </si>
  <si>
    <t>CRISM; National Aeronautics and Space Administration (NASA) Mars Fundamental Research grant; Engineering Research Council of Canada PGS-D scholarship; NASA(National Aeronautics &amp; Space Administration (NASA))</t>
  </si>
  <si>
    <t>We appreciate the reviews of Mikki Osterloo, Tim Glotch, an anonymous reviewer, and comments from the editor, Francis Nimmo, that improved this manuscript. Thanks to Jay Dickson for assistance with GIS systems and discussion of Antarctic lakes and to Tom McCollom for discussion of water chemistry. We are thankful for support from CRISM co-investigator funds to B. L. Ehlmann, a National Aeronautics and Space Administration (NASA) Mars Fundamental Research grant to B. L. Ehlmann (#NNX12AB42G) and a Engineering Research Council of Canada PGS-D scholarship to E. K. Leask.</t>
  </si>
  <si>
    <t>2576-604X</t>
  </si>
  <si>
    <t>AGU ADV</t>
  </si>
  <si>
    <t>AGU Adv.</t>
  </si>
  <si>
    <t>e2021AV000534</t>
  </si>
  <si>
    <t>10.1029/2021AV000534</t>
  </si>
  <si>
    <t>ZL2HH</t>
  </si>
  <si>
    <t>Green Accepted</t>
  </si>
  <si>
    <t>WOS:000763500400004</t>
  </si>
  <si>
    <t>Sun, PC; Guo, CS; Wei, DP</t>
  </si>
  <si>
    <t>Sun, Pengchao; Guo, Changsheng; Wei, Dongping</t>
  </si>
  <si>
    <t>GRACE Data Explore Moho Change Characteristics Beneath the South America Continent near the Chile Triple Junction</t>
  </si>
  <si>
    <t>GRACE; CTJ; SAC; deep structural information; Moho interface</t>
  </si>
  <si>
    <t>WATER STORAGE CHANGES; RIDGE SUBDUCTION; CRUSTAL DEFORMATION; DATA ASSIMILATION; GRAVITY; GPS; PATAGONIA; MODEL; GROUNDWATER; TOPOGRAPHY</t>
  </si>
  <si>
    <t>The internal and external mass migration and redistribution of the Earth system are usually accompanied by changes in the gravity field, and the Gravity Recovery and Climate Experiment (GRACE) has been proven to be able to effectively monitor and evaluate such changes. The Chile Triple Junction (CTJ) is the convergence point of the Nazca plate, the Antarctic plate and the South American plate. Subductions of different forms and rates in the north and south of the CTJ have varying degrees of impact on the surface and underground material changes of the South American plate. In this study, GRACE data are used in the estimation of the comprehensive mass changes in the South America Continent (SAC) Near the CTJ (~15 degrees range). In addition, surface movement changes constrained by GNSS data cannot fully explain the GRACE results after deducting hydrological information, which indicates that residual signals might be attributed to mass changes beneath the crust, that is, the Moho interface deformation. After eliminating surface movement and hydrological signals from the comprehensive mass changes of GRACE, this study obtains the deep structural information and calculates the Moho changes of three significant regions with rates of -2.12 +/- 0.67 cm/yr, 0.18 +/- 0.19 cm/yr and -6.46 +/- 1.31 cm/yr, respectively. Results have demonstrated that the subductions of the Nazca plate and the Antarctica plate have an effect on the uneven deformation of the Moho interface beneath the SAC. The Moho beneath the SAC mainly shows a deepening trend, but it is uplifted in some areas north of CTJ. On the whole, the rate of Moho changes is greater in the south than in the north. The relationship between Moho changes and surface changes also indicates that a longer timescale may be needed for maintaining isostatic balance.</t>
  </si>
  <si>
    <t>[Sun, Pengchao; Guo, Changsheng; Wei, Dongping] Univ Chinese Acad Sci, Coll Earth &amp; Planetary Sci, Beijing 100049, Peoples R China; [Sun, Pengchao; Guo, Changsheng; Wei, Dongping] Chinese Acad Sci, Key Lab Computat Geodynam, Beijing 100049, Peoples R China</t>
  </si>
  <si>
    <t>Chinese Academy of Sciences; University of Chinese Academy of Sciences, CAS; Chinese Academy of Sciences</t>
  </si>
  <si>
    <t>Wei, DP (corresponding author), Univ Chinese Acad Sci, Coll Earth &amp; Planetary Sci, Beijing 100049, Peoples R China.;Wei, DP (corresponding author), Chinese Acad Sci, Key Lab Computat Geodynam, Beijing 100049, Peoples R China.</t>
  </si>
  <si>
    <t>sunpengchao19@mails.ucas.ac.cn; guochangsheng19@mails.ucas.ac.cn; dongping@ucas.ac.cn</t>
  </si>
  <si>
    <t>Guo, Changsheng/IWV-0734-2023; WEI, Dongping/J-3297-2012; guo, changs/HGT-8851-2022</t>
  </si>
  <si>
    <t>Guo, Changsheng/0000-0002-4909-5931; sun, pengchao/0000-0001-7242-1777</t>
  </si>
  <si>
    <t>10.3390/rs14040924</t>
  </si>
  <si>
    <t>ZT9UV</t>
  </si>
  <si>
    <t>WOS:000769494400001</t>
  </si>
  <si>
    <t>Rusinova-Videva, S; Ognyanov, M; Georgiev, Y; Kambourova, M; Adamov, A; Krasteva, V</t>
  </si>
  <si>
    <t>Rusinova-Videva, Snezhana; Ognyanov, Manol; Georgiev, Yordan; Kambourova, Margarita; Adamov, Aleksandar; Krasteva, Vasilena</t>
  </si>
  <si>
    <t>Production and Chemical Characterization of Exopolysaccharides by Antarctic Yeasts Vishniacozyma victoriae and Tremellomycetes sp.</t>
  </si>
  <si>
    <t>APPLIED SCIENCES-BASEL</t>
  </si>
  <si>
    <t>Antarctic yeasts; polysaccharides; biotechnology; chromatography; spectroscopy</t>
  </si>
  <si>
    <t>INFRARED-SPECTROSCOPY; POLYSACCHARIDE; BIOSYNTHESIS; DIVERSITY; BACTERIAL; MANNAN</t>
  </si>
  <si>
    <t>The study aimed to investigate exopolysaccharides (EPSs) produced by two Antarctic yeasts isolated from Livingston Island. The species were identified as Vishniacozyma victoriae (V) and Tremellomycetes sp. (T) based on a molecular genetic analysis of ITS1-5.8S-ITS4 regions of the 18S rRNA gene. The EPS production was investigated under stress conditions in culture flasks and a bioreactor. Different chromatographic (HPLC-RID, HPSEC-RID) and spectral (FT-IR) analyses were employed to characterize EPSs. Tremellomycetes sp. accumulated 7 g/L biomass and 4.5 g/L EPS after 120 h of cultivation. The total carbohydrate content of V-EPS and T-EPS was 75.4% and 79.0%, respectively. The EPSs mainly consisted of mannose (30-32%), which was followed by glucose, xylose, galactose, and small amounts of uronic acids (6.3-7.0%). EPSs had appreciable amounts of proteins (11-12%). The FT-IR spectra contained absorption bands typical for hetero-mannans and beta-glucans (797-1033 cm(-1)). EPSs were heterogeneous with a broad molecular weight distribution range (47 x 10(4)-68 x 10(4) g/mol). In conclusion, both yeasts synthesized high-molecular-weight heteromannans, and Tremellomycetes sp. stood out as being a better producer than V. victoriae. The current study also formed a basis for a better assessment of the potential for practical application of EPSs and yeasts in biochemical engineering and biotechnology.</t>
  </si>
  <si>
    <t>[Rusinova-Videva, Snezhana; Adamov, Aleksandar; Krasteva, Vasilena] Bulgarian Acad Sci, Stephan Angeloff Inst Microbiol, 139 Ruski Blvd, Plovdiv 4000, Bulgaria; [Ognyanov, Manol; Georgiev, Yordan] Bulgarian Acad Sci, Lab Biol Act Subst Plovdiv, Inst Organ Chem, Ctr Phytochem, 139 Ruski Blvd, Plovdiv 4000, Bulgaria; [Kambourova, Margarita] Bulgarian Acad Sci, Dept Gen Microbiol, Stephan Angeloff Inst Microbiol, 26 Acad Georgi Bonchev Str, Sofia 1113, Bulgaria</t>
  </si>
  <si>
    <t>Bulgarian Academy of Sciences; Stephan Angeloff Institute of Microbiology, Bulgarian Academy of Sciences; Bulgarian Academy of Sciences; Bulgarian Academy of Sciences; Stephan Angeloff Institute of Microbiology, Bulgarian Academy of Sciences</t>
  </si>
  <si>
    <t>Ognyanov, M (corresponding author), Bulgarian Acad Sci, Lab Biol Act Subst Plovdiv, Inst Organ Chem, Ctr Phytochem, 139 Ruski Blvd, Plovdiv 4000, Bulgaria.</t>
  </si>
  <si>
    <t>jrusinova@abv.bg; manol.ognyanov@orgchm.bas.bg; yordan.georgiev@orgchm.bas.bg; margikam@microbio.bas.bg; aleksandar.adamov@mail.bg; vixsh@abv.bg</t>
  </si>
  <si>
    <t>Ognyanov, Manol/ABD-5892-2020; Georgiev, Yordan/F-9123-2018</t>
  </si>
  <si>
    <t>Ognyanov, Manol/0000-0002-5568-0854; Kambourova, Margarita/0000-0002-7819-5376; Georgiev, Yordan/0000-0002-3988-3256</t>
  </si>
  <si>
    <t>2076-3417</t>
  </si>
  <si>
    <t>APPL SCI-BASEL</t>
  </si>
  <si>
    <t>Appl. Sci.-Basel</t>
  </si>
  <si>
    <t>10.3390/app12041805</t>
  </si>
  <si>
    <t>Chemistry, Multidisciplinary; Engineering, Multidisciplinary; Materials Science, Multidisciplinary; Physics, Applied</t>
  </si>
  <si>
    <t>Chemistry; Engineering; Materials Science; Physics</t>
  </si>
  <si>
    <t>ZR2IP</t>
  </si>
  <si>
    <t>WOS:000767613900001</t>
  </si>
  <si>
    <t>Säring, F; Bick, A; Link, H</t>
  </si>
  <si>
    <t>Saering, Friederike; Bick, Andreas; Link, Heike</t>
  </si>
  <si>
    <t>A new species of Anobothrus (Polychaeta, Ampharetidae) from the Weddell Sea (Antarctica), with notes on habitat characteristics and an updated key to the genus</t>
  </si>
  <si>
    <t>EUROPEAN JOURNAL OF TAXONOMY</t>
  </si>
  <si>
    <t>Anobothrus konstantini Saring &amp; Bick sp. nov.; Antarctic Peninsula; ecology; Filchner Trough; micro-CT analysis; SEM</t>
  </si>
  <si>
    <t>MICRO-COMPUTED TOMOGRAPHY; ANNELIDA POLYCHAETA; TEREBELLIDES POLYCHAETA; TAXONOMIC CHARACTERS; SYNOPTIC TABLE; SOUTHERN-OCEAN; COLD SEEPS; TRICHOBRANCHIDAE; ANATOMY; FAMILY</t>
  </si>
  <si>
    <t>Benthic samples were collected during two expeditions near the Antarctic Peninsula and in the South-Eastern Weddell Sea. During these studies, a noN species of Ampharetidae Malmgrcn, 1867, Anobothrus konstantini Saring &amp; Bick sp. nov., was found. Here we present a detailed description of this species. We used the traditional light microscope and scanning electron microscope (SEM) to identify and describe the diagnostic characters: a circular glandular band on segment 6; an elongate ridge between the notopodia on segment 12 and modified notochaetae on this segment; 16 thoracic, two intermediate and ten abdominal segments. For the first time, micro-computed tomography (microCT) was used for a species description of Anobothrus. Micro-CT provided information on the shape of the prostomium (Ampharete-type) and the arrangement of branchiae (four pairs in two rows, without a gap). In addition, we provide quantitative information on the environmental niche based on sediment parameters (chlorophyll a content, organic matter content, chloroplast equivalent, grain size) for the new Anobothrus species, relevant for, e.g., species distribution modelling. Finally, an identification key for all Anobothrus species is provided.</t>
  </si>
  <si>
    <t>[Saering, Friederike; Link, Heike] Univ Rostock, Interdisciplinary Fac, Dept Maritime Syst, Albert Einstein Str 21, D-18059 Rostock, Germany; [Saering, Friederike; Link, Heike] Univ Rostock, Inst Biol, Marine Biol, Albert Einstein Str 3, D-18059 Rostock, Germany; [Bick, Andreas] Univ Rostock, Inst Biol Gen &amp; Systemat Zool, Univ Pl 2, D-18055 Rostock, Germany</t>
  </si>
  <si>
    <t>University of Rostock; University of Rostock; University of Rostock</t>
  </si>
  <si>
    <t>Säring, F (corresponding author), Univ Rostock, Interdisciplinary Fac, Dept Maritime Syst, Albert Einstein Str 21, D-18059 Rostock, Germany.;Säring, F (corresponding author), Univ Rostock, Inst Biol, Marine Biol, Albert Einstein Str 3, D-18059 Rostock, Germany.</t>
  </si>
  <si>
    <t>friederike.saering@uni-rostock.de; bick-andreas@t-online.de; heike.link@uni-rostock.de</t>
  </si>
  <si>
    <t>Weith, Friederike/HNP-8763-2023</t>
  </si>
  <si>
    <t>Weith, Friederike/0000-0002-7306-8263; Bick, Andreas/0000-0003-2356-6106; Link, Heike/0000-0002-8484-845X</t>
  </si>
  <si>
    <t>German Research Foundation (DFG) [DFG INST 264/130-1 FUGG]; DFG [SPP 1158, LI 2313/6-1, VE 260/10-1]; Alfred Wegener Institute, Helmholtz-Centre for Polar and Marine Research; Land Mecklenburg-Vorpommern [AWI_PS81_03, AWI_PS96_02]</t>
  </si>
  <si>
    <t>German Research Foundation (DFG)(German Research Foundation (DFG)); DFG(German Research Foundation (DFG)); Alfred Wegener Institute, Helmholtz-Centre for Polar and Marine Research; Land Mecklenburg-Vorpommern</t>
  </si>
  <si>
    <t>We acknowledge the crew of FS Polarstern and the lead scientists Julian Gutt (PS 81) and Michael Schroder (PS 96, both AWI) for the opportunity to take samples on board. Yasemin Bodur, Gritta VeitKohler (Senckenberg am Meer) and Dieter Piepenburg helped with logistics and sampling during the cruises. We thank Derya Seifert for sorting the samples. We are grateful to Stefan Scholz (Department of Zoology, Rostock University), who prepared the specimens for SEM and took the micrographs on the micro-CT. Frank Springer (Electron Microscopic Centre of the Medical Faculty, Rostock University) is thanked for assisting with the SEM. We thank Anna Dietrich (Institute for Applied Ecosytem Research, Broderstorf) for helping with the microscope photographs. Igor Jirkov (Lomonosov Moscow State University), Julio Parapar (University A Coruna, Spain) and Michael Reuscher (EcoAnalysts, Inc., Moscow, ID, USA) kindly helped with uncertainties about the genera. Also, comments by two anonymous reviewers and editing by the editors of the European Journal of Taxonomy improved this manuscript. The micro-CT machine (DFG INST 264/130-1 FUGG) was jointly sponsored by the German Research Foundation (DFG) and the Land Mecklenburg-Vorpommern. This present work was funded by DFG SPP 1158 Antarctic Research Grants (LI 2313/6-1 and VE 260/10-1). Support was given by the Alfred Wegener Institute, Helmholtz-Centre for Polar and Marine Research (Polarstern cruise grants AWI_PS81_03, AWI_PS96_02).</t>
  </si>
  <si>
    <t>MUSEUM NATL HISTOIRE NATURELLE</t>
  </si>
  <si>
    <t>PARIS</t>
  </si>
  <si>
    <t>SERVICE PUBLICATIONS SCIENTIFIQUES, 57 RUE CUVIER, 75005 PARIS, FRANCE</t>
  </si>
  <si>
    <t>2118-9773</t>
  </si>
  <si>
    <t>EUR J TAXON</t>
  </si>
  <si>
    <t>Eur. J. Taxon.</t>
  </si>
  <si>
    <t>10.5852/ejt.2022.789.1637</t>
  </si>
  <si>
    <t>Plant Sciences; Entomology; Zoology</t>
  </si>
  <si>
    <t>ZO1LX</t>
  </si>
  <si>
    <t>WOS:000765491400001</t>
  </si>
  <si>
    <t>Verbeke, BA; Lamit, LJ; Lilleskov, EA; Hodgkins, SB; Basiliko, N; Kane, ES; Andersen, R; Artz, RRE; Benavides, JC; Benscoter, BW; Borken, W; Bragazza, L; Brandt, SM; Bräuer, SL; Carson, MA; Charman, D; Chen, X; Clarkson, BR; Cobb, AR; Convey, P; Pasquel, JD; Enriquez, AS; Griffiths, H; Grover, SP; Harvey, CF; Harris, LI; Hazard, C; Hodgson, D; Hoyt, AM; Hribljan, J; Jauhiainen, J; Juutinen, S; Knorr, KH; Kolka, RK; Könönen, M; Larmola, T; McCalley, CK; McLaughlin, J; Moore, TR; Mykytczuk, N; Normand, AE; Rich, V; Roulet, N; Royles, J; Rutherford, J; Smith, DS; Svenning, MM; Tedersoo, L; Thu, PQ; Trettin, CC; Tuittila, ES; Urbanová, Z; Varner, RK; Wang, M; Wang, Z; Warren, M; Wiedermann, MM; Williams, S; Yavitt, JB; Yu, ZG; Yu, ZC; Chanton, JP</t>
  </si>
  <si>
    <t>Verbeke, Brittany A.; Lamit, Louis J.; Lilleskov, Erik A.; Hodgkins, Suzanne B.; Basiliko, Nathan; Kane, Evan S.; Andersen, Roxane; Artz, Rebekka R. E.; Benavides, Juan C.; Benscoter, Brian W.; Borken, Werner; Bragazza, Luca; Brandt, Stefani M.; Braeuer, Suzanna L.; Carson, Michael A.; Charman, Dan; Chen, Xin; Clarkson, Beverley R.; Cobb, Alexander R.; Convey, Peter; Pasquel, Jhon del Aguila; Enriquez, Andrea S.; Griffiths, Howard; Grover, Samantha P.; Harvey, Charles F.; Harris, Lorna, I; Hazard, Christina; Hodgson, Dominic; Hoyt, Alison M.; Hribljan, John; Jauhiainen, Jyrki; Juutinen, Sari; Knorr, Klaus-Holger; Kolka, Randall K.; Kononen, Mari; Larmola, Tuula; McCalley, Carmody K.; McLaughlin, James; Moore, Tim R.; Mykytczuk, Nadia; Normand, Anna E.; Rich, Virginia; Roulet, Nigel; Royles, Jessica; Rutherford, Jasmine; Smith, David S.; Svenning, Mette M.; Tedersoo, Leho; Thu, Pham Q.; Trettin, Carl C.; Tuittila, Eeva-Stiina; Urbanova, Zuzana; Varner, Ruth K.; Wang, Meng; Wang, Zheng; Warren, Matt; Wiedermann, Magdalena M.; Williams, Shanay; Yavitt, Joseph B.; Yu, Zhi-Guo; Yu, Zicheng; Chanton, Jeffrey P.</t>
  </si>
  <si>
    <t>Latitude, Elevation, and Mean Annual Temperature Predict Peat Organic Matter Chemistry at a Global Scale</t>
  </si>
  <si>
    <t>GLOBAL BIOGEOCHEMICAL CYCLES</t>
  </si>
  <si>
    <t>1030 geochemical cycles (0330); 1055 organic and biogenic geochemistry; 0486 soils; pedology (1865); 0428 carbon cycling (4806); 0497 wetlands (1890); peatlands; Fourier Transform Infrared Spectroscopy (FTIR); soil carbon; aromatics; carbohydrate; o-alkyl carbon</t>
  </si>
  <si>
    <t>LITTER DECOMPOSITION; CARBON ACCUMULATION; NORTHERN PEATLANDS; SPHAGNUM LITTER; QUALITY; FENS; DEGRADATION; SUBSTRATE; INCREASE; DROUGHT</t>
  </si>
  <si>
    <t>Peatlands contain a significant fraction of global soil carbon, but how these reservoirs will respond to the changing climate is still relatively unknown. A global picture of the variations in peat organic matter chemistry will aid our ability to gauge peatland soil response to climate. The goal of this research is to test the hypotheses that (a) peat carbohydrate content, an indicator of soil organic matter reactivity, will increase with latitude and decrease with mean annual temperatures, (b) while peat aromatic content, an indicator of recalcitrance, will vary inversely, and (c) elevation will have a similar effect to latitude. We used Fourier Transform Infrared Spectroscopy to examine variations in the organic matter functional groups of 1034 peat samples collected from 10 to 20, 30-40, and 60-70 cm depths at 165 individual sites across a latitudinal gradient of 79 degrees N-65 degrees S and from elevations of 0-4,773 m. Carbohydrate contents of high latitude peat were significantly greater than peat originating near the equator, while aromatic content showed the opposite trend. For peat from similar latitudes but different elevations, the carbohydrate content was greater and aromatic content was lower at higher elevations. Higher carbohydrate content at higher latitudes indicates a greater potential for mineralization, whereas the chemical composition of low latitude peat is consistent with their apparent relative stability in the face of warmer temperatures. The combination of low carbohydrates and high aromatics at warmer locations near the equator suggests the mineralization of high latitude peat until reaching recalcitrance under a new temperature regime.</t>
  </si>
  <si>
    <t>[Verbeke, Brittany A.; Chanton, Jeffrey P.] Florida State Univ, Dept Earth Ocean &amp; Atmospher Sci, Tallahassee, FL 32306 USA; [Lamit, Louis J.] Syracuse Univ, Dept Biol, Dept Environm &amp; Forest Biol, SUNY Coll Environm Sci &amp; Forestry, Syracuse, NY 13244 USA; [Lilleskov, Erik A.; Kane, Evan S.] US Forest Serv, USDA, Houghton, MI USA; [Hodgkins, Suzanne B.] Florida State Univ, Dept Chem &amp; Biochem, Tallahassee, FL 32306 USA; [Hodgkins, Suzanne B.; Rich, Virginia] Ohio State Univ, Dept Microbiol, 484 W 12th Ave, Columbus, OH 43210 USA; [Basiliko, Nathan; Carson, Michael A.] Laurentian Univ, Dept Biol, Sudbury, ON, Canada; [Basiliko, Nathan; Carson, Michael A.; Mykytczuk, Nadia] Laurentian Univ, Vale Living Lakes Ctr, Sudbury, ON, Canada; [Kane, Evan S.] Michigan Technol Univ, Coll Forest Resources &amp; Environm Sci, Houghton, MI 49931 USA; [Andersen, Roxane] Univ Highlands &amp; Isl, Environm Res Inst, Inverness, Scotland; [Artz, Rebekka R. E.] James Hutton Inst, Ecol Sci, Aberdeen, Scotland; [Benavides, Juan C.] Pontificia Univ Javeriana, Dept Ecol &amp; Terr, Bogota, Colombia; [Benscoter, Brian W.] Florida Atlantic Univ, Dept Biol Sci, Boca Raton, FL 33431 USA; [Benscoter, Brian W.] US DOE, Off Sci Biol &amp; Environm Res, Washington, DC 20585 USA; [Borken, Werner] Univ Bayreuth, Soil Ecol, Bayreuth, Germany; [Bragazza, Luca] Agroscope, Field Crop Syst &amp; Plant Nutr, Res Div Plant Prod Syst, Nyon, Switzerland; [Brandt, Stefani M.] Humboldt State Univ, Dept Biol Sci, Arcata, CA 95521 USA; [Braeuer, Suzanna L.] Appalachian State Univ, Dept Biol, Boone, NC 28608 USA; [Charman, Dan] Univ Exeter, Prince Wales Rd, Exeter, Devon, England; [Chen, Xin] Zhejiang Univ, Coll Life Sci, Hangzhou, Peoples R China; [Clarkson, Beverley R.] Landcare Res New Zealand Ltd, Hamilton, New Zealand; [Cobb, Alexander R.] Singapore Mit Alliance Res &amp; Technol, Ctr Environm Sensing &amp; Modeling, Singapore, Singapore; [Convey, Peter; Hodgson, Dominic] British Antarctic Survey, Cambridge, England; [Pasquel, Jhon del Aguila] Univ Nacl Amazonia Peruana, Iquitos, Peru; [Pasquel, Jhon del Aguila] Inst Invest Amazonia Peruana, Iquitos, Peru; [Enriquez, Andrea S.] Inst Invest Forestales &amp; Agr CONICET INTA, Rio Negro, Argentina; [Griffiths, Howard; Royles, Jessica] Univ Cambridge, Dept Plant Sci, Cambridge, England; [Grover, Samantha P.] RMIT Univ, Appl Chem &amp; Environm Sci, Melbourne, Vic, Australia; [Harvey, Charles F.] Massachusetts Inst Technol &amp; Singapore MIT Allian, Cambridge, MA USA; [Harris, Lorna, I] Univ Alberta, Dept Renewable Resources, Edmonton, AB, Canada; [Harris, Lorna, I; Moore, Tim R.; Roulet, Nigel] McGill Univ, Dept Geog, Montreal, PQ, Canada; [Hazard, Christina] Univ Lyon, Ecole Cent Yon, Lab Ampere, Environm Microbial Genom Grp, Ecully, France; [Hoyt, Alison M.] Max Planck Inst Biogeochem, Jena, Germany; [Hribljan, John] Univ Nebraska, Dept Biol, Omaha, NE 68182 USA; [Jauhiainen, Jyrki; Kononen, Mari] Univ Helsinki, Dept Forest Sci, Helsinki, Finland; [Jauhiainen, Jyrki; Larmola, Tuula] Nat Resources Inst Finland Luke, Helsinki, Finland; [Juutinen, Sari] Univ Helsinki, Fac Biol &amp; Environm Sci, Ecosyst &amp; Environm Res Program, Helsinki, Finland; [Knorr, Klaus-Holger] Univ Munster, Inst Landscape Ecol, Ecohydrol &amp; Biogeochem Grp, Munster, Germany; [Kolka, Randall K.] US Forest Serv, USDA, Grand Rapids, MN USA; [Kononen, Mari; Tuittila, Eeva-Stiina] Univ Eastern Finland, Sch Forest Sci, Kuopio, Finland; [McCalley, Carmody K.] Rochester Inst Technol, Gosnell Sch Life Sci, Rochester, NY 14623 USA; [McLaughlin, James] Ontario Forest Res Inst, Sault Ste Marie, ON, Canada; [Normand, Anna E.] Univ Florida, Soil &amp; Water Sci, Gainesville, FL USA; [Rutherford, Jasmine] Dept Biodivers Conservat &amp; Attract, Kensington, NSW, Australia; [Smith, David S.] Calif State Univ San Bernardino, Dept Biol, San Bernardino, CA 92407 USA; [Svenning, Mette M.] UiT Arctic Univ Norway, Dept Arctic &amp; Marine Biol, Tromso, Norway; [Tedersoo, Leho] Univ Tartu, Inst Ecol &amp; Earth Sci, Tartu, Estonia; [Tedersoo, Leho] King Saud Univ, Coll Sci, Riyadh, Saudi Arabia; [Thu, Pham Q.] Vietnamese Acad Forest Sci, Forest Protect Res Ctr, Hanoi, Vietnam; [Trettin, Carl C.] US Forest Serv, USDA, Southern Res Stn, Cordesville, SC USA; [Urbanova, Zuzana] Univ South Bohemia Ceske Budejovice, Dept Ecosyst Biol, Ceske Budejovice, Czech Republic; [Varner, Ruth K.] Univ New Hampshire, Dept Earth Sci &amp; Study Earth Oceans &amp; Space, Durham, NH 03824 USA; [Wang, Meng] Northeast Normal Univ, Inst Peat &amp; Mire Res, State Environm Protect Key Lab Wetland Ecol &amp; Veg, Changchun, Jilin, Peoples R China; [Wang, Zheng] Hebei Agr Univ, Coll Forestry, Baoding, Peoples R China; [Warren, Matt] Earth Innovat Inst, San Francisco, CA USA; [Wiedermann, Magdalena M.] Univ Cincinnati, Dept Biol Sci, Cincinnati, OH USA; [Williams, Shanay] Univ Saskatchewan, Coll Agr &amp; Bioresources, Dept Soil Sci, Saskatoon, SK, Canada; [Yavitt, Joseph B.] Cornell Univ, Dept Nat Resources &amp; Environm, Ithaca, NY USA; [Yu, Zhi-Guo] Nanjing Univ Informat Sci &amp; Technol, Sch Hydrol &amp; Water Resources, Nanjing, Peoples R China; [Yu, Zicheng] Lehigh Univ, Earth &amp; Environm Sci, Bethlehem, PA 18015 USA; [Yu, Zicheng] Northeast Normal Univ, Sch Geog Sci, Inst Peat &amp; Mire Res, Changchun, Jilin, Peoples R China</t>
  </si>
  <si>
    <t>State University System of Florida; Florida State University; State University of New York (SUNY) System; State University of New York (SUNY) College of Environmental Science &amp; Forestry; Syracuse University; United States Department of Agriculture (USDA); United States Forest Service; State University System of Florida; Florida State University; University System of Ohio; Ohio State University; Laurentian University; Laurentian University; Michigan Technological University; UHI Millennium Institute; James Hutton Institute; Pontificia Universidad Javeriana; State University System of Florida; Florida Atlantic University; United States Department of Energy (DOE); University of Bayreuth; Swiss Federal Research Station Agroscope; California State University System; California State Polytechnic University, Humboldt; University of North Carolina; Appalachian State University; University of Exeter; Zhejiang University; Landcare Research - New Zealand; Singapore-MIT Alliance for Research &amp; Technology Centre (SMART); UK Research &amp; Innovation (UKRI); Natural Environment Research Council (NERC); NERC British Antarctic Survey; Universidad Nacional de la Amazonia Peruana; University of Cambridge; Royal Melbourne Institute of Technology (RMIT); Melbourne Genomics Health Alliance; University of Alberta; McGill University; Institut National des Sciences Appliquees de Lyon - INSA Lyon; Universite Claude Bernard Lyon 1; Max Planck Society; University of Nebraska System; University of Helsinki; Natural Resources Institute Finland (Luke); University of Helsinki; University of Munster; United States Department of Agriculture (USDA); United States Forest Service; University of Eastern Finland; Rochester Institute of Technology; State University System of Florida; University of Florida; California State University System; California State University San Bernardino; UiT The Arctic University of Tromso; University of Tartu; Tartu University Institute of Ecology &amp; Earth Sciences; King Saud University; United States Department of Agriculture (USDA); United States Forest Service; University of South Bohemia Ceske Budejovice; University System Of New Hampshire; University of New Hampshire; Northeast Normal University - China; Hebei Agricultural University; University System of Ohio; University of Cincinnati; University of Saskatchewan; Cornell University; Nanjing University of Information Science &amp; Technology; Lehigh University; Northeast Normal University - China</t>
  </si>
  <si>
    <t>Chanton, JP (corresponding author), Florida State Univ, Dept Earth Ocean &amp; Atmospher Sci, Tallahassee, FL 32306 USA.</t>
  </si>
  <si>
    <t>jchanton@fsu.edu</t>
  </si>
  <si>
    <t>Wiedermann, Magdalena/KHD-3537-2024; Convey, Peter/AAV-5728-2020; Artz, Rebekka/G-6384-2013; Basiliko, Nathan/IQX-1238-2023; Benscoter, Brian W/K-8105-2016; Hazard, Christina/K-8925-2019; harvey, charles f/A-8601-2012; Warren, Matthew/GSN-9722-2022; Tuittila, Eeva-Stiina/AAR-1211-2021; Lilleskov, Erik/AAF-3753-2019; Hoyt, Alison/AAF-1085-2020; Hodgkins, Suzanne/AAC-8580-2020; Knorr, Klaus-Holger/B-8321-2008; Cobb, Alex/ABA-8085-2020; Varner, Ruth/E-5371-2011; Tedersoo, Leho/H-3541-2012; Bragazza, Luca/U-9089-2017</t>
  </si>
  <si>
    <t>Convey, Peter/0000-0001-8497-9903; Artz, Rebekka/0000-0002-8462-6558; Hazard, Christina/0000-0002-0325-5856; harvey, charles f/0000-0002-7759-4447; Warren, Matthew/0000-0001-6021-4818; Tuittila, Eeva-Stiina/0000-0001-8861-3167; Hoyt, Alison/0000-0003-0813-5084; Hodgkins, Suzanne/0000-0002-0489-9207; Knorr, Klaus-Holger/0000-0003-4175-0214; Cobb, Alex/0000-0002-3128-3002; del Aguila-Pasquel, Jhon/0000-0003-2103-7390; Yu, Zicheng/0000-0003-2358-2712; Kane, Evan/0000-0003-1665-0596; Urbanova, Zuzana/0000-0002-0742-3933; Lilleskov, Erik Andrew/0000-0002-9208-1631; Wang, Zheng/0000-0002-0578-6036; Chanton, Jeffrey/0000-0002-3303-9708; Jauhiainen, Jyrki/0000-0001-7023-859X; Bragazza, Luca/0000-0001-8583-284X; Basiliko, Nathan/0000-0001-8512-9484; Verbeke, Brittany/0000-0001-5686-6485; Clarkson, Beverley/0000-0003-4067-8038</t>
  </si>
  <si>
    <t>USDA Forest Service Northern Research Station Climate Change Program; US National Science Foundation [DEB-1146149]; Office of Biological and Environmental Research, Terrestrial Ecosystem Science Program, under United States DOE [DE-SC0007144, DE-SC0012088]; National Science Foundation [2022070]; NERC [NE/H014810/1, bas0100036, NE/M001946/1] Funding Source: UKRI; Div Of Biological Infrastructure; Direct For Biological Sciences [2022070] Funding Source: National Science Foundation</t>
  </si>
  <si>
    <t>USDA Forest Service Northern Research Station Climate Change Program; US National Science Foundation(National Science Foundation (NSF)); Office of Biological and Environmental Research, Terrestrial Ecosystem Science Program, under United States DOE; National Science Foundation(National Science Foundation (NSF)); NERC(UK Research &amp; Innovation (UKRI)Natural Environment Research Council (NERC)); Div Of Biological Infrastructure; Direct For Biological Sciences(National Science Foundation (NSF)NSF - Directorate for Biological Sciences (BIO))</t>
  </si>
  <si>
    <t>Funding was provided by the USDA Forest Service Northern Research Station Climate Change Program, the US National Science Foundation (grant number DEB-1146149) to E.S. Kane and E.A. Lilleskov. This study was funded in part by the Office of Biological and Environmental Research, Terrestrial Ecosystem Science Program, under United States DOE contracts DE-SC0007144 and DESC0012088. We also acknowledge funding from the National Science Foundation for the EMERGE Biology Integration Institute, NSF Award #2022070. For sample collection we thank Ian A. Dickie and the Biological Sciences, University of Canterbury, Christchurch, New Zealand; the Cass Field Station, University of Canterbury; Geoff Zahn of Utah Valley University, Orem, UT, USA; Christopher W. Schadt, Biosciences Division, Oak Ridge National Laboratory, Oak Ridge, TN, USA; and Mark. P. Waldrop, Geology, Minerals, Energy, and Geophysics Science Center, USGS Menlo Park, CA, USA. We thank two anonymous reviewers for helpful comments on the manuscript.</t>
  </si>
  <si>
    <t>0886-6236</t>
  </si>
  <si>
    <t>1944-9224</t>
  </si>
  <si>
    <t>GLOBAL BIOGEOCHEM CY</t>
  </si>
  <si>
    <t>Glob. Biogeochem. Cycle</t>
  </si>
  <si>
    <t>e2021GB007057</t>
  </si>
  <si>
    <t>10.1029/2021GB007057</t>
  </si>
  <si>
    <t>ZO3SX</t>
  </si>
  <si>
    <t>Green Accepted, Green Submitted, Bronze</t>
  </si>
  <si>
    <t>WOS:000765649200001</t>
  </si>
  <si>
    <t>Comeau, D; Asay-Davis, XS; Begeman, CB; Hoffman, MJ; Lin, WY; Petersen, MR; Price, SF; Roberts, AF; Van Roekel, LP; Veneziani, M; Wolfe, JD; Fyke, JG; Ringler, TD; Turner, AK</t>
  </si>
  <si>
    <t>Comeau, Darin; Asay-Davis, Xylar S.; Begeman, Carolyn Branecky; Hoffman, Matthew J.; Lin, Wuyin; Petersen, Mark R.; Price, Stephen F.; Roberts, Andrew F.; Van Roekel, Luke P.; Veneziani, Milena; Wolfe, Jonathan D.; Fyke, Jeremy G.; Ringler, Todd D.; Turner, Adrian K.</t>
  </si>
  <si>
    <t>The DOE E3SM v1.2 Cryosphere Configuration: Description and Simulated Antarctic Ice-Shelf Basal Melting</t>
  </si>
  <si>
    <t>JOURNAL OF ADVANCES IN MODELING EARTH SYSTEMS</t>
  </si>
  <si>
    <t>ice-shelf; ocean interaction; ice-shelf basal melting</t>
  </si>
  <si>
    <t>PRESSURE-GRADIENT FORCE; AMUNDSEN SEA EMBAYMENT; SOUTHERN-OCEAN; EXPERIMENTAL-DESIGN; CONTINENTAL-SHELF; WEST ANTARCTICA; MASS-BALANCE; PINE ISLAND; LEVEL RISE; CIRCULATION</t>
  </si>
  <si>
    <t>The processes responsible for freshwater flux from the Antarctic Ice Sheet (AIS), ice-shelf basal melting and iceberg calving, are generally poorly represented in current Earth System Models (ESMs). Here we document the cryosphere configuration of the U.S. Department of Energy's Energy Exascale Earth System Model (E3SM) v1.2. This includes simulating Antarctic ice-shelf basal melting, which has been implemented through simulating the ocean circulation within static Antarctic ice-shelf cavities, allowing for the ability to calculate ice-shelf basal melt rates from the associated heat and freshwater fluxes. In addition, we added the capability to prescribe forcing from iceberg melt, allowing for realistic representation of the other dominant mass loss process from the AIS. In standard resolution simulations (using a noneddying ocean) under preindustrial climate forcing, we find high sensitivity of modeled ocean/ice shelf interactions to the ocean state, which can result in a transition to a high basal melt regime under the Filchner-Ronne Ice Shelf (FRIS), presenting a significant challenge to representing the ocean/ice shelf system in a coupled ESM. We show that inclusion of a spatially dependent parameterization of eddy-induced transport reduces biases in water mass properties on the Antarctic continental shelf. With these improvements, E3SM produces realistic ice-shelf basal melt rates across the continent that are generally within the range inferred from observations. The accurate representation of ice-shelf basal melting within a coupled ESM is an important step toward reducing uncertainties in projections of the Antarctic response to climate change and Antarctica's contribution to global sea-level rise.</t>
  </si>
  <si>
    <t>[Comeau, Darin; Petersen, Mark R.] Los Alamos Natl Lab, Computat Phys &amp; Methods Grp CCS 2, Los Alamos, NM 87545 USA; [Asay-Davis, Xylar S.; Begeman, Carolyn Branecky; Hoffman, Matthew J.; Price, Stephen F.; Roberts, Andrew F.; Van Roekel, Luke P.; Veneziani, Milena; Wolfe, Jonathan D.; Fyke, Jeremy G.; Ringler, Todd D.; Turner, Adrian K.] Los Alamos Natl Lab, Fluid Dynam &amp; Solid Mech Grp T3, Los Alamos, NM USA; [Lin, Wuyin] Brookhaven Natl Lab, Upton, NY 11973 USA; [Fyke, Jeremy G.] Environm &amp; Climate Change Canada, Canadian Ctr Climate Serv, Gatineau, PQ, Canada; [Ringler, Todd D.] US House Representat, Washington, WA USA</t>
  </si>
  <si>
    <t>United States Department of Energy (DOE); Los Alamos National Laboratory; United States Department of Energy (DOE); Los Alamos National Laboratory; United States Department of Energy (DOE); Brookhaven National Laboratory; Environment &amp; Climate Change Canada</t>
  </si>
  <si>
    <t>Comeau, D (corresponding author), Los Alamos Natl Lab, Computat Phys &amp; Methods Grp CCS 2, Los Alamos, NM 87545 USA.</t>
  </si>
  <si>
    <t>dcomeau@lanl.gov</t>
  </si>
  <si>
    <t>; Price, Stephen/E-1568-2013</t>
  </si>
  <si>
    <t>Veneziani, Milena/0000-0001-9977-4599; Price, Stephen/0000-0001-6878-2553; Asay-Davis, Xylar/0000-0002-1990-892X; Petersen, Mark/0000-0001-7170-7511; Begeman, Carolyn/0000-0001-9828-1741; Van Roekel, Luke/0000-0003-1418-5686</t>
  </si>
  <si>
    <t>Energy Exascale Earth System Model (E3SM) project - U.S. Department of Energy, Office of Science, Office of Biological and Environmental Research; U.S. DOE contract [DE-AC02-05CH11231]; U.S. Department of Energy National Nuclear Security Administration [89233218CNA000001]; NSF XSEDE resource grant [OCE130007]</t>
  </si>
  <si>
    <t>Energy Exascale Earth System Model (E3SM) project - U.S. Department of Energy, Office of Science, Office of Biological and Environmental Research(United States Department of Energy (DOE)); U.S. DOE contract(United States Department of Energy (DOE)); U.S. Department of Energy National Nuclear Security Administration(National Nuclear Security AdministrationUnited States Department of Energy (DOE)); NSF XSEDE resource grant</t>
  </si>
  <si>
    <t>This research was supported as part of the Energy Exascale Earth System Model (E3SM) project, funded by the U.S. Department of Energy, Office of Science, Office of Biological and Environmental Research. This research used computing resources from the National Energy Research Scientific Computing Center (U.S. DOE contract DE-AC02-05CH11231) awarded under an ASCR Leadership Computing Challenge (ALCC) award, and by the Los Alamos National Laboratory Institutional Computing Program, which is supported by the U.S. Department of Energy National Nuclear Security Administration under Contract No. 89233218CNA000001. Computational resources for the SOSE were provided by NSF XSEDE resource grant OCE130007. The authors thank three anonymous reviewers for their careful review and constructive comments in evaluating this manuscript.</t>
  </si>
  <si>
    <t>1942-2466</t>
  </si>
  <si>
    <t>J ADV MODEL EARTH SY</t>
  </si>
  <si>
    <t>J. Adv. Model. Earth Syst.</t>
  </si>
  <si>
    <t>e2021MS002468</t>
  </si>
  <si>
    <t>10.1029/2021MS002468</t>
  </si>
  <si>
    <t>ZL1WP</t>
  </si>
  <si>
    <t>WOS:000763472100005</t>
  </si>
  <si>
    <t>Hogan, KA; Arnold, NS; Larter, RD; Kirkham, JD; Noormets, R; Cofaigh, CO; Golledge, NR; Dowdeswell, JA</t>
  </si>
  <si>
    <t>Hogan, K. A.; Arnold, N. S.; Larter, R. D.; Kirkham, J. D.; Noormets, R.; Cofaigh, C. O.; Golledge, N. R.; Dowdeswell, J. A.</t>
  </si>
  <si>
    <t>Subglacial Water Flow Over an Antarctic Palaeo-Ice Stream Bed</t>
  </si>
  <si>
    <t>JOURNAL OF GEOPHYSICAL RESEARCH-EARTH SURFACE</t>
  </si>
  <si>
    <t>palaeo-ice stream; subglacial hydrology; bedrock channels; Antarctica; subglacial lakes; marine geophysics</t>
  </si>
  <si>
    <t>BENEATH THWAITES GLACIER; DRAINAGE SYSTEM BENEATH; PINE ISLAND BAY; MARGUERITE TROUGH; TRANSANTARCTIC MOUNTAINS; MELTWATER FEATURES; SHEET; PENINSULA; LAKES; DYNAMICS</t>
  </si>
  <si>
    <t>The subglacial hydrological system exerts a critical control on the dynamic behavior of the overlying ice because its configuration affects the degree of basal lubrication between the ice and the bed. Yet, this component of the glaciological system is notoriously hard to access and observe, particularly over timescales longer than the satellite era. In Antarctica, abundant evidence for past subglacial water flow over former ice-sheet beds exists around the peripheries of the ice sheet including networks of huge channels carved into bedrock (now submarine) on the Pacific margin of West Antarctica. Here, we combine detailed bathymetric investigations of a channel system in Marguerite Trough, a major palaeo-ice stream bed, with numerical hydrological modeling to explore subglacial water accumulation, routing and potential for erosion over decadal-centennial timescales. Detailed channel morphologies from remotely operated vehicle surveys indicate multiple stages of localized incision, and the occurrence of potholes, some gigantic in scale, suggests incision by turbulent water carrying a significant bedload. Further, the modeling indicates that subglacial water is available during deglaciation and was likely released in episodic drainage events, from subglacial lakes, varying in magnitude over time. Our observations support previous assertions that these huge bedrock channel systems were incised over multiple glacial cycles through episodic subglacial lake drainage events; however, here we present a viable pattern for subglacial drainage at times when the ice sheet existed over the continental shelf and was capable of continuing to erode the bedrock substrate.</t>
  </si>
  <si>
    <t>[Hogan, K. A.; Larter, R. D.; Kirkham, J. D.] British Antarctic Survey, Nat Environm Res Council, Cambridge, England; [Arnold, N. S.; Kirkham, J. D.; Dowdeswell, J. A.] Univ Cambridge, Scott Polar Res Inst, Cambridge, England; [Noormets, R.] UNIS, Univ Ctr Svalbard, Longyearbyen, Norway; [Cofaigh, C. O.] Univ Durham, Dept Geog, Durham, England; [Golledge, N. R.] Victoria Univ Wellington, Antarctic Res Ctr, Wellington, New Zealand</t>
  </si>
  <si>
    <t>UK Research &amp; Innovation (UKRI); Natural Environment Research Council (NERC); NERC British Antarctic Survey; University of Cambridge; University Centre Svalbard (UNIS); Durham University; Victoria University Wellington</t>
  </si>
  <si>
    <t>Hogan, KA (corresponding author), British Antarctic Survey, Nat Environm Res Council, Cambridge, England.</t>
  </si>
  <si>
    <t>kelgan@bas.ac.uk</t>
  </si>
  <si>
    <t>Arnold, Neil/AAI-2272-2021</t>
  </si>
  <si>
    <t>Larter, Robert/0000-0002-8414-7389; Noormets, Riko/0000-0002-2832-386X; Golledge, Nicholas/0000-0001-7676-8970; Arnold, Neil/0000-0001-7538-3999; Kirkham, James/0000-0002-0506-1625; Dowdeswell, Julian/0000-0003-1369-9482</t>
  </si>
  <si>
    <t>UK Natural Environment Research Council [AFI06/14 (NE/C506372/1), NE/L002507/1]; Natural Environment Research Council - British Antarctic Survey Polar Science for Planet Earth programme; Royal Society of New Zealand [RDF-VUW-1501]</t>
  </si>
  <si>
    <t>UK Natural Environment Research Council(UK Research &amp; Innovation (UKRI)Natural Environment Research Council (NERC)); Natural Environment Research Council - British Antarctic Survey Polar Science for Planet Earth programme; Royal Society of New Zealand(Royal Society of New Zealand)</t>
  </si>
  <si>
    <t>This research was funded by UK Natural Environment Research Council grant AFI06/14 (NE/C506372/1) to J.A. Dowdeswell, R.D. Larter, and G. Griffiths. We thank all members of the JR157 shipboard scientific party, the officers and crew of the RRS James Clark Ross and also the Isis ROV technical team for excellent support during cruise JR157. We thank Tom Perry for his assistance with the laboratory analysis of sediment samples from JR157 cores, and Katrin Linse (BAS) and Dorte Janussen (Senckenberg) for their help identifying bottom fauna in Isis ROV imagery. Bathymetric data processing and 3D visualisation was performed in MB-System and QPS Fledermaus softwares. Kelly A. Hogan and Robert D. Larter were supported by the Natural Environment Research Council - British Antarctic Survey Polar Science for Planet Earth programme. James D. Kirkham was supported by a UK Natural Environment Research Council Ph.D. studentship awarded through the Cambridge Earth System Science Doctoral Training Partnership grant (NE/L002507/1). Nick R. Golledge is supported by contract RDF-VUW-1501 from the Royal Society of New Zealand.</t>
  </si>
  <si>
    <t>2169-9003</t>
  </si>
  <si>
    <t>2169-9011</t>
  </si>
  <si>
    <t>J GEOPHYS RES-EARTH</t>
  </si>
  <si>
    <t>J. Geophys. Res.-Earth Surf.</t>
  </si>
  <si>
    <t>e2021JF006442</t>
  </si>
  <si>
    <t>10.1029/2021JF006442</t>
  </si>
  <si>
    <t>ZL1VE</t>
  </si>
  <si>
    <t>WOS:000763468400014</t>
  </si>
  <si>
    <t>Wang, X; Moffat, C; Dinniman, MS; Klinck, JM; Sutherland, DA; Aguiar-González, B</t>
  </si>
  <si>
    <t>Wang, Xin; Moffat, Carlos; Dinniman, Michael S.; Klinck, John M.; Sutherland, David A.; Aguiar-Gonzalez, Borja</t>
  </si>
  <si>
    <t>Variability and Dynamics of Along-Shore Exchange on the West Antarctic Peninsula (WAP) Continental Shelf</t>
  </si>
  <si>
    <t>JOURNAL OF GEOPHYSICAL RESEARCH-OCEANS</t>
  </si>
  <si>
    <t>CIRCUMPOLAR DEEP-WATER; BRANSFIELD STRAIT; GERLACHE STRAIT; CLIMATE-CHANGE; SEA-ICE; SURFACE; CIRCULATION; TRANSPORT; TIP; REANALYSIS</t>
  </si>
  <si>
    <t>The continental shelf of the West Antarctic Peninsula (WAP) is characterized by strong alongshore hydrographic gradients resulting from the distinct influences of the warm Bellingshausen Sea to the south and the cold Weddell Sea water flooding Bransfield Strait to the north. These gradients modulate the spatial structure of glacier retreat and are correlated with other physical and biochemical variability along the shelf, but their structure and dynamics remain poorly understood. Here, the magnitude, spatial structure, seasonal-to-interannual variability, and driving mechanisms of along-shore exchange are investigated using the output of a high-resolution numerical model and with hydrographic data collected in Palmer Deep. The analyses reveal a pronounced seasonal cycle of along-shore transport, with a net flux (7.0 x 10(5) m(3)/s) of cold water toward the central WAP (cWAP) in winter, which reverses in summer with a net flow (5.2 x 10(5) m(3)/s) of Circumpolar Deep Water (CDW) and modified CDW (mCDW) toward Bransfield Strait. Significant interannual variability is found as the pathway of a coastal current transporting Weddell-sourced water along the WAP shelf is modulated by wind forcing. When the Southern Annual Mode (SAM) is positive during winter, stronger upwelling-favorable winds dominate in Bransfield Strait, leading to offshore advection of the Weddell-sourced water. Negative SAM leads to weaker upwelling- or downwelling-favorable winds and enhanced flooding of the cWAP with cold water from Bransfield Strait. This process can result in significant (0.5 degrees C below 200 m) cooling of the continental shelf around Palmer Station, highlighting that along-shore exchange is critical in modulating the hydrographic properties along the WAP. Plain Language Summary The melting of glaciers and the structure of ecosystems along the West Antarctic Peninsula have been influenced by the local temperature and salinity patterns. Our understanding of what controls the spatial structure and temporal variability of these gradients is limited. In this study, we analyze output from a state-of-the-art numerical model and find that there is strongly seasonal and interannual variability in the along-shore exchange processes that control those gradients. The interannual variability of the along-shore exchange is related to the local winds. As the wind conditions vary in response to hemispheric-scale climate processes, the amount of cold water flowing into the central West Antarctic Peninsula from Bransfield Strait varies interannually. We show this is a key process in the evolution of ocean properties in the West Antarctic Peninsula continental shelf.</t>
  </si>
  <si>
    <t>[Wang, Xin; Moffat, Carlos; Aguiar-Gonzalez, Borja] Univ Delaware, Coll Earth Ocean &amp; Environm, Newark, DE 19716 USA; [Dinniman, Michael S.; Klinck, John M.] Old Dominion Univ, Ctr Coastal Phys Oceanog, Norfolk, VA USA; [Sutherland, David A.] Univ Oregon, Dept Earth Sci, Eugene, OR 97403 USA; [Aguiar-Gonzalez, Borja] Univ Las Palmas Gran Canaria, Dept Fis, Las Palmas Gran Canaria, Spain</t>
  </si>
  <si>
    <t>University of Delaware; Old Dominion University; University of Oregon; Universidad de Las Palmas de Gran Canaria</t>
  </si>
  <si>
    <t>Wang, X (corresponding author), Univ Delaware, Coll Earth Ocean &amp; Environm, Newark, DE 19716 USA.</t>
  </si>
  <si>
    <t>xinwang@udel.edu</t>
  </si>
  <si>
    <t>Aguiar-González, Borja/J-5557-2019; Moffat, Carlos F/B-3565-2015</t>
  </si>
  <si>
    <t>Aguiar-González, Borja/0000-0002-2064-1724; Moffat, Carlos F/0000-0002-7768-8275; Klinck, John/0000-0003-4312-5201; Dinniman, Michael/0000-0001-7519-9278; WANG, XIN/0000-0002-0224-8419</t>
  </si>
  <si>
    <t>National Science Foundation (NSF) Division of Polar Programs [1703310, 1543018, 1543012]; Directorate For Geosciences; Office of Polar Programs (OPP) [1703310, 1543012, 1543018] Funding Source: National Science Foundation</t>
  </si>
  <si>
    <t>National Science Foundation (NSF) Division of Polar Programs(National Science Foundation (NSF)NSF - Directorate for Geosciences (GEO)); Directorate For Geosciences; Office of Polar Programs (OPP)(National Science Foundation (NSF)NSF - Directorate for Geosciences (GEO))</t>
  </si>
  <si>
    <t>The authors would like to thank Dr. Jennifer Graham for her contributions to the setup of the high-resolution ROMS model. We additionally thank two anonymous reviewers for their helpful comments on the manuscript. The work was supported by the National Science Foundation (NSF) Division of Polar Programs grants #1703310 (XW, CM and BAG), #1543018 (JK and MD), and #1543012 (DS).</t>
  </si>
  <si>
    <t>2169-9275</t>
  </si>
  <si>
    <t>2169-9291</t>
  </si>
  <si>
    <t>J GEOPHYS RES-OCEANS</t>
  </si>
  <si>
    <t>J. Geophys. Res.-Oceans</t>
  </si>
  <si>
    <t>e2021JC017645</t>
  </si>
  <si>
    <t>10.1029/2021JC017645</t>
  </si>
  <si>
    <t>ZO3FL</t>
  </si>
  <si>
    <t>WOS:000765614000026</t>
  </si>
  <si>
    <t>Zheng, KW; Nikurashin, M; Tian, JW</t>
  </si>
  <si>
    <t>Zheng, Kaiwen; Nikurashin, Maxim; Tian, Jiwei</t>
  </si>
  <si>
    <t>Non-Local Energy Dissipation of Lee Waves and Turbulence in the South China Sea</t>
  </si>
  <si>
    <t>Abyssal mixing; internal lee waves; non-local dissipation; numerical simulations</t>
  </si>
  <si>
    <t>INTERNAL SOLITARY WAVES; FLOW; GENERATION; TOPOGRAPHY; GRAVITY; OCEAN; DRAG; CIRCULATION; SENSITIVITY; BREAKING</t>
  </si>
  <si>
    <t>Breaking of internal lee waves has been shown to drive enhanced turbulence and mixing in regions where strong bottom flows interact with rough topography. However, theoretical predictions for the energy conversion from the bottom flows into lee waves differ from the corresponding turbulent energy dissipation rates observed locally at the wave generation sites. Recent idealized numerical simulations suggest that the discrepancy may be attributed to non-local wave breaking and dissipation effects: when a mean flow impinges on rough topography and generates lee waves and turbulence, a significant fraction of the generated energy gets advected downstream of the generation site and dissipates remotely. Here, we present a case study for the non-local lee wave energy dissipation in the South China Sea by using a combination of in situ mooring observations of the bottom flow interacting with two topographic features and corresponding numerical simulations. The results show that most of the near-inertial and high-frequency response observed at the mooring site is not locally generated, but rather is produced by the interaction of the subinertial flow with the topographic feature upstream. The wave and turbulent energy detected at the mooring site can be enhanced by an order of magnitude compared to the energy of the locally generated motions. The simulations confirm that up to 70% of the enhanced energy is advected into the region by the subinertial flow, while the rest is radiated into the region as waves. Implication of our results for mixing observations and ocean model parameterizations are discussed.</t>
  </si>
  <si>
    <t>[Zheng, Kaiwen; Tian, Jiwei] Ocean Univ China, Frontier Sci Ctr Deep Ocean Multispheres &amp; Earth, Qingdao, Peoples R China; [Zheng, Kaiwen; Tian, Jiwei] Ocean Univ China, Phys Oceanog Lab, Qingdao, Peoples R China; [Zheng, Kaiwen; Tian, Jiwei] Qingdao Natl Lab Marine Sci &amp; Technol, Qingdao, Peoples R China; [Nikurashin, Maxim] Univ Tasmania, Inst Marine &amp; Antarctic Studies, Australian Antarctic Program Partnership, Hobart, Tas, Australia</t>
  </si>
  <si>
    <t>Ocean University of China; Ocean University of China; Laoshan Laboratory; University of Tasmania</t>
  </si>
  <si>
    <t>Zheng, KW (corresponding author), Ocean Univ China, Frontier Sci Ctr Deep Ocean Multispheres &amp; Earth, Qingdao, Peoples R China.;Zheng, KW (corresponding author), Ocean Univ China, Phys Oceanog Lab, Qingdao, Peoples R China.;Zheng, KW (corresponding author), Qingdao Natl Lab Marine Sci &amp; Technol, Qingdao, Peoples R China.</t>
  </si>
  <si>
    <t>zhengkaiwen@ouc.edu.cn</t>
  </si>
  <si>
    <t>Tian, Jiwei/AAH-4331-2020</t>
  </si>
  <si>
    <t>Tian, Jiwei/0000-0002-1485-7465; Nikurashin, Maxim/0000-0002-5714-8343</t>
  </si>
  <si>
    <t>National Natural Science Foundation of China [91958205, 42076004]; Australian Research Council Discovery Project [DP170102162]</t>
  </si>
  <si>
    <t>National Natural Science Foundation of China(National Natural Science Foundation of China (NSFC)); Australian Research Council Discovery Project(Australian Research Council)</t>
  </si>
  <si>
    <t>This research was supported by the National Natural Science Foundation of China (Grant nos. 91958205 and 42076004). MN is grateful for the support from the Australian Research Council Discovery Project (DP170102162). Simulation was undertaken with the assistance of resources provided at the National Supercomputing Center in Jinan. The authors also thank Dr. Qianwen Hu for her help on the observational data analysis and experiments designing on this study.</t>
  </si>
  <si>
    <t>e2021JC017877</t>
  </si>
  <si>
    <t>10.1029/2021JC017877</t>
  </si>
  <si>
    <t>WOS:000765614000012</t>
  </si>
  <si>
    <t>Lockwood, M</t>
  </si>
  <si>
    <t>Lockwood, Mike</t>
  </si>
  <si>
    <t>Solar Wind-Magnetosphere Coupling Functions: Pitfalls, Limitations, and Applications</t>
  </si>
  <si>
    <t>SPACE WEATHER-THE INTERNATIONAL JOURNAL OF RESEARCH AND APPLICATIONS</t>
  </si>
  <si>
    <t>solar wind; magnetosphere; coupling functions; performance metrics; activity distributions</t>
  </si>
  <si>
    <t>CAP POTENTIAL SATURATION; RING CURRENT; SIMPLEX-METHOD; FIELD; DYNAMICS; TIMESCALES; INTENSITY; EVOLUTION; WEATHER; CLIMATE</t>
  </si>
  <si>
    <t>Solar wind-magnetosphere coupling functions have now been in use for almost 50 years. In that time, a very large number of formulations have been proposed. As they become increasingly subsumed into systems analysis and machine-learning studies of the magnetosphere, it is timely to establish best practice in their derivation and study their limitations. This paper reports on a number of studies carried out to establish some key points. Particular attention is paid to the best metric used to evaluate their performance and how it depends on the application for which the coupling function is intended.</t>
  </si>
  <si>
    <t>[Lockwood, Mike] Univ Reading, Dept Meteorol, Reading, Berks, England</t>
  </si>
  <si>
    <t>University of Reading</t>
  </si>
  <si>
    <t>Lockwood, M (corresponding author), Univ Reading, Dept Meteorol, Reading, Berks, England.</t>
  </si>
  <si>
    <t>m.lockwood@reading.ac.uk</t>
  </si>
  <si>
    <t>Lockwood, Mike/G-1030-2011</t>
  </si>
  <si>
    <t>Lockwood, Mike/0000-0002-7397-2172</t>
  </si>
  <si>
    <t>UK Science and Technology Facilities Council (STFC) [ST/R000921/1]; UK Natural Environment Research Council (NERC) Directed Highlight Topic Space Weather Impact on Ground-based Systems (SWIGS)'' [NE/P016928/1]</t>
  </si>
  <si>
    <t>UK Science and Technology Facilities Council (STFC)(UK Research &amp; Innovation (UKRI)Science &amp; Technology Facilities Council (STFC)); UK Natural Environment Research Council (NERC) Directed Highlight Topic Space Weather Impact on Ground-based Systems (SWIGS)''</t>
  </si>
  <si>
    <t>The author acknowledges the use of data from the SuperDARN project. SuperDARN is a collection of radars funded by national scientific funding agencies of Australia, Canada, China, France, Italy, Japan, Norway, South Africa, United Kingdom and the United States of America: he thanks Kathryn McWilliams of University of Saskatchewan for the generation of the SuperDARN transpolar voltage dataset. In addition, he is grateful to the staff of the Space Physics Data Facility, NASA/Goddard Space Flight Center, who prepared and made available the OMNI2 data set used: these interplanetary data were downloaded from http://omniweb.gsfc.nasa.gov/ow.html; and of the World Data Center for Geomagnetism, Kyoto who generate and make available the AL index from http://wdc.kugi.kyoto-u.ac.jp/aeasy/index.html and of L'Ecole et Observatoire des Sciences de la Terre (EOST), a joint of the University of Strasbourg and the French National Center for Scientific Research (CNRS) and the International Service of Geomagnetic Indices (ISGI) for making the am index data available from http://isgi.unistra.fr/data_download.php.He is also grateful to the many groups who built and operated the instruments that have monitored near-Earth interplanetary space, particularly on the spacecraft ACE, Wind and THEMIS-B, and to the SuperMAG project for the SML index and acknowledges the following projects and PIs: Intermagnet; USGS, Jeffrey J. Love; CARISMA, PI Ian Mann; CANMOS; The S-RAMP Database, PI K. Yumoto and K. Shiokawa; The SPIDR database; AARI, PI Oleg Troshichev; The MACCS program, PI M. Engebretson, Geomagnetism Unit of the Geological Survey of Canada; GIMA; MEASURE, UCLA IGPP and Florida Institute of Technology; SAMBA, PI Eftyhia Zesta; Chain, PI K. Yumoto; SAMNET, PI Farideh Honary; The institutes who maintain the IMAGE magnetometer array, PI Eija Tanskanen; PENGUIN; AUTUMN, PI Martin Connors; DTU Space, PI Rico Behlke; South Pole and McMurdo Magnetometer, PI's Louis J. Lanzarotti and Alan T. Weatherwax; ICESTAR; RAPIDMAG; PENGUIn; British Antarctic Survey; McMac, PI Peter Chi; BGS, PI Susan Macmillan; Pushkov Institute of Terrestrial Magnetism, Ionosphere and Radio Wave Propagation (IZMIRAN); GFZ, PI Juergen Matzka; MFGI, PI B. Heilig; IGFPAS, PI J. Reda; University of L'Aquila, PI M. Vellante; BCMT, V. Lesur and A. Chambodut; Data obtained in cooperation with Geoscience Australia, PI Marina Costelloe; and the SuperMAG, PI Jesper W. Gjerloev. The author also thanks Joe Borovsky for insightful conversations about this work and, with Simon Wing, for organizing, the on-line Workshop Solar Wind-Magnetosphere Interaction in August/September 2021 at which this work was first presented. The work presented in this paper was supported by two UKRI grants to the University of Reading: the UK Science and Technology Facilities Council (STFC) consolidated grant number ST/R000921/1 and the UK Natural Environment Research Council (NERC) Directed Highlight Topic Space Weather Impact on Ground-based Systems (SWIGS), Grant number NE/P016928/1/.</t>
  </si>
  <si>
    <t>1542-7390</t>
  </si>
  <si>
    <t>SPACE WEATHER</t>
  </si>
  <si>
    <t>Space Weather</t>
  </si>
  <si>
    <t>e2021SW002989</t>
  </si>
  <si>
    <t>10.1029/2021SW002989</t>
  </si>
  <si>
    <t>Astronomy &amp; Astrophysics; Geochemistry &amp; Geophysics; Meteorology &amp; Atmospheric Sciences</t>
  </si>
  <si>
    <t>ZL1VX</t>
  </si>
  <si>
    <t>WOS:000763470300001</t>
  </si>
  <si>
    <t>Mac Manus, DH; Rodger, CJ; Ingham, M; Clilverd, MA; Dalzell, M; Divett, T; Richardson, GS; Petersen, T</t>
  </si>
  <si>
    <t>Mac Manus, D. H.; Rodger, C. J.; Ingham, M.; Clilverd, M. A.; Dalzell, M.; Divett, T.; Richardson, G. S.; Petersen, T.</t>
  </si>
  <si>
    <t>Geomagnetically Induced Current Model in New Zealand Across Multiple Disturbances: Validation and Extension to Non-Monitored Transformers</t>
  </si>
  <si>
    <t>TRANSMISSION-SYSTEMS; SPACE WEATHER; HYDRO-QUEBEC; UK</t>
  </si>
  <si>
    <t>Geomagnetically induced currents (GICs) produced during geomagnetic disturbances pose a risk to the safe operation of electrical power networks. One route to determine the hazard of large and extreme geomagnetic disturbances to national electrical networks is a validated model to predict GIC across the entire network. In this study, we improve upon an earlier model for New Zealand, expanding the approach to cover transformers nationwide by making use of multiple storms to develop national scaling factors. We exploit GIC observations which have been made and archived by Transpower New Zealand Ltd, the national grid operator. For some transformers the GIC observations span nearly 2 decades, while for others only a few years. GICs can vary wildly between transformers, particularly due to differences in the electrical network characteristics, transformer properties, and ground conductivity. Modeling these individual transformers is required if an accurate representation of the GIC distribution throughout the network is to be produced. Here we model the GIC during 25 disturbed periods, ranging from large geomagnetic storms to weakly active periods. We adopt the approach of scaling model output using observed GIC power spectra, finding that it improves the correlations between the maximum model and observed GIC by between 10% and 40% depending on the transformer. The modeled GIC at the 73 transformers which have measured GIC are analyzed to create local and national scaling curves. These are used to allow modeling for transformers without in-situ GIC. We present approaches to utilize this technique for future storms, including non-monitored transformers. Plain Language Summary Space Weather events can affect the safe operation of electrical power networks. Specialized instruments have been installed in the New Zealand electrical network to measure unwanted direct current (DC) currents at transformers and monitor this risk. The measurements from these instruments are compared against a model, which tries to predict these currents at all electrical transformers across the entire network. We compare the measured and modeled current across multiple events to help validate the model at sites that are not directly measured, as well as sites which have measurements. Due to differences in the electrical network characteristics, transformer properties, and ground conductivity, the DC current through any two transformers can vary dramatically. The events we model cover large and small space weather periods. Using the measured currents for these events, we can scale the model output to produce a more accurate representation of the DC current throughout the whole network. This is a step toward modeling the unwanted currents during extreme space weather events.</t>
  </si>
  <si>
    <t>[Mac Manus, D. H.; Rodger, C. J.] Univ Otago, Dept Phys, Dunedin, New Zealand; [Ingham, M.; Divett, T.] Victoria Univ Wellington, Wellington, New Zealand; [Clilverd, M. A.] British Antarctic Survey UKRT NERC, Cambridge, England; [Dalzell, M.] Transpower New Zealand Ltd, Wellington, New Zealand; [Richardson, G. S.] British Geol Survey UKRI NERC, Edinburgh, Midlothian, Scotland; [Petersen, T.] GNS Sci, Wellington, New Zealand</t>
  </si>
  <si>
    <t>University of Otago; Victoria University Wellington; GNS Science - New Zealand</t>
  </si>
  <si>
    <t>Mac Manus, DH (corresponding author), Univ Otago, Dept Phys, Dunedin, New Zealand.</t>
  </si>
  <si>
    <t>macda381@student.otago.ac.nz</t>
  </si>
  <si>
    <t>Rodger, Craig/A-1501-2011</t>
  </si>
  <si>
    <t>Rodger, Craig J./0000-0002-6770-2707; Richardson, Gemma/0000-0002-9504-4457; Ingham, Malcolm/0000-0003-3128-7131; Petersen, Tanja/0000-0001-8409-9500; Mac Manus, Daniel/0000-0003-1175-2251</t>
  </si>
  <si>
    <t>New Zealand Ministry of Business, Innovation and Employment Endeavour Fund Research Programme [UOOX2002]; Transpower New Zealand; Institute of Geological and Nuclear Sciences Limited (GNS); New Zealand Ministry of Business, Innovation &amp; Employment (MBIE) [UOOX2002] Funding Source: New Zealand Ministry of Business, Innovation &amp; Employment (MBIE)</t>
  </si>
  <si>
    <t>New Zealand Ministry of Business, Innovation and Employment Endeavour Fund Research Programme; Transpower New Zealand; Institute of Geological and Nuclear Sciences Limited (GNS); New Zealand Ministry of Business, Innovation &amp; Employment (MBIE)(New Zealand Ministry of Business, Innovation and Employment (MBIE))</t>
  </si>
  <si>
    <t>This research was supported by the New Zealand Ministry of Business, Innovation and Employment Endeavour Fund Research Programme contract UOOX2002. The authors would like to thank Transpower New Zealand for supporting this study. The results presented in this paper rely on the data collected at Eyrewell. The authors thank the Institute of Geological and Nuclear Sciences Limited (GNS), for supporting its operation and INTERMAGNET for promoting high standards of magnetic observatory practice (www.intermagnet.org).</t>
  </si>
  <si>
    <t>e2021SW002955</t>
  </si>
  <si>
    <t>10.1029/2021SW002955</t>
  </si>
  <si>
    <t>WOS:000763470300011</t>
  </si>
  <si>
    <t>Pataki, BA; Lichtenberger, J; Clilverd, M; Máthé, G; Steinbach, P; Pásztor, S; Murár-Juhász, L; Koronczay, D; Ferencz, O; Csabai, I</t>
  </si>
  <si>
    <t>Pataki, Balint Armin; Lichtenberger, Janos; Clilverd, Mark; Mathe, Gergely; Steinbach, Peter; Pasztor, Szilard; Murar-Juhasz, Lilla; Koronczay, David; Ferencz, Orsolya; Csabai, Istvan</t>
  </si>
  <si>
    <t>Monitoring Space Weather: Using Automated, Accurate Neural Network Based Whistler Segmentation for Whistler Inversion</t>
  </si>
  <si>
    <t>whistler; plasmasphere; neural network</t>
  </si>
  <si>
    <t>ELECTRON-DENSITY</t>
  </si>
  <si>
    <t>It is challenging, yet important, to measure the-ever-changing-cold electron density in the plasmasphere. The cold electron density inside and outside of the plasmapause is a key parameter for radiation belt dynamics. One indirect measurement is through finding the velocity dispersion relation exhibited by lightning induced whistlers. The main difficulty of the method comes from low signal-to-noise ratios for most of the ground-based whistler components. To provide accurate electron density and L $L$-shell measurements, whistler components need to be detectable in the noisy background, and their characteristics need to be reliably determined. For this reason, precise segmentation is needed on a spectrogram image. Here, we present a fully automated way to perform such an image segmentation by leveraging the power of convolutional neural networks, a state-of-the-art method for computer vision tasks. Testing the proposed method against a manually, and semi-manually segmented whistler data set achieved &lt; $&lt; $10% relative electron density prediction error for 80% of the segmented whistler traces, while for the L $L$ shell, the relative error is &lt; $&lt; $5% for 90% of the cases. By segmenting more than 1 million additional real whistler traces from Rothera station Antarctica, logged over 9 years, seasonal changes in the average electron density were found. The variations match previously published findings, and confirm the capabilities of the image segmentation technique.</t>
  </si>
  <si>
    <t>[Pataki, Balint Armin; Mathe, Gergely; Csabai, Istvan] Eotvos Lorand Univ, Dept Phys Complex Syst, Budapest, Hungary; [Lichtenberger, Janos; Pasztor, Szilard; Murar-Juhasz, Lilla; Koronczay, David; Ferencz, Orsolya] Eotvos Lorand Univ, Space Res Grp, Dept Geophys &amp; Space Sci, Budapest, Hungary; [Lichtenberger, Janos] Inst Earth Phys &amp; Space Sci Sopron, Sopron, Hungary; [Clilverd, Mark] British Antarctic Survey UKRI NERC, Cambridge, England; [Steinbach, Peter] ELKH ELTE Res Grp Geol Geophys &amp; Space Sci, Budapest, Hungary</t>
  </si>
  <si>
    <t>Eotvos Lorand University; Eotvos Lorand University; UK Research &amp; Innovation (UKRI); Natural Environment Research Council (NERC); NERC British Antarctic Survey</t>
  </si>
  <si>
    <t>Lichtenberger, J (corresponding author), Eotvos Lorand Univ, Space Res Grp, Dept Geophys &amp; Space Sci, Budapest, Hungary.;Lichtenberger, J (corresponding author), Inst Earth Phys &amp; Space Sci Sopron, Sopron, Hungary.</t>
  </si>
  <si>
    <t>lityi@sas.elte.hu</t>
  </si>
  <si>
    <t>Koronczay, David/I-5915-2017; Csabai, Istvan/F-6045-2011; Pásztor, Szilárd/KBA-5907-2024; Lichtenberger, Janos/K-1034-2018</t>
  </si>
  <si>
    <t>Koronczay, David/0000-0001-5733-6021; Csabai, Istvan/0000-0001-9232-9898; Lichtenberger, Janos/0000-0001-9175-9255; Steinbach, Peter/0000-0003-2524-8494</t>
  </si>
  <si>
    <t>Ministry of Innovation and Technology NRDI Office</t>
  </si>
  <si>
    <t>Ministry of Innovation and Technology NRDI Office(National Research, Development &amp; Innovation Office (NRDIO) - Hungary)</t>
  </si>
  <si>
    <t>This research was supported by the Ministry of Innovation and Technology NRDI Office within the framework of the Artificial Intelligence National Laboratory Program MILAB. M. Clilverd would like to acknowledge the UKRI-NERC support for the Rothera whistler measurements under the National Capability-Single Science (Space Weather Observatory) grant.</t>
  </si>
  <si>
    <t>e2021SW002981</t>
  </si>
  <si>
    <t>10.1029/2021SW002981</t>
  </si>
  <si>
    <t>WOS:000763470300012</t>
  </si>
  <si>
    <t>Hou, A; Bahr, A; Chiessi, CM; Jaeschke, A; Albuquerque, ALS; Pross, J; Koutsodendris, A; Friedrich, O</t>
  </si>
  <si>
    <t>Hou, Alicia; Bahr, Andre; Chiessi, Cristiano M.; Jaeschke, Andrea; Albuquerque, Ana Luiza S.; Pross, Jorg; Koutsodendris, Andreas; Friedrich, Oliver</t>
  </si>
  <si>
    <t>Obliquity Influence on Low-Latitude Coastal Precipitation in Eastern Brazil During the Past ∼850 kyr</t>
  </si>
  <si>
    <t>PALEOCEANOGRAPHY AND PALEOCLIMATOLOGY</t>
  </si>
  <si>
    <t>canopy temperature; thermal UAS; ECOSTRESS; diurnal vegetation dynamics; ecohydrologic dynamics; semiarid mixed conifer forest</t>
  </si>
  <si>
    <t>SOUTH-ATLANTIC; NORTHEASTERN BRAZIL; CHRONOLOGY AICC2012; ANTARCTIC ICE; CIRCULATION; PROXY; MONSOON; HISTORY; VARIABILITY; AMERICA</t>
  </si>
  <si>
    <t>Paleoclimate records from tropical South America typically show precession-paced variability in rainfall, caused by insolation-driven changes in the South American Monsoon System, however this mechanism may not be responsible for hydroclimate change outside of the core monsoon domain, such as in the coastal zone of tropical eastern Brazil. Our findings are based on a similar to 850 kyr-long multiproxy record from a marine sediment core collected from the eastern Brazilian margin that represents the longest continuous record of South American hydroclimate to date. Utilizing the ln (K/Al) chemical weathering proxy from the core, we determine that past hydroclimate change in the coastal zone was primarily modulated by obliquity forcing. We demonstrate that high obliquity is associated with an increase in the boreal summer interhemispheric insolation contrast which decreases the zonality of the southern trade winds and reduces moisture advection to the coastal zone. Based on the long-term coherence between the ln (K/Al) record and benthic delta C-13 records from the Atlantic during Marine Isotope Stages 16-13, we infer that an increase in the strength of the overturning circulation, caused by Northern Hemisphere high-latitude forcing, may have produced surface cooling in the western tropical South Atlantic which led to reduced moisture advection to the coastal zone. We suggest that this mechanism may have also caused the amplification in millennial-scale variability in the coastal hydroclimate system, which began after the decoupling of the coastal hydroclimate system from obliquity forcing.</t>
  </si>
  <si>
    <t>[Hou, Alicia; Bahr, Andre; Pross, Jorg; Koutsodendris, Andreas; Friedrich, Oliver] Heidelberg Univ, Inst Earth Sci, Heidelberg, Germany; [Chiessi, Cristiano M.] Univ Sao Paulo, Sch Arts Sci &amp; Humanities, Sao Paulo, Brazil; [Jaeschke, Andrea] Univ Cologne, Inst Geol &amp; Mineral, Cologne, Germany; [Albuquerque, Ana Luiza S.] Univ Fed Fluminense, Programa Geociencias Geoquim, Niteroi, RJ, Brazil</t>
  </si>
  <si>
    <t>Ruprecht Karls University Heidelberg; Universidade de Sao Paulo; University of Cologne; Universidade Federal Fluminense</t>
  </si>
  <si>
    <t>Hou, A (corresponding author), Heidelberg Univ, Inst Earth Sci, Heidelberg, Germany.</t>
  </si>
  <si>
    <t>alicia.hou@geow.uni-heidelberg.de</t>
  </si>
  <si>
    <t>Chiessi, Cristiano Mazur/JAZ-0806-2023; Fapesp, Biota/F-8655-2017; Jaeschke, Andrea/B-8799-2017; Chiessi, Cristiano Mazur/E-1916-2012; Koutsodendris, Andreas/G-8966-2013; Albuquerque, Ana Luiza/C-5167-2013</t>
  </si>
  <si>
    <t>Chiessi, Cristiano Mazur/0000-0003-3318-8022; Fapesp, Biota/0000-0002-9887-8449; Jaeschke, Andrea/0000-0003-2518-2739; Chiessi, Cristiano Mazur/0000-0003-3318-8022; Koutsodendris, Andreas/0000-0003-4236-7508; Friedrich, Oliver/0000-0002-6046-7513; Hou, Alicia Meng Xiao/0000-0003-3590-8679; Albuquerque, Ana Luiza/0000-0003-1267-6190</t>
  </si>
  <si>
    <t>Deutsche Forschungsgemeinschaft (DFG) [BA 3809/9-1]; FAPESP [2018/15123-4, 2019/24349-9]; CAPES [88881.313535/2019-01]; CNPq [312458/2020-7]; Alexander von Humboldt Foundation; DFG [268236062 - SFB1211]; Projekt DEAL</t>
  </si>
  <si>
    <t>Deutsche Forschungsgemeinschaft (DFG)(German Research Foundation (DFG)); FAPESP(Fundacao de Amparo a Pesquisa do Estado de Sao Paulo (FAPESP)); CAPES(Coordenacao de Aperfeicoamento de Pessoal de Nivel Superior (CAPES)); CNPq(Conselho Nacional de Desenvolvimento Cientifico e Tecnologico (CNPQ)); Alexander von Humboldt Foundation(Alexander von Humboldt Foundation); DFG(German Research Foundation (DFG)); Projekt DEAL</t>
  </si>
  <si>
    <t>The authors kindly acknowledge the captain and crew of the R/V METEOR during expedition M125. They thank B. Knape and F. Keppler for support during foraminiferal stable isotope measurements, M. Pollen for assistance with biomarker analysis, and C. Zeeden for statistical support. A. Hou and A. Bahr were funded by the Deutsche Forschungsgemeinschaft (DFG) (Grant BA 3809/9-1). C. M. Chiessi acknowledges the financial support from FAPESP (grants 2018/15123-4 and 2019/24349-9), CAPES (grant 88881.313535/2019-01), CNPq (grant 312458/2020-7) and the Alexander von Humboldt Foundation. A. Jaeschke acknowledges funding from DFG (grant 268236062 - SFB1211). Open access funding enabled and organized by Projekt DEAL.</t>
  </si>
  <si>
    <t>2572-4517</t>
  </si>
  <si>
    <t>2572-4525</t>
  </si>
  <si>
    <t>PALEOCEANOGR PALEOCL</t>
  </si>
  <si>
    <t>Paleoceanogr. Paleoclimatology</t>
  </si>
  <si>
    <t>e2021PA004238</t>
  </si>
  <si>
    <t>10.1029/2021PA004238</t>
  </si>
  <si>
    <t>Geosciences, Multidisciplinary; Oceanography; Paleontology</t>
  </si>
  <si>
    <t>Geology; Oceanography; Paleontology</t>
  </si>
  <si>
    <t>ZL2FZ</t>
  </si>
  <si>
    <t>WOS:000763496800007</t>
  </si>
  <si>
    <t>Wang, DR; Zhu, GP</t>
  </si>
  <si>
    <t>Wang, Danrong; Zhu, Guoping</t>
  </si>
  <si>
    <t>Antarctic krill (Euphausia superba) as a bioindicator of trace elements reflects regional heterogeneity in marine environments in the northern Antarctic Peninsula, Antarctic</t>
  </si>
  <si>
    <t>ECOLOGICAL INDICATORS</t>
  </si>
  <si>
    <t>Euphausia superba; Northern Antarctic Peninsula; Bioindicator; Marine ecosystem; Trace element</t>
  </si>
  <si>
    <t>BRANSFIELD STRAIT; TEMPORAL VARIABILITY; WATER MASSES; DEEP WATERS; METALS; SENSITIVITY; SEA; ISLAND; FISH; BIOAVAILABILITY</t>
  </si>
  <si>
    <t>The northern Antarctic Peninsula (NAP) supports a few human activities. It is affected by intense climate change and anthropogenic threats. Antarctic krill (Euphausia superba) is the largest, by mass, in the Southern Ocean and is the keystone species in the Antarctic ecosystem. In this study, we report the concentrations of trace elements, i. e., zinc [Zn], copper [Cu], cadmium [Cd], and lead [Pb], in krill in three hydrographic settings of the NAP to explore the suitability of krill as a bioindicator of trace elements to reflect the heterogeneity in marine environments in this area. The following element-concentration ranking was recorded for all regions: Cu &gt; Zn &gt; Pb &gt; Cd, showing that the Cu concentration is comparable to the Zn concentration in krill, and those concentrations are higher at two orders of magnitude than the Pb and Cd concentrations in krill. The Pb concentration is highest in the western basin (WB) of the Bransfield Strait, followed by the central basin (CB) of the Bransfield Strait and the north shelf (NS) of the South Shetland Islands. Lowest levels of Cu, Zn and Cd are detected in NS compared to the levels of those elements in the other two regions. There is a significant negative correlation in the Cd level in krill between NS and CB. We also discuss the processes of hydrographic dynamics transporting trace elements in NAP. Collectively, these results suggest krill is a suitable and effective bioindicator for reflecting regional heterogeneity in marine environments in NAP.</t>
  </si>
  <si>
    <t>[Wang, Danrong; Zhu, Guoping] Shanghai Ocean Univ, Coll Marine Sci, Shanghai 201306, Peoples R China; [Wang, Danrong; Zhu, Guoping] Shanghai Ocean Univ, Ctr Polar Res, Shanghai 201306, Peoples R China; [Zhu, Guoping] Natl Engn Res Ctr Ocean Fisheries, Shanghai 201306, Peoples R China; [Zhu, Guoping] Shanghai Ocean Univ, Key Lab Sustainable Exploitat Ocean Fisheries Res, Minist Educ, Polar Marine Ecosyst Grp, Shanghai 201306, Peoples R China</t>
  </si>
  <si>
    <t>Shanghai Ocean University; Shanghai Ocean University; National Engineering Research Center for Oceanic Fisheries; Shanghai Ocean University</t>
  </si>
  <si>
    <t>Zhu, GP (corresponding author), Shanghai Ocean Univ, Coll Marine Sci, Shanghai 201306, Peoples R China.</t>
  </si>
  <si>
    <t>gpzhu@shou.edu.cn</t>
  </si>
  <si>
    <t>ZHU, Guo-ping/D-1002-2010</t>
  </si>
  <si>
    <t>Zhu, Guoping/0000-0001-6081-7811</t>
  </si>
  <si>
    <t>National Key R&amp;D Program of China [2018YFC1406801]; National Science Foundation of China [41776185]; Major International Joint Research Project of the Chinese Academy of Science, China [183611KYSB20200059]</t>
  </si>
  <si>
    <t>National Key R&amp;D Program of China; National Science Foundation of China(National Natural Science Foundation of China (NSFC)); Major International Joint Research Project of the Chinese Academy of Science, China</t>
  </si>
  <si>
    <t>We are grateful to the captains of large-scale trawlers Furonghai and Longteng and the scientific observers onboard those vessels for krill sampling and processing. Team members of the Polar Marine Ecosystem Laboratory, Shanghai Ocean University deserves special recognition for their efforts in the laboratory. We also thank the College of Marine Sciences at Shanghai Ocean University for providing the facilities in the laboratory that make this study happen. Funding was provided partly by the National Key R&amp;D Program of China (grant no 2018YFC1406801 to G.P.Z.) , the National Science Foundation of China (grant no 41776185 to G.P.Z.) , and Major International Joint Research Project of the Chinese Academy of Science, China (grant no 183611KYSB20200059 to G.P.Z.) .</t>
  </si>
  <si>
    <t>1470-160X</t>
  </si>
  <si>
    <t>1872-7034</t>
  </si>
  <si>
    <t>ECOL INDIC</t>
  </si>
  <si>
    <t>Ecol. Indic.</t>
  </si>
  <si>
    <t>10.1016/j.ecolind.2022.108596</t>
  </si>
  <si>
    <t>Biodiversity Conservation; Environmental Sciences</t>
  </si>
  <si>
    <t>ZI1NF</t>
  </si>
  <si>
    <t>WOS:000761394300003</t>
  </si>
  <si>
    <t>Hoiberg, MA; Woods, JS; Verones, F</t>
  </si>
  <si>
    <t>Hoiberg, Marthe A.; Woods, John S.; Verones, Francesca</t>
  </si>
  <si>
    <t>Global distribution of potential impact hotspots for marine plastic debris entanglement</t>
  </si>
  <si>
    <t>Entanglement; Plastic waste; Macroplastic; Ghost gear; Marine biodiversity; Impact assessment</t>
  </si>
  <si>
    <t>ANTARCTIC FUR SEALS; BIODIVERSITY; LITTER; THREAT</t>
  </si>
  <si>
    <t>Marine animals have been known to interact with and become entangled in plastic debris for decades. Despite increasing annual input volumes of plastic waste to the natural environment and the threat this constitutes to marine biodiversity, impacts of mismanaged plastic waste generally remain unquantified in environmental impact assessments. In this paper, we develop a Species Sensitivity Distribution (SSD) approach for estimating a spatially differentiated indicator of potential macroplastic entanglement impacts with global coverage of the world's oceans. This constitutes a key modelling step that contributes towards the inclusion of plastic litter ef-fects in impact assessments. We gathered entanglement incidence data for 20 species of marine mammals, turtles and birds from different populations and marine regions. To capture species-specific sensitivities to entanglement and spatially varying concentrations of plastic debris, concentration-response modelling of field data was used to develop the SSD-based model. This was achieved by linking population specific entanglement records to cor-responding regional areas of exposure and an existing global model of plastic debris concentrations. The SSD was further applied to derive an estimate of the Potentially Affected Fraction (PAF) of species on a global scale, highlighting regional hotspots of potential entanglement impacts at current levels of marine plastic pollution. This indicator can be adapted and applied in impact assessments in order to account for potential impacts of mismanaged plastic waste ending up in marine ecosystems.</t>
  </si>
  <si>
    <t>[Hoiberg, Marthe A.; Woods, John S.; Verones, Francesca] NTNU, Dept Energy &amp; Proc Engn, Ind Ecol Programme, Trondheim, Norway</t>
  </si>
  <si>
    <t>Norwegian University of Science &amp; Technology (NTNU)</t>
  </si>
  <si>
    <t>Hoiberg, MA (corresponding author), NTNU, Dept Energy &amp; Proc Engn, Ind Ecol Programme, Trondheim, Norway.</t>
  </si>
  <si>
    <t>marthe.a.hoiberg@ntnu.no</t>
  </si>
  <si>
    <t>Hoiberg, Marthe Alnes/0000-0001-9728-4270</t>
  </si>
  <si>
    <t>European Research Council (ERC) under the European Union [850717]; European Research Council (ERC) [850717] Funding Source: European Research Council (ERC)</t>
  </si>
  <si>
    <t>European Research Council (ERC) under the European Union(European Research Council (ERC)); European Research Council (ERC)(European Research Council (ERC)Spanish Government)</t>
  </si>
  <si>
    <t>This project has received funding from the European Research Council (ERC) under the European Union's Horizon 2020 research and innovation programme (grant agreement No 850717).</t>
  </si>
  <si>
    <t>10.1016/j.ecolind.2021.108509</t>
  </si>
  <si>
    <t>ZI1NA</t>
  </si>
  <si>
    <t>WOS:000761393800001</t>
  </si>
  <si>
    <t>Johannessen, JED; Biuw, M; Lindstrom, U; Ollus, VMS; López, LMM; Gkikopoulou, KC; Oosthuizen, WC; Lowther, A</t>
  </si>
  <si>
    <t>Johannessen, John Elling Deehr; Biuw, Martin; Lindstrom, Ulf; Ollus, Victoria Marja Sofia; Martin Lopez, Lucia Martina; Gkikopoulou, Kalliopi C.; Oosthuizen, Wessel Chris; Lowther, Andrew</t>
  </si>
  <si>
    <t>Intra-season variations in distribution and abundance of humpback whales in the West Antarctic Peninsula using cruise vessels as opportunistic platforms</t>
  </si>
  <si>
    <t>ECOLOGY AND EVOLUTION</t>
  </si>
  <si>
    <t>Antarctic Peninsula; density surface modeling; ecosystem interactions; humpback whale; platforms of opportunity; spatiotemporal variation</t>
  </si>
  <si>
    <t>EUPHAUSIA-SUPERBA DANA; BRANSFIELD STRAIT; MEGAPTERA-NOVAEANGLIAE; PENGUIN POPULATIONS; MARINE ECOSYSTEM; ATLANTIC SECTOR; SOUTHERN-OCEAN; KRILL FISHERY; LONG-TERM; INCREASE</t>
  </si>
  <si>
    <t>Fine-scale knowledge of spatiotemporal dynamics in cetacean distribution and abundance throughout the Western Antarctic Peninsula (WAP) is sparse yet essential for effective ecosystem-based management (EBM). Cruise vessels were used as platforms of opportunity to collect data on the distribution and abundance of humpback whales (Megaptera novaeangliae) during the austral summer of 2019/2020 in a region that is also important for the Antarctic krill (Euphausia superba) fishery, to assess potential spatiotemporal interactions for future use in EBM. Data were analyzed using traditional design-based line transect methodology and spatial density surface hurdle models fitted using a set of physical environmental covariates to estimate the abundance and distribution of whales in the area, and to describe their temporal dynamics. Our results indicate a rapid increase in humpback whale abundance in the Bransfield and Gerlache Straits through December, reaching a stable abundance by mid-January. The distribution of humpback whales appeared to change from a patchier distribution in the northern Gerlache Strait to a significantly concentrated presence in the central Gerlache and southern Bransfield Straits, followed by a subsequent dispersion throughout the area. Abundance estimates agreed well with previous literature, increasing from approximately 7000 individuals in 2000 to a peak of 19,107 in 2020. Based on these estimates, we project a total krill consumption of between 1.4 and 3.7 million tons based on traditional and contemporary literature on per capita krill consumption of whales, respectively. When taken in the context of krill fishery catch data in the study area, we conclude that there is minimal spatiotemporal overlap between humpback whales and fishery activity during our study period of November-January. However, there is potential for significant interaction between the two later in the feeding season, but cetacean survey efforts need to be extended into late season in order to fully characterize this potential overlap.</t>
  </si>
  <si>
    <t>[Johannessen, John Elling Deehr; Lindstrom, Ulf; Ollus, Victoria Marja Sofia] Arctic Univ Tromso, Dept Arct Biol, N-9296 Tromso, Norway; [Johannessen, John Elling Deehr; Lowther, Andrew] Norwegian Polar Res Inst, Tromso, Norway; [Biuw, Martin; Lindstrom, Ulf] Inst Marine Res, Tromso, Norway; [Martin Lopez, Lucia Martina] Univ Liverpool, Sch Environm Sci, Liverpool, Merseyside, England; [Gkikopoulou, Kalliopi C.] Univ St Andrews, Scottish Ocean Inst, Sch Biol, Sea Mammal Res Unit, St Andrews, Fife, Scotland; [Oosthuizen, Wessel Chris] Univ Cape Town, Cape Town, South Africa</t>
  </si>
  <si>
    <t>UiT The Arctic University of Tromso; Norwegian Polar Institute; Institute of Marine Research - Norway; University of Liverpool; University of St Andrews; University of Cape Town</t>
  </si>
  <si>
    <t>Johannessen, JED (corresponding author), Arctic Univ Tromso, Dept Arct Biol, N-9296 Tromso, Norway.</t>
  </si>
  <si>
    <t>elling.johannessen@npolar.no</t>
  </si>
  <si>
    <t>López, Lucía/JVZ-6906-2024; López, Lucía/JCP-2406-2023; Oosthuizen, W. Chris/I-2947-2016</t>
  </si>
  <si>
    <t>Martin Lopez, Lucia Martina/0000-0003-2984-8606; Lowther, Andrew/0000-0003-4294-3157; Ollus, Victoria Marja Sofia/0000-0002-3633-9079; Oosthuizen, W. Chris/0000-0003-2905-6297; Deehr Johannessen, Elling/0000-0003-3515-5697; Gkikopoulou, Kalliopi/0000-0002-9232-4138</t>
  </si>
  <si>
    <t>2045-7758</t>
  </si>
  <si>
    <t>ECOL EVOL</t>
  </si>
  <si>
    <t>Ecol. Evol.</t>
  </si>
  <si>
    <t>e8571</t>
  </si>
  <si>
    <t>10.1002/ece3.8571</t>
  </si>
  <si>
    <t>Ecology; Evolutionary Biology</t>
  </si>
  <si>
    <t>Environmental Sciences &amp; Ecology; Evolutionary Biology</t>
  </si>
  <si>
    <t>ZG6KW</t>
  </si>
  <si>
    <t>WOS:000760366500059</t>
  </si>
  <si>
    <t>Mattmueller, RM; Thomisch, K; Van Opzeeland, I; Laidre, KL; Simon, M</t>
  </si>
  <si>
    <t>Mattmueller, Ramona M.; Thomisch, Karolin; Van Opzeeland, Ilse; Laidre, Kristin L.; Simon, Malene</t>
  </si>
  <si>
    <t>Passive acoustic monitoring reveals year-round marine mammal community composition off Tasiilaq, Southeast Greenland</t>
  </si>
  <si>
    <t>JOURNAL OF THE ACOUSTICAL SOCIETY OF AMERICA</t>
  </si>
  <si>
    <t>NARWHALS MONODON-MONOCEROS; SEALS ERIGNATHUS-BARBATUS; WHALE BALAENA-MYSTICETUS; MALE BEARDED SEALS; KILLER WHALES; FIN WHALES; BOWHEAD WHALES; VOCAL BEHAVIOR; ORCINUS-ORCA; FRAM STRAIT</t>
  </si>
  <si>
    <t>Climate-driven changes are affecting sea ice conditions off Tasiilaq, Southeast Greenland, with implications for marine mammal distributions. Knowledge about marine mammal presence, biodiversity, and community composition is key to effective conservation and management but is lacking, especially during winter months. Seasonal patterns of acoustic marine mammal presence were investigated relative to sea ice concentration at two recording sites between 2014 and 2018, with one (65.6 &amp; DEG;N, 37.4 &amp; DEG;W) or three years (65.5 &amp; DEG;N, 38.0 &amp; DEG;W) of passive acoustic recordings. Seven marine mammal species were recorded. Bearded seals were acoustically dominant during winter and spring, whereas sperm, humpback, and fin whales dominated during the sea ice-free summer and autumn. Narwhals, bowhead, and killer whales were recorded only rarely. Song-fragments of humpback whales and acoustic presence of fin whales in winter suggest mating-associated behavior taking place in the area. Ambient noise levels in 1/3-octave level bands (20, 63, 125, 500, 1000, and 4000 Hz), ranged between 75.6 to 105 dB re 1 mu Pa. This study provides multi-year insights into the coastal marine mammal community composition off Southeast Greenland and suggests that the Tasiilaq area provides suitable habitat for various marine mammal species year-round. (C) 2022 Author(s).</t>
  </si>
  <si>
    <t>[Mattmueller, Ramona M.; Thomisch, Karolin; Van Opzeeland, Ilse] Helmholtz Ctr Polar &amp; Marine Res, Alfred Wegener Inst, Ocean Acoust Grp, Am Handelshafen 12, D-27570 Bremerhaven, Germany; [Laidre, Kristin L.] Univ Washington, Polar Sci Ctr, Appl Phys Lab, 1013 Northeast 40th St, Seattle, WA 98105 USA; [Simon, Malene] Greenland Climate Res Ctr, Greenland Inst Nat Resources, POB 570,Kivioq 2, Nuuk 3900, Greenland; [Mattmueller, Ramona M.] Bielefeld Univ, Dept Anim Behaviour, D-100131 Bielefeld, Germany; [Van Opzeeland, Ilse] Carl von Ossietzky Univ Oldenburg, Helmholtz Inst Funct Marine Biodivers HIFMB, Ammerlander Heerstr 231, D-26129 Oldenburg, Germany</t>
  </si>
  <si>
    <t>Helmholtz Association; Alfred Wegener Institute, Helmholtz Centre for Polar &amp; Marine Research; University of Washington; University of Washington Seattle; Greenland Institute of Natural Resources; University of Bielefeld; Carl von Ossietzky Universitat Oldenburg</t>
  </si>
  <si>
    <t>Mattmueller, RM (corresponding author), Helmholtz Ctr Polar &amp; Marine Res, Alfred Wegener Inst, Ocean Acoust Grp, Am Handelshafen 12, D-27570 Bremerhaven, Germany.</t>
  </si>
  <si>
    <t>ramona.mattmueller@awi.de</t>
  </si>
  <si>
    <t>Thomisch, Karolin/0000-0002-7144-8369; Mattmuller, Ramona/0000-0002-9896-112X</t>
  </si>
  <si>
    <t>Carlsberg Foundation [2013_01_0233]; Danish Agency for Science and Higher Education (GCRC); Vetlesen Foundation; Deutsche Forschungsgemeinschaft (DFG, German Research Foundation) [462615224]; Alfred-Wegener-Institut Helmholtz-Zentrum fur Polar-und Meeresforschung</t>
  </si>
  <si>
    <t>Carlsberg Foundation(Carlsberg Foundation); Danish Agency for Science and Higher Education (GCRC); Vetlesen Foundation; Deutsche Forschungsgemeinschaft (DFG, German Research Foundation)(German Research Foundation (DFG)); Alfred-Wegener-Institut Helmholtz-Zentrum fur Polar-und Meeresforschung</t>
  </si>
  <si>
    <t>We would like to thank Peter Hegelund and Carl Isaksen (GINR) for assistance with instrument preparation, deployment, and recovery and Fiamma Straneo (Scripps Institution of Oceanography) for deployment and recovery of the recorder off Sermilik in 2014. Many thanks to Kate Stafford (APL-UW) for the discussion on identifying bowhead whale vocalizations, Mads Peter Heide-Jorgensen (GINR) for providing information on bowhead whale occurrence off Southeast Greenland, and Ahmed El-Gabbas (AWI) for the support with the R script to extract daily mean sea ice concentrations. We thank Douglas Gillespie (University of St Andrews) for his assistance with the TOL band analysis using the PAMGUARD software. We would also like to acknowledge the two anonymous reviewers for their constructive remarks on an earlier draft, which added greatly to the quality of the manuscript. This research was funded by the Carlsberg Foundation (Grant #2013_01_0233), the Danish Agency for Science and Higher Education (GCRC grants), and the Vetlesen Foundation. This work was supported by the Deutsche Forschungsgemeinschaft (DFG, German Research Foundation) in the framework of the priority program Antarctic Research with Comparative Investigations in Arctic Ice Areas SPP 1158 (Project No. 462615224). We acknowledge support by the Open Access Publication Funds of Alfred-Wegener-Institut Helmholtz-Zentrum fur Polar-und Meeresforschung.</t>
  </si>
  <si>
    <t>ACOUSTICAL SOC AMER AMER INST PHYSICS</t>
  </si>
  <si>
    <t>MELVILLE</t>
  </si>
  <si>
    <t>STE 1 NO 1, 2 HUNTINGTON QUADRANGLE, MELVILLE, NY 11747-4502 USA</t>
  </si>
  <si>
    <t>0001-4966</t>
  </si>
  <si>
    <t>1520-8524</t>
  </si>
  <si>
    <t>J ACOUST SOC AM</t>
  </si>
  <si>
    <t>J. Acoust. Soc. Am.</t>
  </si>
  <si>
    <t>10.1121/10.0009429</t>
  </si>
  <si>
    <t>Acoustics; Audiology &amp; Speech-Language Pathology</t>
  </si>
  <si>
    <t>ZL0KU</t>
  </si>
  <si>
    <t>WOS:000763370100002</t>
  </si>
  <si>
    <t>Puasa, NA; Ahmad, SA; Zakaria, NN; Shaharuddin, NA; Khalil, KA; Azmi, AA; Gomez-Fuentes, C; Merican, F; Zulkharnain, A; Kok, YY; Wong, CY</t>
  </si>
  <si>
    <t>Puasa, Nurul Aini; Ahmad, Siti Aqlima; Zakaria, Nur Nadhirah; Shaharuddin, Noor Azmi; Khalil, Khalilah Abdul; Azmi, Alyza Azzura; Gomez-Fuentes, Claudio; Merican, Faradina; Zulkharnain, Azham; Kok, Yih-Yih; Wong, Chiew-Yen</t>
  </si>
  <si>
    <t>Utilisation of Oil Palm's Empty Fruit Bunch Spikelets for Oil-Spill Removal</t>
  </si>
  <si>
    <t>AGRONOMY-BASEL</t>
  </si>
  <si>
    <t>agriculture waste; oil spills; spikelets; absorbed; treated</t>
  </si>
  <si>
    <t>FILTER SYSTEM; SORPTION; COMPOSITES; FIBERS; FOOD</t>
  </si>
  <si>
    <t>Agricultural sorbents have received attention for their effectiveness in oil removal. In Malaysia, oil palm's empty fruit bunch (EFB) spikelets are an abundant agricultural waste that provides a non-toxic, renewable resource of cellulosic materials. In this study, the effectiveness of EFB spikelets to remove oil spills from seawater pollution in a filter system was investigated and the best optimisation approach for filtering conditions was determined. Experiments for oil spill clean-up were performed using a filter-based oil sorption system with a series of conditions such as temperature, time, packing density, and oil concentration to evaluate sorption capacity, oil and water absorbed efficiency. Fourier transform infrared spectroscopy (FTIR) was used to characterise the physicochemical properties of untreated and treated EFB fibres. Based on one-factor-at -a-time (OFAT) analysis conducted at 160 degrees C for 30 min on 0.1 g/cm(3) of packing density containing 25% diesel, 8.667 mL of oil and 5 mL of water was absorbed. In response surface methodology (RSM), the three parameters of temperature, packing density and diesel concentration were observed as significant. From RSM fitting model analysis, the predicted value obtained for both oil and water absorbed were 8.805 and 5.213 mL, respectively. The experimental RSM values of 9 and 5 mL of oil and water absorbed were obtained. The result demonstrated the validity of the model as the experimental RSM values were close to the RSM model's prediction. As compared to OFAT, the RSM method is more efficient in oil removal. This research contributes to a better knowledge of the usage of a natural sorbent as a method of diesel pollution remediation.</t>
  </si>
  <si>
    <t>[Puasa, Nurul Aini; Ahmad, Siti Aqlima; Zakaria, Nur Nadhirah; Shaharuddin, Noor Azmi] Univ Putra Malaysia, Fac Biotechnol &amp; Biomol Sci, Dept Biochem, Serdang 43400, Selangor, Malaysia; [Ahmad, Siti Aqlima] Univ Putra Malaysia, Inst Trop Forestry &amp; Forest Prod INTROP, Lab Bioresource Management, Serdang 43400, Selangor, Malaysia; [Ahmad, Siti Aqlima; Gomez-Fuentes, Claudio] Univ Magallanes, Ctr Res &amp; Antarctic Environm Monitoring CIMAA, Avda Bulnes, Punta Arenas 01855, Chile; [Shaharuddin, Noor Azmi] Univ Putra Malaysia, Inst Plantat Studies, Serdang 43400, Selangor, Malaysia; [Khalil, Khalilah Abdul] Univ Teknol MARA, Fac Appl Sci, Sch Biol, Shah Alam 40450, Selangor, Malaysia; [Azmi, Alyza Azzura] Univ Malaysia Terengganu, Fac Sci &amp; Marine Environm, Terengganu 21030, Malaysia; [Gomez-Fuentes, Claudio] Univ Magallanes, Dept Chem Engn, Avda Bulnes, Punta Arenas 01855, Chile; [Merican, Faradina] Univ Sains Malaysia, Sch Biol Sci, Minden 11800, Pulau Pinang, Malaysia; [Zulkharnain, Azham] Shibaura Inst Technol, Coll Syst Engn &amp; Sci, Dept Biosci &amp; Engn, 307 Fukasaku, Saitama 3378570, Japan; [Kok, Yih-Yih; Wong, Chiew-Yen] Int Med Univ, Sch Hlth Sci, Kuala Lumpur 57000, Malaysia</t>
  </si>
  <si>
    <t>Universiti Putra Malaysia; Universiti Putra Malaysia; Universidad de Magallanes; Universiti Putra Malaysia; Universiti Teknologi MARA; Universiti Malaysia Terengganu; Universidad de Magallanes; Universiti Sains Malaysia; Shibaura Institute of Technology; International Medical University Malaysia</t>
  </si>
  <si>
    <t>Wong, CY (corresponding author), Int Med Univ, Sch Hlth Sci, Kuala Lumpur 57000, Malaysia.</t>
  </si>
  <si>
    <t>nurulainipuasa@gmail.com; aqlima@upm.edu.my; nadhirahairakaz@gmail.com; noorazmi@upm.edu.my; khali552@uitm.edu.my; alyza.azzura@umt.edu.my; claudio.gomez@umag.cl; faradina@usm.my; azham@shibaura-it.ac.jp; yihyih_kok@imu.edu.my; WongChiewYen@imu.edu.my</t>
  </si>
  <si>
    <t>Yen, Wong Chiew/AFY-1719-2022; Merican, Faradina/F-6785-2019; kok, yih yih/D-7860-2016; Gomez-Fuentes, Claudio/ACN-8984-2022</t>
  </si>
  <si>
    <t>Gomez-Fuentes, Claudio/0000-0001-9060-7727; Wong, Chiew-Yen/0000-0003-0534-6206; Zulkharnain, Azham/0000-0001-9173-8171; Ahmad, Siti Aqlima/0000-0002-7625-3704; Kok, Yih Yih/0000-0002-4999-7126</t>
  </si>
  <si>
    <t>International Medical University and Yayasan Penyelidikan Antartika Sultan Mizan (YPASM) Research Grant 2020 on Phytoremediation Potential of Antarctic Microalgae on Diesel Hydrocarbons; Putra-IPM Fund [GPM-2019/9678900]; Centro de Investigacion y Monitoreo Ambiental Antarctico (CIMAA); Majlis Amanah Rakyat (MARA)</t>
  </si>
  <si>
    <t>International Medical University and Yayasan Penyelidikan Antartika Sultan Mizan (YPASM) Research Grant 2020 on Phytoremediation Potential of Antarctic Microalgae on Diesel Hydrocarbons; Putra-IPM Fund; Centro de Investigacion y Monitoreo Ambiental Antarctico (CIMAA); Majlis Amanah Rakyat (MARA)</t>
  </si>
  <si>
    <t>This project was financially supported by International Medical University and Yayasan Penyelidikan Antartika Sultan Mizan (YPASM) Research Grant 2020 on Phytoremediation Potential of Antarctic Microalgae on Diesel Hydrocarbons; Putra-IPM Fund under the research grant attached to S.A.A. (GPM-2019/9678900) disbursed by Universiti Putra Malaysia (UPM); C.G.-F. was supported by Centro de Investigacion y Monitoreo Ambiental Antarctico (CIMAA); N.A.P. was funded by a personal scholarship from Majlis Amanah Rakyat (MARA).</t>
  </si>
  <si>
    <t>2073-4395</t>
  </si>
  <si>
    <t>Agronomy-Basel</t>
  </si>
  <si>
    <t>10.3390/agronomy12020535</t>
  </si>
  <si>
    <t>Agronomy; Plant Sciences</t>
  </si>
  <si>
    <t>Agriculture; Plant Sciences</t>
  </si>
  <si>
    <t>ZL8NY</t>
  </si>
  <si>
    <t>WOS:000763929300001</t>
  </si>
  <si>
    <t>Feuerecker, M; Strewe, C; Aumayr, M; Heitland, T; Limper, U; Crucian, B; Baatout, S; Chouker, A</t>
  </si>
  <si>
    <t>Feuerecker, Matthias; Strewe, Claudia; Aumayr, Martina; Heitland, Tim; Limper, Ulrich; Crucian, Brian; Baatout, Sarah; Chouker, Alexander</t>
  </si>
  <si>
    <t>One Year in the Extreme Isolation of Antarctica-Is This Enough to Modulate an Allergic Sensitization?</t>
  </si>
  <si>
    <t>BIOMEDICINES</t>
  </si>
  <si>
    <t>Antarctica; space mission like confinement; allergy; chip-based multiplex assay; sensitization; immune system</t>
  </si>
  <si>
    <t>(1) Background: After spending a year wintering in Antarctica, individual expedition members have reported increased or even new allergic reactions to environmental allergens after their return. (2) Methods: Blood samples from five overwintering crews were analyzed using the chip based multiplex ALEX Allergy Explorer (MacroArray Diagnostics GmbH, Austria). (3) Results: About one third of the 39 participants displayed specific IgEs against pollen. In most individuals, kinetics showed a reduction in the specific IgE at the time about nine months after deployment to Antarctica. Five participants had the highest specific IgE levels after returning to the normal world. The examination of the specific IgE relative to house dust mites and storage mites showed different kinetics. Six out of 10 had the highest specific IgE concentrations at the inner Antarctic measurement time point. These data corresponded well to the general situation in the stations. At the stations themselves, there were almost no pollen particle load, especially at Concordia. (4) Conclusions: Antarctic long-term confinement can induce an altered immune function, which is in some individuals pronounced after return to the familiar allergen environment. Future prospective studies in larger cohorts are needed to further specify these first results.</t>
  </si>
  <si>
    <t>[Feuerecker, Matthias; Strewe, Claudia; Chouker, Alexander] Ludwig Maximilians Univ Munchen, Univ Hosp, Dept Anesthesiol, D-81377 Munich, Germany; [Aumayr, Martina] MacroArray Diagnost GmbH, Lembockgasse 59 Top 4, A-1230 Vienna, Austria; [Heitland, Tim] Helmholtz Zentrum Polar &amp; Meeresforsch, Alfred Wegener Inst, D-27568 Bremerhaven, Germany; [Limper, Ulrich] Deutsch Zentrum Luft &amp; Raumfahrt DLR, Inst Luft &amp; Raumfahrtmed, D-51147 Cologne, Germany; [Crucian, Brian] NASA, Johnson Space Ctr, Houston, TX 77058 USA; [Baatout, Sarah] Belgian Nucl Res Ctr SCK CEN, Radiobiol Unit, B-2400 Mol, Belgium</t>
  </si>
  <si>
    <t>University of Munich; Helmholtz Association; Alfred Wegener Institute, Helmholtz Centre for Polar &amp; Marine Research; Helmholtz Association; German Aerospace Centre (DLR); National Aeronautics &amp; Space Administration (NASA); Belgian Nuclear Research Centre (SCK CEN)</t>
  </si>
  <si>
    <t>Chouker, A (corresponding author), Ludwig Maximilians Univ Munchen, Univ Hosp, Dept Anesthesiol, D-81377 Munich, Germany.</t>
  </si>
  <si>
    <t>matthias.feuerecker@med.uni-muenchen.de; claudia.strewe@med.uni-muenchen.de; aumayr@macroarraydx.com; tim.heitland@awi.de; Ulrich.Limper@dlr.de; brian.crucian-1@nasa.gov; sarah.baatout@sckcen.be; alexander.chouker@med.uni-muenchen.de</t>
  </si>
  <si>
    <t>Limper, Ulrich/0000-0001-9927-4180; Aumayr, Martina/0000-0002-8305-2564; Baatout, Sarah/0000-0001-8110-751X; Heitland, Tim/0000-0002-0336-9669; Feuerecker, Matthias/0000-0002-9773-083X</t>
  </si>
  <si>
    <t>German National Space Program (DLR) [50WB1317, 50WB1622]; Alfred Wegener Institute (AWI); Institut polaire francais Paul-Emile-Victor (IPEV); ESA PRODEX contracts [PEA 4000130301, PEA 4000109861]</t>
  </si>
  <si>
    <t>German National Space Program (DLR)(Helmholtz AssociationGerman Aerospace Centre (DLR)); Alfred Wegener Institute (AWI); Institut polaire francais Paul-Emile-Victor (IPEV); ESA PRODEX contracts</t>
  </si>
  <si>
    <t>This study was financially supported by the German National Space Program (Funding Number DLR, 50WB1317, 50WB1622) and by the Alfred Wegener Institute (AWI) and Institut polaire francais Paul-Emile-Victor (IPEV). Sarah Baatout is supported by ESA PRODEX contracts (PEA 4000130301 and PEA 4000109861).</t>
  </si>
  <si>
    <t>2227-9059</t>
  </si>
  <si>
    <t>Biomedicines</t>
  </si>
  <si>
    <t>10.3390/biomedicines10020448</t>
  </si>
  <si>
    <t>Biochemistry &amp; Molecular Biology; Medicine, Research &amp; Experimental; Pharmacology &amp; Pharmacy</t>
  </si>
  <si>
    <t>Biochemistry &amp; Molecular Biology; Research &amp; Experimental Medicine; Pharmacology &amp; Pharmacy</t>
  </si>
  <si>
    <t>ZO1YK</t>
  </si>
  <si>
    <t>WOS:000765527800001</t>
  </si>
  <si>
    <t>Tabassum, N; Lee, JH; Lee, SR; Kim, JU; Park, H; Kim, HW; Kim, JH</t>
  </si>
  <si>
    <t>Tabassum, Nazia; Lee, Ji-Hyun; Lee, Soo-Rin; Kim, Jong-U; Park, Hyun; Kim, Hyun-Woo; Kim, Jeong-Hoon</t>
  </si>
  <si>
    <t>Molecular Diet Analysis of Adelie Penguins (Pygoscelis adeliae) in the Ross Sea Using Fecal DNA</t>
  </si>
  <si>
    <t>BIOLOGY-BASEL</t>
  </si>
  <si>
    <t>Pygoscelis adeliae; Ross Sea; NGS; metabarcoding; diet analysis</t>
  </si>
  <si>
    <t>KING GEORGE ISLAND; TERRA-NOVA BAY; ANTARCTIC SILVERFISH; PLEURAGRAMMA-ANTARCTICUM; PREDATORS; ABUNDANCE; EMPEROR; CYCLE; LAND</t>
  </si>
  <si>
    <t>Simple Summary The diet of Adelie penguins, Pygoscelis adeliae, in the Ross Sea was studied applying quantitative polymerase chain reaction (qPCR) protocols to their feces. Two krill species (Euphausia superba and Euphausia crystallorophias) and notothenioid fish (mainly Pleuragramma antarctica and Pagothenia borchgrevinki) were among the most abundant components of the diet. The composition of the two krill species and notothenioid fish was found to be strongly related to the geographic characteristics of the Ross Sea. The diet of Adelie penguins, Pygoscelis adeliae, is a useful indicator in understanding the ecological conditions of their habitats. The diets of Adelie penguins were studied using metabarcoding and quantitative PCR (qPCR) analyses of fecal DNA from seven habitats along the Ross Sea region. Using metabarcoding analysis with dual universal primers (18Sv9 and miniFish), the overall diet composition and detailed information about piscine prey were clearly elucidated. It was found that two krill species (Euphausia superba and Euphausia crystallorophias) and notothenioid fish were the most abundant in the diets of Adelie penguins. Among the notothenioid prey, Pleuragramma antarctica (56.50%) and Pagothenia borchgrevinki (18.21%) were the two most abundant species. qPCR analysis showed a significant geographic difference in the composition of main prey. Penguins inhabiting outbound parts of the Ross Sea (Capes Adare (CA) and Duke of York Island (DY)) mainly preyed on E. superba, without any significant changes in prey composition. By contrast, those inhabiting the inbound parts of the Ross Sea (Edmonson Point (EP) and Inexpressible Island (II)) preyed on E. crystallorophias and notothenioid fish rather than E. superba. Compared with the outbound habitats, prey compositions for penguins inhabiting the inbound regions were significantly different year to year, which was presumably due to the food availability based on the annual environmental and meteorological conditions of the coastal region along with the inbound parts of the Ross Sea.</t>
  </si>
  <si>
    <t>[Tabassum, Nazia; Lee, Soo-Rin] Pukyong Natl Univ, Ind 4 0 Convergence Bion Engn, Busan 48513, South Korea; [Lee, Ji-Hyun; Kim, Hyun-Woo] Pukyong Natl Univ, Dept Marine Biol, Busan 48516, South Korea; [Kim, Jong-U; Kim, Jeong-Hoon] Korea Polar Res Inst, Div Life Sci, Incheon 21990, South Korea; [Park, Hyun] Korea Univ, Dept Biotechnol, Seoul 02841, South Korea; [Kim, Hyun-Woo] Pukyong Natl Univ, Natl Key Res Inst Univ, Marine Integrated Biomed Technol Ctr, Busan 48513, South Korea</t>
  </si>
  <si>
    <t>Pukyong National University; Pukyong National University; Korea Polar Research Institute (KOPRI); Korea University; Pukyong National University</t>
  </si>
  <si>
    <t>Kim, HW (corresponding author), Pukyong Natl Univ, Dept Marine Biol, Busan 48516, South Korea.;Kim, JH (corresponding author), Korea Polar Res Inst, Div Life Sci, Incheon 21990, South Korea.;Kim, HW (corresponding author), Pukyong Natl Univ, Natl Key Res Inst Univ, Marine Integrated Biomed Technol Ctr, Busan 48513, South Korea.</t>
  </si>
  <si>
    <t>naziaat110@gmail.com; jhlee208@pukyong.ac.kr; srlee090@pukyong.ac.kr; wildlife@kopri.re.kr; hpark@korea.ac.kr; kimhw@pknu.ac.kr; jhkim94@kopri.re.kr</t>
  </si>
  <si>
    <t>Kim, Hyun-Woo/AFN-9184-2022</t>
  </si>
  <si>
    <t>Kim, Hyun-Woo/0000-0003-1357-5893; Park, Hyun/0000-0002-8055-2010; Tabassum, Nazia/0000-0002-9314-9124; Kim, Jeong-Hoon/0000-0002-2397-2668; KIM, JONG-U/0000-0001-7790-1817</t>
  </si>
  <si>
    <t>2079-7737</t>
  </si>
  <si>
    <t>Biology-Basel</t>
  </si>
  <si>
    <t>10.3390/biology11020182</t>
  </si>
  <si>
    <t>ZL8LM</t>
  </si>
  <si>
    <t>WOS:000763922900001</t>
  </si>
  <si>
    <t>Liu, CD; Li, J; Tang, QH; Qi, JW; Zhou, XH</t>
  </si>
  <si>
    <t>Liu, Changda; Li, Jie; Tang, Qiuhua; Qi, Jiawei; Zhou, Xinghua</t>
  </si>
  <si>
    <t>Classifying the Nunivak Island Coastline Using the Random Forest Integration of the Sentinel-2 and ICESat-2 Data</t>
  </si>
  <si>
    <t>LAND</t>
  </si>
  <si>
    <t>shore zone classification; ICESat-2; Sentinel-2; Google Earth Engine; random forest</t>
  </si>
  <si>
    <t>INDEX; WATER; RED</t>
  </si>
  <si>
    <t>Shore zone information is essential for coastal habitat assessment, environmental hazard monitoring, and resource conservation. However, traditional coastal zone classification mainly relies on in situ measurements and expert knowledge interpretation, which are costly and inefficient. This study classifies a shore zone area using satellite remote sensing data only and investigates the effect of the statistical indicators from Ice, Cloud, and Land Elevation Satellite-2 (ICESat-2) information with the Sentinel-2 data-derived spectral variables on the prediction results. Google Earth Engine was used to synthesize long time-series Sentinel-2 images, and different features were calculated for this synthetic image. Then, statistical indicators reflecting the characteristics of the shore zone profile were extracted from ICESat-2. Finally, a random forest algorithm was used to develop characteristics and shore zone classification. Comparing the results with the data measured shows that the proposed method can effectively classify the shore zone; it has an accuracy of 83.61% and a kappa coefficient of 0.81.</t>
  </si>
  <si>
    <t>[Liu, Changda; Li, Jie; Tang, Qiuhua; Zhou, Xinghua] Minist Nat Resources, Inst Oceanog 1, Qingdao 266061, Peoples R China; [Li, Jie] Minist Nat Resources, Key Lab Ocean Geomat, Qingdao 266590, Peoples R China; [Qi, Jiawei] Shandong Univ Sci &amp; Technol, Coll Geodesy &amp; Geomat, Qingdao 266590, Peoples R China; [Zhou, Xinghua] Shandong Univ Sci &amp; Technol, Coll Marine Sci &amp; Engn, Qingdao 266590, Peoples R China</t>
  </si>
  <si>
    <t>First Institute of Oceanography, Ministry of Natural Resources; Ministry of Natural Resources of the People's Republic of China; Ministry of Natural Resources of the People's Republic of China; Shandong University of Science &amp; Technology; Shandong University of Science &amp; Technology</t>
  </si>
  <si>
    <t>Li, J (corresponding author), Minist Nat Resources, Inst Oceanog 1, Qingdao 266061, Peoples R China.;Li, J (corresponding author), Minist Nat Resources, Key Lab Ocean Geomat, Qingdao 266590, Peoples R China.</t>
  </si>
  <si>
    <t>cdliu@fio.org.cn; lijie@fio.org.cn; tangqiuhua@fio.org.cn; jiaweiqi2019@sdust.edu.cn; xhzhou@fio.org.cn</t>
  </si>
  <si>
    <t>zhou, xing/GQP-4516-2022; zhou, xt/GWZ-9212-2022; Zhou, Xiangfeng/KDO-8724-2024</t>
  </si>
  <si>
    <t>Tang, Qiuhua/0000-0001-8839-1859; Li, Jie/0000-0001-5865-3440; Qi, Jiawei/0000-0001-8379-3293</t>
  </si>
  <si>
    <t>National Natural Science Foundation of China [41876111, 41871381]; Key Laboratory of Ocean Geomatics, Ministry of Natural Resources, China [2021B04]; Chinese Arctic and Antarctic Administration Project [IRASCC 2020-2022]</t>
  </si>
  <si>
    <t>National Natural Science Foundation of China(National Natural Science Foundation of China (NSFC)); Key Laboratory of Ocean Geomatics, Ministry of Natural Resources, China; Chinese Arctic and Antarctic Administration Project</t>
  </si>
  <si>
    <t>This research is funded by the National Natural Science Foundation of China (41876111, 41871381); Key Laboratory of Ocean Geomatics, Ministry of Natural Resources, China (Grant No.2021B04); and Chinese Arctic and Antarctic Administration Project (IRASCC 2020-2022).</t>
  </si>
  <si>
    <t>2073-445X</t>
  </si>
  <si>
    <t>LAND-BASEL</t>
  </si>
  <si>
    <t>Land</t>
  </si>
  <si>
    <t>10.3390/land11020240</t>
  </si>
  <si>
    <t>Environmental Studies</t>
  </si>
  <si>
    <t>ZN0ER</t>
  </si>
  <si>
    <t>WOS:000764719100001</t>
  </si>
  <si>
    <t>Fan, Y; Hao, WF; Zhang, BJ; Ma, C; Gao, SJ; Shen, X; Li, F</t>
  </si>
  <si>
    <t>Fan, Yi; Hao, Weifeng; Zhang, Baojun; Ma, Chao; Gao, Shengjun; Shen, Xiao; Li, Fei</t>
  </si>
  <si>
    <t>Monitoring the Hydrological Activities of Antarctic Subglacial Lakes Using CryoSat-2 and ICESat-2 Altimetry Data</t>
  </si>
  <si>
    <t>Antarctic; satellite altimetry; ice surface elevation change; subglacial lake activity; subglacial hydrology</t>
  </si>
  <si>
    <t>MACAYEAL ICE STREAM; WEST ANTARCTICA; SURFACE; BENEATH; INVENTORY; ENVISAT; SYSTEM; SHEET; MODEL</t>
  </si>
  <si>
    <t>Monitoring the hydrological activities of subglacial lakes is critical to understanding the subglacial hydrological system and evaluating the internal mass changes of the Antarctic ice sheet. Drainage or filling events of active lakes lead to elevation changes in the ice surface. These changes can be observed by satellite altimetry, but the monitoring must be conducted continuously since the water movements in active subglacial lakes may occur frequently. We used CryoSat-2 Baseline-D and ICESat-2 data from 2010 to 2020 to obtain the time series of the ice surface elevation changes for 17 active lakes. We also evaluated the uncertainty of the time series derived from the CryoSat-2 data by cross-validation. The mean and RMS of the biases between the CryoSat-2-based and ICESat-2-based time series are generally less than 0.3 m and 1.0 m, respectively. However, the mean and RMS are greater over the lakes with rough ice surfaces, such as Whillans(6), KT1, Mac3, and Slessor(23). The drainage and filling events continue exhibiting in the extended period and the hydrological activities of SLW, L12, Whillans(6), L78, and Mac1 occurred periodically. Furthermore, we inferred the hydrological connections between the lakes combining simulated water pathways.</t>
  </si>
  <si>
    <t>[Fan, Yi; Hao, Weifeng; Zhang, Baojun; Ma, Chao; Gao, Shengjun; Shen, Xiao; Li, Fei] Wuhan Univ, Chinese Antarctic Ctr Surveying &amp; Mapping, Wuhan 430079, Peoples R China; [Hao, Weifeng; Li, Fei] Minist Nat Resources, Key Lab Polar Surveying &amp; Mapping, Wuhan 430079, Peoples R China</t>
  </si>
  <si>
    <t>Wuhan University; Ministry of Natural Resources of the People's Republic of China</t>
  </si>
  <si>
    <t>Hao, WF (corresponding author), Wuhan Univ, Chinese Antarctic Ctr Surveying &amp; Mapping, Wuhan 430079, Peoples R China.;Hao, WF (corresponding author), Minist Nat Resources, Key Lab Polar Surveying &amp; Mapping, Wuhan 430079, Peoples R China.</t>
  </si>
  <si>
    <t>fany@whu.edu.cn; haowf@whu.edu.cn; bjzhang@whu.edu.cn; macwhu@whu.edu.cn; sjgao@whu.edu.cn; cacsmsx@whu.edu.cn; fli@whu.edu.cn</t>
  </si>
  <si>
    <t>hao, weifeng/0000-0001-7231-8956; Zhang, Baojun/0000-0001-5438-8723</t>
  </si>
  <si>
    <t>10.3390/rs14040898</t>
  </si>
  <si>
    <t>ZN6BL</t>
  </si>
  <si>
    <t>WOS:000765117200001</t>
  </si>
  <si>
    <t>Hu, YY; Shao, WZ; Li, J; Zhang, CL; Cheng, LQ; Ji, QY</t>
  </si>
  <si>
    <t>Hu, Yuyi; Shao, Weizeng; Li, Jun; Zhang, Chunling; Cheng, Lingqiao; Ji, Qiyan</t>
  </si>
  <si>
    <t>Short-Term Variations in Water Temperature of the Antarctic Surface Layer</t>
  </si>
  <si>
    <t>JOURNAL OF MARINE SCIENCE AND ENGINEERING</t>
  </si>
  <si>
    <t>waves; sea surface temperature; Antarctic surface water</t>
  </si>
  <si>
    <t>SOUTH CHINA SEA; OCEAN MODEL; CIRCULATION MODEL; COASTAL OCEAN; WIND-WAVES; TRANSPORT; NORTH; SIMULATION; PRESSURE; CLIMATE</t>
  </si>
  <si>
    <t>Against the background of global climate change, the warming water temperature of Antarctic surface water (&lt;500 m) is worthy of study. Therefore, the purpose of this study was to investigate short-term variations in the water temperature of Antarctic surface water from January 2000 to December 2016, using offline coupled ocean models, i.e., the WAVEWATCH-III (WW3) model and the Stony Brook Parallel Ocean Model (sbPOM). The validation of the WW3-simulated significant wave height (SWH) against the measurements from the Jason-2 altimeter produced a root mean square error (RMSE) of 0.39 m with a 0.30-m bias. Moreover, the sbPOM-simulated water temperatures were compared with the collocated measurements from Argo buoys, yielding, and RMSE for water temperatures of less than 1.0 degrees C and a correlation coefficient (COR) of 0.92. The annual variation in the sbPOM-simulated water temperatures of the Antarctic surface water layer showed that the sea surface temperatures (SSTs) of the Pacific Ocean and Atlantic Ocean were greater than the SST of the Indian Ocean. Moreover, the SST rapidly increased to 2 degrees C in the Pacific Ocean in specific years due to El Nino and La Nina events. The vertical profile of the water temperature showed that the depth of the cool water in the Indian Ocean has decreased to 100 m since 2008, while the depth in the Pacific Ocean and Atlantic Ocean is about 200 m. It was also found that the seasonal variations in the water temperature at depths of 0 m, 50 m, and 100 m in the Pacific Ocean were more sensitive to El Nino events between January and June. However, it was revealed in this work that the increasing intensity of El Nino and La Nina events could reduce water warming in the Pacific Ocean.</t>
  </si>
  <si>
    <t>[Hu, Yuyi; Shao, Weizeng; Zhang, Chunling; Cheng, Lingqiao] Shanghai Ocean Univ, Coll Marine Sci, Shanghai 201306, Peoples R China; [Hu, Yuyi; Shao, Weizeng] Minist Nat Resources, East China Sea Environm Monitoring, Shanghai 201306, Peoples R China; [Ji, Qiyan] Zhejiang Ocean Univ, Coll Marine Sci &amp; Technol, Zhoushan 316000, Peoples R China</t>
  </si>
  <si>
    <t>Shanghai Ocean University; Ministry of Natural Resources of the People's Republic of China; Zhejiang Ocean University</t>
  </si>
  <si>
    <t>Shao, WZ (corresponding author), Shanghai Ocean Univ, Coll Marine Sci, Shanghai 201306, Peoples R China.;Shao, WZ (corresponding author), Minist Nat Resources, East China Sea Environm Monitoring, Shanghai 201306, Peoples R China.</t>
  </si>
  <si>
    <t>d210200046@st.shou.edu.cn; wzshao@shou.edu.cn; lij@ecs.mnr.gov.cn; clzhang@shou.edu.cn; lqcheng@shou.edu.cn; jiqiyan@zjou.edu.cn</t>
  </si>
  <si>
    <t>zhang, chunmei/IUQ-7038-2023; Zhang, Chun/GRE-8915-2022; zhang, cl/JDW-6549-2023</t>
  </si>
  <si>
    <t>shao, weizeng/0000-0003-3693-6217</t>
  </si>
  <si>
    <t>National Natural Science Foundation of China [42076238, 42176012, 41806005, 42130402]; National Key Research and Development Program of China [2017YFA0604901]; Shanghai Frontiers Research Center of the Hadal Biosphere</t>
  </si>
  <si>
    <t>National Natural Science Foundation of China(National Natural Science Foundation of China (NSFC)); National Key Research and Development Program of China; Shanghai Frontiers Research Center of the Hadal Biosphere</t>
  </si>
  <si>
    <t>This research was funded by the National Natural Science Foundation of China under contract nos. 42076238, 42176012, 41806005 and 42130402, the National Key Research and Development Program of China under contract no. 2017YFA0604901 and the Shanghai Frontiers Research Center of the Hadal Biosphere.</t>
  </si>
  <si>
    <t>2077-1312</t>
  </si>
  <si>
    <t>J MAR SCI ENG</t>
  </si>
  <si>
    <t>J. Mar. Sci. Eng.</t>
  </si>
  <si>
    <t>10.3390/jmse10020287</t>
  </si>
  <si>
    <t>Engineering, Marine; Engineering, Ocean; Oceanography</t>
  </si>
  <si>
    <t>Engineering; Oceanography</t>
  </si>
  <si>
    <t>ZL5PO</t>
  </si>
  <si>
    <t>WOS:000763729200001</t>
  </si>
  <si>
    <t>Villalobos-Barrantes, HM; Meriño, BM; Walter, HE; Guerrero, PC</t>
  </si>
  <si>
    <t>Villalobos-Barrantes, Heidy M.; Merino, Beatriz M.; Walter, Helmut E.; Guerrero, Pablo C.</t>
  </si>
  <si>
    <t>Independent Evolutionary Lineages in a Globular Cactus Species Complex Reveals Hidden Diversity in a Central Chile Biodiversity Hotspot</t>
  </si>
  <si>
    <t>GENES</t>
  </si>
  <si>
    <t>endemism; Cactaceae; Neotropical biodiversity; Mediterranean biome; Central Chile</t>
  </si>
  <si>
    <t>PLANT; DIVERSIFICATION; FORESTS; DIVERGENCE; CACTACEAE; INFERENCE; SOFTWARE; HISTORY; CYCLES; ANDES</t>
  </si>
  <si>
    <t>Unraveling the processes involved in the origin of a substantial fraction of biodiversity can be a particularly difficult task in groups of similar, and often convergent, morphologies. The genus Eriosyce (Cactaceae) might present a greater specific diversity since much of its species richness might be hidden in morphological species complexes. The aim of this study was to investigate species delimitation using the molecular data of the globose cacti E. curvispina, which harbor several populations of unclear evolutionary relationships. We ran phylogenetic inferences on 87 taxa of Eriosyce, including nine E. curvispina populations, and by analyzing three plastid noncoding introns, one plastid and one nuclear gene. Additionally, we developed 12 new pairs of nuclear microsatellites to evaluate the population-level genetic structure. We identified four groups that originated in independent cladogenetic events occurring at different temporal depths; these groups presented high genetic diversity, and their populations were genetically structured. These results suggest a complex evolutionary history in the origin of globular cacti, with independent speciation events occurring at different time spans. This cryptic richness is underestimated in the Mediterranean flora of central Chile, and thus unique evolutionary diversity could be overlooked in conservation and management actions.</t>
  </si>
  <si>
    <t>[Villalobos-Barrantes, Heidy M.; Merino, Beatriz M.; Guerrero, Pablo C.] Univ Concepcion, Fac Ciencias Nat &amp; Oceanog, Dept Bot, Concepcion 4030000, Chile; [Villalobos-Barrantes, Heidy M.] Univ Costa Rica, Escuela Quim, San Jose 115012060, Costa Rica; [Villalobos-Barrantes, Heidy M.] Univ Costa Rica, Ctr Invest Biol Celular &amp; Mol, San Jose 115012060, Costa Rica; [Merino, Beatriz M.; Guerrero, Pablo C.] Inst Ecol &amp; Biodivers IEB, Concepcion 4030000, Chile; [Walter, Helmut E.] EXSIS Project Cactaceae Ex Situ &amp; Situ Conservat, D-31860 Emmerthal, Germany; [Guerrero, Pablo C.] Millennium Inst Biodivers Antarctic &amp; Subantarct, Santiago 7800003, Chile</t>
  </si>
  <si>
    <t>Universidad de Concepcion; Universidad Costa Rica; Universidad Costa Rica</t>
  </si>
  <si>
    <t>Guerrero, PC (corresponding author), Univ Concepcion, Fac Ciencias Nat &amp; Oceanog, Dept Bot, Concepcion 4030000, Chile.;Guerrero, PC (corresponding author), Inst Ecol &amp; Biodivers IEB, Concepcion 4030000, Chile.;Guerrero, PC (corresponding author), Millennium Inst Biodivers Antarctic &amp; Subantarct, Santiago 7800003, Chile.</t>
  </si>
  <si>
    <t>hemaviba@gmail.com; b.vergara.m@gmail.com; hw582133@gmail.com; pabloguerrero@udec.cl</t>
  </si>
  <si>
    <t>; Guerrero, Pablo/J-4296-2012</t>
  </si>
  <si>
    <t>Villalobos-Barrantes, Heidy M./0000-0003-3657-4439; Guerrero, Pablo/0000-0003-1034-1899; Merino, Beatriz/0000-0002-9518-2331</t>
  </si>
  <si>
    <t>2073-4425</t>
  </si>
  <si>
    <t>GENES-BASEL</t>
  </si>
  <si>
    <t>Genes</t>
  </si>
  <si>
    <t>10.3390/genes13020240</t>
  </si>
  <si>
    <t>Genetics &amp; Heredity</t>
  </si>
  <si>
    <t>ZK5KF</t>
  </si>
  <si>
    <t>WOS:000763026000001</t>
  </si>
  <si>
    <t>Oh, JH; Noh, KM; Lim, HG; Jin, EK; Jun, SY; Kug, JS</t>
  </si>
  <si>
    <t>Oh, Ji-Hoon; Noh, Kyung Min; Lim, Hyung-Gyu; Jin, Emilia Kyung; Jun, Sang-Yoon; Kug, Jong-Seong</t>
  </si>
  <si>
    <t>Antarctic meltwater-induced dynamical changes in phytoplankton in the Southern Ocean</t>
  </si>
  <si>
    <t>ENVIRONMENTAL RESEARCH LETTERS</t>
  </si>
  <si>
    <t>Antarctic meltwater; Antarctic ice-sheet; shelf; Southern Ocean; chlorophyll; phytoplankton</t>
  </si>
  <si>
    <t>ICE SHELVES; FRESH-WATER; SEA-ICE; CLIMATE; BIOGEOCHEMISTRY; SENSITIVITY; FORMULATION; ECOSYSTEMS; NUTRIENT; MODELS</t>
  </si>
  <si>
    <t>It has been suggested that the freshwater flux due to the recent melting of the Antarctic ice-sheet/shelf will suppress ventilation in the Southern Ocean (SO). In this study, we performed idealized earth-system simulations to examine the impacts of Antarctic meltwater on the biomass of surface phytoplankton in the Antarctic Ocean. The enhanced stratification due to the meltwater leads to a decrease in surface nitrate concentration, but an increase in the surface concentration of dissolved iron. These changes are associated with the reduced upwelling of nitrate-rich deep water and the trapped iron exported from terrestrial sediment. Because of the limited iron availability in the SO, the trapped iron in surface water enhances the chlorophyll concentration in the open ocean. However, in the marginal sea along the Antarctic coastline where the iron is relatively sufficient, a nitrate reduction induces a chlorophyll decrease, indicating a regime shift from iron-limited to nitrate-limited conditions.</t>
  </si>
  <si>
    <t>[Oh, Ji-Hoon; Noh, Kyung Min; Lim, Hyung-Gyu; Kug, Jong-Seong] Pohang Univ Sci &amp; Technol POSTECH, Div Environm Sci &amp; Engn, Pohang 37673, South Korea; [Lim, Hyung-Gyu] Princeton Univ, Atmosphere &amp; Ocean Sci Program, Princeton, NJ 08540 USA; [Jin, Emilia Kyung; Jun, Sang-Yoon] Korea Polar Res Inst KOPRI, Incheon 21990, South Korea; [Kug, Jong-Seong] Yonsei Univ, Inst Convergence Res &amp; Educ Adv Technol, Seoul, South Korea</t>
  </si>
  <si>
    <t>Pohang University of Science &amp; Technology (POSTECH); Princeton University; Korea Polar Research Institute (KOPRI); Yonsei University</t>
  </si>
  <si>
    <t>Kug, JS (corresponding author), Pohang Univ Sci &amp; Technol POSTECH, Div Environm Sci &amp; Engn, Pohang 37673, South Korea.;Kug, JS (corresponding author), Yonsei Univ, Inst Convergence Res &amp; Educ Adv Technol, Seoul, South Korea.</t>
  </si>
  <si>
    <t>jskug@postech.ac.kr</t>
  </si>
  <si>
    <t>oh, ji-hoon/HLH-1827-2023; Lim, Hyung-Gyu/GYD-9716-2022; KUG, JONG-SEONG/A-8053-2013</t>
  </si>
  <si>
    <t>Lim, Hyung-Gyu/0000-0002-0746-5332; Oh, Ji-Hoon/0000-0001-8484-8997; KUG, JONG-SEONG/0000-0003-2251-2579; Noh, Kyung-Min/0000-0003-4233-4490</t>
  </si>
  <si>
    <t>Korean Ministry of Oceans and Fisheries [KIMST20190361, PM20020]; National Research Foundation of Korea [NRF-2021M3I6A1086808]</t>
  </si>
  <si>
    <t>Korean Ministry of Oceans and Fisheries; National Research Foundation of Korea(National Research Foundation of Korea)</t>
  </si>
  <si>
    <t>This work was sponsored by a research grant from the Korean Ministry of Oceans and Fisheries (KIMST20190361 and PM20020), and the National Research Foundation of Korea (NRF-2021M3I6A1086808).</t>
  </si>
  <si>
    <t>IOP Publishing Ltd</t>
  </si>
  <si>
    <t>BRISTOL</t>
  </si>
  <si>
    <t>TEMPLE CIRCUS, TEMPLE WAY, BRISTOL BS1 6BE, ENGLAND</t>
  </si>
  <si>
    <t>1748-9326</t>
  </si>
  <si>
    <t>ENVIRON RES LETT</t>
  </si>
  <si>
    <t>Environ. Res. Lett.</t>
  </si>
  <si>
    <t>10.1088/1748-9326/ac444e</t>
  </si>
  <si>
    <t>YW8CH</t>
  </si>
  <si>
    <t>WOS:000753640300001</t>
  </si>
  <si>
    <t>Zheng, GG; Liu, XC; Pei, JL; Zhao, Y; Chen, H; Li, JF</t>
  </si>
  <si>
    <t>Zheng, Guang-Gao; Liu, Xiaochun; Pei, Junling; Zhao, Yue; Chen, Hong; Li, Jianfeng</t>
  </si>
  <si>
    <t>Early Palaeogene mafic-intermediate dykes, Robert Island, West Antarctica: Petrogenesis, zircon U-Pb geochronology, and tectonic significance</t>
  </si>
  <si>
    <t>GEOLOGICAL JOURNAL</t>
  </si>
  <si>
    <t>arc magmatism; depleted mantle reservoirs; geochemistry; South Shetland Islands; zircon Lu-Hf isotopes</t>
  </si>
  <si>
    <t>SOUTH SHETLAND ISLANDS; KING-GEORGE-ISLAND; SUBDUCTION HISTORY; BARTON PENINSULA; VOLCANIC-ROCKS; ARC; HF; GEOCHEMISTRY; EVOLUTION; MANTLE</t>
  </si>
  <si>
    <t>Geochemical, geochronological, and Lu-Hf isotopic data for mafic-intermediate dykes on Robert Island, West Antarctica, are systematically investigated in order to decipher their petrogenesis and the genetic relationship between the South Shetland Islands and the north-western Antarctic Peninsula. These dykes are enriched in large-ion lithophile elements with significantly negative Nb and Ta anomalies, and low (Hf/Sm)(N) and (Nb/La)(N) and high Ba/La and Ba/Th ratios, with high epsilon(Hf)(t) values of +8.2 to +14.2. They were derived from partial melting of depleted mantle metasomatized by slab-derived fluids. Precise ages of 55-54 Ma for the dykes confirm the occurrence of Early Eocene magmatism on Robert Island, corresponding to the final peak of subduction-related magmatism. The available data suggest that Early Palaeogene (62-54 Ma) igneous rocks on the South Shetland Islands and the north-western Antarctic Peninsula are products of contemporaneous and different lithofacies magmatism with precursors originating from depleted mantle in a magmatic arc setting. Furthermore, the Early Palaeogene igneous activities were most likely associated with slab rollback and extension in fore-arc regions resulting from the decreasing convergence rate for the subduction of the Phoenix Plate beneath the Antarctic Plate at similar to 60 Ma.</t>
  </si>
  <si>
    <t>[Zheng, Guang-Gao; Liu, Xiaochun; Pei, Junling; Zhao, Yue; Chen, Hong; Li, Jianfeng] Chinese Acad Geol Sci, Inst Geomechan, 11 Minzudaxue Nanlu, Beijing 100081, Peoples R China; [Zheng, Guang-Gao; Liu, Xiaochun; Pei, Junling; Zhao, Yue; Li, Jianfeng] China Geol Survey, Res Ctr Polar Geosci, Beijing, Peoples R China; [Zheng, Guang-Gao; Liu, Xiaochun; Pei, Junling; Zhao, Yue; Li, Jianfeng] Minist Nat Resources, Key Lab Paleomagnetism &amp; Tecton Reconstruct, Beijing, Peoples R China</t>
  </si>
  <si>
    <t>China Geological Survey; Chinese Academy of Geological Sciences; China Geological Survey; Ministry of Natural Resources of the People's Republic of China</t>
  </si>
  <si>
    <t>Zheng, GG (corresponding author), Chinese Acad Geol Sci, Inst Geomechan, 11 Minzudaxue Nanlu, Beijing 100081, Peoples R China.</t>
  </si>
  <si>
    <t>tiangang755@163.com</t>
  </si>
  <si>
    <t>Zheng, Guang-Gao/0000-0003-3868-6493; Chen, Hong/0000-0002-6081-9232</t>
  </si>
  <si>
    <t>National Natural Science Foundation of China [41802066, 41930218, 41941004, 41372082]; Fundamental Research Funds of the Chinese Academy of Geological Sciences [JYYWF201819, DZLXJK202102]; Geological Investigation Project of the Chinese Geological Survey [DD20190579]</t>
  </si>
  <si>
    <t>National Natural Science Foundation of China(National Natural Science Foundation of China (NSFC)); Fundamental Research Funds of the Chinese Academy of Geological Sciences; Geological Investigation Project of the Chinese Geological Survey</t>
  </si>
  <si>
    <t>National Natural Science Foundation of China : 41930218 : 41941004 : 41372082, Grant/ Award Number: 41802066; Fundamental Research Funds of the Chinese Academy of Geological Sciences : JYYWF201819, Grant/ Award Number: DZLXJK202102; Geological Investigation Project of the Chinese Geological Survey, Grant/Award Number: DD20190579</t>
  </si>
  <si>
    <t>0072-1050</t>
  </si>
  <si>
    <t>1099-1034</t>
  </si>
  <si>
    <t>GEOL J</t>
  </si>
  <si>
    <t>Geol. J.</t>
  </si>
  <si>
    <t>10.1002/gj.4402</t>
  </si>
  <si>
    <t>2A7TK</t>
  </si>
  <si>
    <t>WOS:000749422700001</t>
  </si>
  <si>
    <t>Morley, SA; Souster, TA; Vause, BJ; Gerrish, L; Peck, LS; Barnes, DKA</t>
  </si>
  <si>
    <t>Morley, Simon A.; Souster, Terri A.; Vause, Belinda J.; Gerrish, Laura; Peck, Lloyd S.; Barnes, David K. A.</t>
  </si>
  <si>
    <t>Benthic Biodiversity, Carbon Storage and the Potential for Increasing Negative Feedbacks on Climate Change in Shallow Waters of the Antarctic Peninsula</t>
  </si>
  <si>
    <t>Antarctic; benthic blue carbon; carbon sequestration; cryosphere; climate change mitigation; benthic biodiversity</t>
  </si>
  <si>
    <t>KING-GEORGE ISLAND; RESTORATION ECOLOGY; ADELAIDE ISLAND; SOUTHERN-OCEAN; ICE SCOUR; MACROALGAE; COMMUNITIES; EXPANSION; RESPONSES; SERVICES</t>
  </si>
  <si>
    <t>Simple Summary Seafloor biodiversity provides a key ecosystem service, as an efficient route for carbon to be removed from the atmosphere to become buried (long-term) in marine sediment. Protecting near intact ecosystems, particularly those that are hotspots of biodiversity, with high numbers of unique species (endemics), is increasingly being recognised as the best route to protect existing blue carbon. This study measured globally significant stocks of blue carbon held within both rocky (17.5 tonnes carbon km(-2)) and soft (4.1 t C km(-2)) substrata shallow (20 m) seafloor communities along the Antarctic Peninsula. Along the 7998 km of seasonally ice-free shoreline, 59% of known dive sites were classified as rocky and 12% as soft substratum. This gave estimates of 253k t C in animals and plants found at 20 m depth, with a potential sequestration of 4.5k t C year(-1). More carbon was stored in assemblages with greater functional groups. Of the Antarctic Peninsula shore, 54% is still permanently ice covered, and so blue carbon ecosystem services are expected to more than double with continued climate warming. As one of the few increasing negative feedbacks against climate change, protecting seafloor communities around the Antarctic is expected to help tackle both the biodiversity and climate crises. The importance of cold-water blue carbon as biological carbon pumps that sequester carbon into ocean sediments is now being realised. Most polar blue carbon research to date has focussed on deep water, yet the highest productivity is in the shallows. This study measured the functional biodiversity and carbon standing stock accumulated by shallow-water (&lt;25 m) benthic assemblages on both hard and soft substrata on the Antarctic Peninsula (WAP, 67 degrees S). Soft substrata benthic assemblages (391 +/- 499 t C km(-2)) contained 60% less carbon than hard substrata benthic assemblages (648 +/- 909). In situ observations of substrata by SCUBA divers provided estimates of 59% hard (4700 km) and 12% soft (960 km) substrata on seasonally ice-free shores of the Antarctic Peninsula, giving an estimate of 253,000 t C at 20 m depth, with a sequestration potential of ~4500 t C year(-1). Currently, 54% of the shoreline is permanently ice covered and so climate-mediated ice loss along the Peninsula is predicted to more than double this carbon sink. The steep fjordic shorelines make these assemblages a globally important pathway to sequestration, acting as one of the few negative (mitigating) feedbacks to climate change. The proposed WAP marine protected area could safeguard this ecosystem service, helping to tackle the climate and biodiversity crises.</t>
  </si>
  <si>
    <t>[Morley, Simon A.; Souster, Terri A.; Vause, Belinda J.; Gerrish, Laura; Peck, Lloyd S.; Barnes, David K. A.] British Antarctic Survey, High Cross,Madingley Rd, Cambridge CB3 0ET, England; [Souster, Terri A.] Norges Arktisk Univ, Fac Biosci Fisheries &amp; Econ, Hansine Hansens Veg 18, N-9019 Tromso, Norway</t>
  </si>
  <si>
    <t>UK Research &amp; Innovation (UKRI); Natural Environment Research Council (NERC); NERC British Antarctic Survey; UiT The Arctic University of Tromso</t>
  </si>
  <si>
    <t>Morley, SA (corresponding author), British Antarctic Survey, High Cross,Madingley Rd, Cambridge CB3 0ET, England.</t>
  </si>
  <si>
    <t>smor@bas.ac.uk; terri.souster@uit.no; belindavause@hotmail.com; lauger@bas.ac.uk; lspe@bas.ac.uk; dkab@bas.ac.uk</t>
  </si>
  <si>
    <t>Souster, Terri/HJY-6034-2023</t>
  </si>
  <si>
    <t>Souster, Terri/0000-0002-7585-1999; Morley, Simon/0000-0002-7761-660X; Barnes, David/0000-0002-9076-7867; Peck, Lloyd/0000-0003-3479-6791</t>
  </si>
  <si>
    <t>10.3390/biology11020320</t>
  </si>
  <si>
    <t>ZJ1JO</t>
  </si>
  <si>
    <t>WOS:000762068300001</t>
  </si>
  <si>
    <t>Pang, XP; Liu, C; Zhao, X; He, B; Fan, P; Liu, Y; Qu, M; Ding, MH</t>
  </si>
  <si>
    <t>Pang, Xiaoping; Liu, Chuang; Zhao, Xi; He, Bin; Fan, Pei; Liu, Yue; Qu, Meng; Ding, Minghu</t>
  </si>
  <si>
    <t>Application of Machine Learning for Simulation of Air Temperature at Dome A</t>
  </si>
  <si>
    <t>Dome A; air temperature; skin temperature; linear regression; random forest model; deep learning</t>
  </si>
  <si>
    <t>SURFACE-ENERGY BALANCE; SNOW TEMPERATURES; ICE; SUMMIT; VALIDATION; PLATEAU; SKIN</t>
  </si>
  <si>
    <t>Dome A is the summit of the Antarctic plateau, where the Chinese Kunlun inland station is located. Due to its unique location and high altitude, Dome A provides an important observatory site in analyzing global climate change. However, before the arrival of the Chinese Antarctic expedition in 2005, near-surface air temperatures had not been recorded in the region. In this study, we used meteorological parameters, such as ice surface temperature, radiation, wind speed, and cloud type, to build a reliable model for air temperature estimation. Three models (linear regression, random forest, and deep neural network) were developed based on various input datasets: seasonal factors, skin temperature, shortwave radiation, cloud type, longwave radiation from AVHRR-X products, and wind speed from MERRA-2 reanalysis data. In situ air temperatures from 2010 to 2015 were used for training, while 2005-2009 and 2016-2020 measurements were used for model validation. The results showed that random forest and deep neural network outperformed the linear regression model. In both methods, the 2005-2009 estimates (average bias = 0.86 degrees C and 1 degrees C) were more accurate than the 2016-2020 values (average bias = 1.04 degrees C and 1.26 degrees C). We conclude that the air temperature at Dome A can be accurately estimated (with an average bias less than 1.3 degrees C and RMSE around 3 degrees C) from meteorological parameters using random forest or a deep neural network.</t>
  </si>
  <si>
    <t>[Pang, Xiaoping; Liu, Chuang; He, Bin; Fan, Pei; Liu, Yue] Wuhan Univ, Chinese Antarctic Ctr Surveying &amp; Mapping, Wuhan 430079, Peoples R China; [Zhao, Xi] Sun Yat Sen Univ, Sch Geospatial Engn &amp; Sci, Zhuhai 519000, Peoples R China; [Zhao, Xi] Southern Marine Sci &amp; Engn Guangdong Lab Zhuhai, Zhuhai 519000, Peoples R China; [Qu, Meng] Polar Res Inst China, Key Lab Polar Sci Minist Nat Resources, Shanghai 200136, Peoples R China; [Ding, Minghu] Chinese Acad Meteorol Sci, State Key Lab Severe Weather, Beijing 100081, Peoples R China; [Ding, Minghu] Chinese Acad Meteorol Sci, Inst Polar Meteorol, Beijing 100081, Peoples R China</t>
  </si>
  <si>
    <t>Wuhan University; Sun Yat Sen University; Southern Marine Science &amp; Engineering Guangdong Laboratory; Southern Marine Science &amp; Engineering Guangdong Laboratory (Zhuhai); Polar Research Institute of China; China Meteorological Administration; Chinese Academy of Meteorological Sciences (CAMS); China Meteorological Administration; Chinese Academy of Meteorological Sciences (CAMS)</t>
  </si>
  <si>
    <t>Ding, MH (corresponding author), Chinese Acad Meteorol Sci, State Key Lab Severe Weather, Beijing 100081, Peoples R China.;Ding, MH (corresponding author), Chinese Acad Meteorol Sci, Inst Polar Meteorol, Beijing 100081, Peoples R China.</t>
  </si>
  <si>
    <t>pxp@whu.edu.cn; liuchuang@whu.edu.cn; zhaoxi6@mail.sysu.edu.cn; hebin1@whu.edu.cn; fan_pei@whu.edu.cn; yue.liu@whu.edu.cn; qumeng@pric.org.cn; dingmh@cma.gov.cn</t>
  </si>
  <si>
    <t>Ding, Minghu/AFU-3600-2022</t>
  </si>
  <si>
    <t>Ding, Minghu/0000-0002-1142-6598; /0000-0002-2231-0611; Qu, Meng/0000-0002-0036-917X; He, Bin/0000-0001-9044-2950</t>
  </si>
  <si>
    <t>10.3390/rs14041045</t>
  </si>
  <si>
    <t>ZK0MP</t>
  </si>
  <si>
    <t>WOS:000762691900001</t>
  </si>
  <si>
    <t>Jiao, Y; Zhang, YQ; Hu, P</t>
  </si>
  <si>
    <t>Jiao, Yang; Zhang, Yuqing; Hu, Peng</t>
  </si>
  <si>
    <t>Can Arctic Sea Ice Influence the Extremely Cold Days and Nights in Winter over the Tibetan Plateau?</t>
  </si>
  <si>
    <t>ATMOSPHERE</t>
  </si>
  <si>
    <t>Tibetan Plateau; Arctic sea ice; atmospheric circulation; numerical simulation; community atmosphere model</t>
  </si>
  <si>
    <t>ATMOSPHERIC RESPONSE; IMPACTS</t>
  </si>
  <si>
    <t>The Arctic, Antarctic, and Tibetan Plateau (TP) are the northernmost, the southernmost, and the highest places of the Earth, respectively, known as Earth's three poles. The Arctic and TP are the North Pole and Third Pole, and they exert a significant influence on the regional and global climate. This study analyzed the changing characteristics of Arctic sea ice and explored relationships between extreme cold days on the TP and sea ice concentration in the Arctic. From 1979 to 2019, the sea ice concentration of August-October decreased significantly. The low concentration of sea ice leads to a warmer Arctic and causes cold air over the Arctic to be unstable and more likely to move into the southern. Over the TP, the frequent cold air activities lead to more extreme cold events. This article aims to investigate the response characteristics of atmospheric circulation via the NCAR-CAM5.1 model (National Center for Atmospheric Research Community Atmosphere Model, Version 5.1). In order to verify the mechanism of Arctic sea ice concentration impacts on the extreme low temperature of the TP, we designed three experimental plans with different sea ice concentrations and sea surface temperatures (SST). In the two sensitivity experiments, the decrease in sea ice concentration and the increase in SST from August to October in the key areas are amplified simultaneously. The simulation results show that the increases in atmosphere thickness of 950-500 hPa in the Arctic from November to the following February reduce the meridional thickness-gradients between the Arctic and the middle latitudes. The westerly flow in middle-high latitudes weakened. As a result, the polar vortex over the Arctic is more likely to move south. There are negative geopotential height anomalies at 500 hPa over the Arctic and TP and positive anomalies over Eurasia. The anticyclonic system at 500 hPa slightly strengthens in the high latitudes of Eurasia (northerly winds in the TP). Strongly negative anomalies of temperature in the northern parts of the TP generate the cold source. To the north of the TP, the strengthened meridional propagation in middle-high latitudes causes more cold extremes.</t>
  </si>
  <si>
    <t>[Jiao, Yang; Hu, Peng] Jinan Meteorol Bur, Jinan 250102, Peoples R China; [Zhang, Yuqing] Huaiyin Normal Univ, Sch Urban &amp; Environm Sci, Huaian 223000, Peoples R China</t>
  </si>
  <si>
    <t>Huaiyin Normal University</t>
  </si>
  <si>
    <t>Zhang, YQ (corresponding author), Huaiyin Normal Univ, Sch Urban &amp; Environm Sci, Huaian 223000, Peoples R China.</t>
  </si>
  <si>
    <t>jiaoyang@jn.shandong.cn; 8201711019@hytc.edu.cn; hurricane1022@gmail.com</t>
  </si>
  <si>
    <t>Yu, ZH/KBC-6889-2024</t>
  </si>
  <si>
    <t>Zhang, Yuqing/0000-0002-5669-5134</t>
  </si>
  <si>
    <t>2073-4433</t>
  </si>
  <si>
    <t>ATMOSPHERE-BASEL</t>
  </si>
  <si>
    <t>Atmosphere</t>
  </si>
  <si>
    <t>10.3390/atmos13020246</t>
  </si>
  <si>
    <t>ZK1DO</t>
  </si>
  <si>
    <t>WOS:000762736400001</t>
  </si>
  <si>
    <t>Zhao, JJ; Liang, S; Li, XW; Duan, YR; Liang, L</t>
  </si>
  <si>
    <t>Zhao, Jingjing; Liang, Shuang; Li, Xinwu; Duan, Yiru; Liang, Lei</t>
  </si>
  <si>
    <t>Detection of Surface Crevasses over Antarctic Ice Shelves Using SAR Imagery and Deep Learning Method</t>
  </si>
  <si>
    <t>crevasses; Sentinel-1 SAR; improved U-Net network; Antarctic ice shelves</t>
  </si>
  <si>
    <t>FRACTIONAL SNOW COVER; BASAL CREVASSES; STREAM-B; GLACIER; SATELLITE; LAND; RETRIEVAL; PATTERNS; CHANNELS; NETWORK</t>
  </si>
  <si>
    <t>Crevasses are formed by glacier movement and the stresses within glacier ice. Knowledge of the crevasses' distribution is critical for understanding the glacier and ice shelf stability. In this study, we propose an automated crevasse extraction framework based on Sentinel-1 SAR imagery and an improved U-Net network. The spatial distribution of crevasses on Antarctic ice shelves in 2020 was mapped with a spatial resolution of ~40 m, and the characteristics of crevasses on the Nickerson Ice Shelf, Jelbart Ice Shelf, Amery Ice Shelf, Thwaites Glacier, and Shackleton Ice Shelf were analyzed. The results indicated the extraction accuracy of our method was 84.2% and the F1 score was 72.5%. Compared with previous published studies, the identification of the crevasse areas had good visual consistency. However, in some scenes, the recall rate was relatively lower due to the quality of the SAR image, terrain surrounding the crevasses, and observation geometry. The crevasses on different ice shelves had different characteristics in terms of length, density, type, and spatial pattern, implying the different stress structures of ice shelves. The Thwaites Glacier and the Nickerson Ice Shelf in the West Antarctica Ice Sheet (WAIS) had shorter ice crevasses, whereas the lengths of ice crevasses on the Jelbart Ice Shelf and the Amery Ice Shelf in the East Antarctica Ice Sheet (EAIS) were relatively long. Nevertheless, there are more closely spaced crevasses on the ice shelf in WAIS compared to that in the EAIS. For the distribution of crevasse types, the Nickerson Ice Shelf and the Shackleton Ice Shelf had various forms of crevasses. There were mainly transverse crevasses developed on the Jelbart Ice Shelf and the Amery Ice Shelf. This study provides a helpful reference and guidance for automated crevasse extraction. The method proposed by this study manifests great application potential and the efficacy of producing a time-series crevasse data set with higher spatial resolution and larger coverage. In the future, more Sentinel-1 SAR imagery will be applied and the effect of temporal and spatial variations in crevasses on the stability of ice shelves will be investigated, which will contribute to project the ice shelf stability and explore the sea level rise implications of recent and future cryosphere changes.</t>
  </si>
  <si>
    <t>[Zhao, Jingjing; Liang, Shuang; Li, Xinwu; Duan, Yiru; Liang, Lei] Chinese Acad Sci, Aerosp Informat Res Inst, Key Lab Digital Earth Sci, Beijing 100094, Peoples R China; [Zhao, Jingjing] Univ Chinese Acad Sci, Beijing 100049, Peoples R China</t>
  </si>
  <si>
    <t>Chinese Academy of Sciences; Aerospace Information Research Institute, CAS; Chinese Academy of Sciences; University of Chinese Academy of Sciences, CAS</t>
  </si>
  <si>
    <t>Li, XW (corresponding author), Chinese Acad Sci, Aerosp Informat Res Inst, Key Lab Digital Earth Sci, Beijing 100094, Peoples R China.</t>
  </si>
  <si>
    <t>zhaojj02@aircas.ac.cn; liangpr@radi.ac.cn; lixw@aircas.ac.cn; duanyr@aircas.ac.cn; lianglei@aircas.ac.cn</t>
  </si>
  <si>
    <t>liang, shuang/JOK-5869-2023; Zhao, Jingjing/AAQ-2044-2020</t>
  </si>
  <si>
    <t>National Key Research and Development Program of China [2019YFC1509104]; Strategic Priority Research Program of the Chinese Academy of Sciences [XDA19070202]</t>
  </si>
  <si>
    <t>National Key Research and Development Program of China; Strategic Priority Research Program of the Chinese Academy of Sciences(Chinese Academy of Sciences)</t>
  </si>
  <si>
    <t>This research was funded by the National Key Research and Development Program of China under Grant 2019YFC1509104 and the Strategic Priority Research Program of the Chinese Academy of Sciences under Grant XDA19070202.</t>
  </si>
  <si>
    <t>10.3390/rs14030487</t>
  </si>
  <si>
    <t>ZG2YJ</t>
  </si>
  <si>
    <t>WOS:000760126000001</t>
  </si>
  <si>
    <t>Aguilar, JA; Allison, P; Beatty, JJ; Bernhoff, H; Besson, D; Bingefors, N; Botner, O; Bouma, S; Buitink, S; Carter, K; Cataldo, M; Clark, BA; Curtis-Ginsberg, Z; Connolly, A; Dasgupta, P; de Kockere, S; de Vries, KD; Deaconu, C; DuVernois, MA; Glaser, C; Hallgren, A; Hallmann, S; Hanson, JC; Hendricks, B; Hokanson-Fasig, B; Hornhuber, C; Hughes, K; Karle, A; Kelley, JL; Klein, SR; Krebs, R; Lahmann, R; Latif, U; Meures, T; Meyers, ZS; Mulrey, K; Nelles, A; Novikov, A; Oberla, E; Oeyen, B; Pandya, H; Plaisier, I; Pyras, L; Ryckbosch, D; Scholten, O; Seckel, D; Smith, D; Southall, D; Torres, J; Toscano, S; Tosi, D; Van den Broeck, DJ; van Eijndhoven, N; Vieregg, AG; Welling, C; Wissel, S; Young, R; Zink, A</t>
  </si>
  <si>
    <t>Aguilar, J. A.; Allison, P.; Beatty, J. J.; Bernhoff, H.; Besson, D.; Bingefors, N.; Botner, O.; Bouma, S.; Buitink, S.; Carter, K.; Cataldo, M.; Clark, B. A.; Curtis-Ginsberg, Z.; Connolly, A.; Dasgupta, P.; de Kockere, S.; de Vries, K. D.; Deaconu, C.; DuVernois, M. A.; Glaser, C.; Hallgren, A.; Hallmann, S.; Hanson, J. C.; Hendricks, B.; Hokanson-Fasig, B.; Hornhuber, C.; Hughes, K.; Karle, A.; Kelley, J. L.; Klein, S. R.; Krebs, R.; Lahmann, R.; Latif, U.; Meures, T.; Meyers, Z. S.; Mulrey, K.; Nelles, A.; Novikov, A.; Oberla, E.; Oeyen, B.; Pandya, H.; Plaisier, I; Pyras, L.; Ryckbosch, D.; Scholten, O.; Seckel, D.; Smith, D.; Southall, D.; Torres, J.; Toscano, S.; Tosi, D.; Van den Broeck, D. J.; van Eijndhoven, N.; Vieregg, A. G.; Welling, C.; Wissel, S.; Young, R.; Zink, A.</t>
  </si>
  <si>
    <t>Reconstructing the neutrino energy for in-ice radio detectors</t>
  </si>
  <si>
    <t>EUROPEAN PHYSICAL JOURNAL C</t>
  </si>
  <si>
    <t>CASCADES; WATER</t>
  </si>
  <si>
    <t>Since summer 2021, the Radio Neutrino Observatory in Greenland (RNO-G) is searching for astrophysical neutrinos at energies &gt; 10 PeV by detecting the radio emission from particle showers in the ice around Summit Station, Greenland. We present an extensive simulation study that shows how RNO-G will be able to measure the energy of such particle cascades, which will in turn be used to estimate the energy of the incoming neutrino that caused them. The location of the neutrino interaction is determined using the differences in arrival times between channels and the electric field of the radio signal is reconstructed using a novel approach based on Information Field Theory. Based on these properties, the shower energy can be estimated. We show that this method can achieve an uncertainty of 13% on the logarithm of the shower energy after modest quality cuts and estimate how this can constrain the energy of the neutrino. The method presented in this paper is applicable to all similar radio neutrino detectors, such as the proposed radio array of IceCube-Gen2.</t>
  </si>
  <si>
    <t>[Aguilar, J. A.; Dasgupta, P.; Toscano, S.] Univ Libre Bruxelles, Sci Fac CP230, B-1050 Brussels, Belgium; [Allison, P.; Beatty, J. J.; Connolly, A.; Torres, J.] Ohio State Univ, Ctr Cosmol &amp; AstroParticle Phys, Dept Phys, Columbus, OH 43210 USA; [Bernhoff, H.] Uppsala Univ, Dept Engn Sci, Div Elect, S-75237 Uppsala, Sweden; [Besson, D.; Hornhuber, C.; Novikov, A.; Young, R.] Univ Kansas, Dept Phys &amp; Astron, Lawrence, KS 66045 USA; [Besson, D.] Natl Nucl Res Univ MEPhI, Kashirskoe Shosse 31, Moscow 115409, Russia; [Bingefors, N.; Botner, O.; Glaser, C.; Hallgren, A.] Uppsala Univ, Dept Phys &amp; Astron, S-75237 Uppsala, Sweden; [Buitink, S.; Mulrey, K.; Pandya, H.; Van den Broeck, D. J.] Vrije Univ Brussel, Astrophys Inst, Pleinlaan 2, B-1050 Brussels, Belgium; [Carter, K.; Wissel, S.] Calif Polytech State Univ San Luis Obispo, Phys Dept, San Luis Obispo, CA 93407 USA; [Clark, B. A.] Michigan State Univ, Dept Phys &amp; Astron, E Lansing, MI 48824 USA; [de Kockere, S.; de Vries, K. D.; Latif, U.; Scholten, O.; Van den Broeck, D. J.; van Eijndhoven, N.] Vrije Univ Brussel, Dienst ELEM, B-1050 Brussels, Belgium; [Curtis-Ginsberg, Z.; Deaconu, C.; Hughes, K.; Oberla, E.; Smith, D.; Southall, D.; Vieregg, A. G.] Univ Chicago, Enrico Fermi Inst, Kavli Inst Cosmol Phys, Dept Phys, Chicago, IL 60637 USA; [DuVernois, M. A.; Hokanson-Fasig, B.; Karle, A.; Kelley, J. L.; Meures, T.; Tosi, D.] Univ Wisconsin, Wisconsin IceCube Particle Astrophys Ctr WIPAC, Madison, WI 53703 USA; [DuVernois, M. A.; Hokanson-Fasig, B.; Karle, A.; Kelley, J. L.; Meures, T.; Tosi, D.] Univ Wisconsin, Dept Phys, Madison, WI 53703 USA; [Bouma, S.; Cataldo, M.; Lahmann, R.; Meyers, Z. S.; Nelles, A.; Plaisier, I; Pyras, L.; Welling, C.; Zink, A.] Friedrich Alexander Univ Erlangen Nuremberg, Erlangen Ctr Astroparticle Phys ECAP, D-91058 Erlangen, Germany; [Hallmann, S.; Meyers, Z. S.; Nelles, A.; Plaisier, I; Pyras, L.; Welling, C.] DESY, Platanenallee 6, D-15738 Zeuthen, Germany; [Hanson, J. C.] Whittier Coll, Whittier, CA 90602 USA; [Klein, S. R.] Lawrence Berkeley Natl Lab, Berkeley, CA 94720 USA; [Hendricks, B.; Krebs, R.; Wissel, S.] Penn State Univ, Dept Phys, Dept Astron &amp; Astrophys, University Pk, PA 16801 USA; [Oeyen, B.; Ryckbosch, D.] Univ Ghent, Dept Phys &amp; Astron, B-9000 Ghent, Belgium; [Seckel, D.] Univ Delaware, Dept Phys &amp; Astron, Newark, DE 19716 USA; [Scholten, O.] Univ Groningen, KVI Ctr Adv Radiat Technol, Groningen, Netherlands</t>
  </si>
  <si>
    <t>Universite Libre de Bruxelles; University System of Ohio; Ohio State University; Uppsala University; University of Kansas; National Research Nuclear University MEPhI (Moscow Engineering Physics Institute); Uppsala University; Vrije Universiteit Brussel; California State University System; California Polytechnic State University San Luis Obispo; Michigan State University; Vrije Universiteit Brussel; University of Chicago; University of Wisconsin System; University of Wisconsin Madison; University of Wisconsin System; University of Wisconsin Madison; University of Erlangen Nuremberg; Helmholtz Association; Deutsches Elektronen-Synchrotron (DESY); Whittier College; United States Department of Energy (DOE); Lawrence Berkeley National Laboratory; Pennsylvania Commonwealth System of Higher Education (PCSHE); Pennsylvania State University; Pennsylvania State University - University Park; Ghent University; University of Delaware; University of Groningen</t>
  </si>
  <si>
    <t>Welling, C (corresponding author), Friedrich Alexander Univ Erlangen Nuremberg, Erlangen Ctr Astroparticle Phys ECAP, D-91058 Erlangen, Germany.;Welling, C (corresponding author), DESY, Platanenallee 6, D-15738 Zeuthen, Germany.</t>
  </si>
  <si>
    <t>christoph.welling@desy.de</t>
  </si>
  <si>
    <t>Nelles, Anna/AAU-1193-2020; Hallmann, Steffen/HLQ-7871-2023; Beatty, James/D-9310-2011; Saavedra, Juan Antonio Aguilar/F-1256-2016; Oeyen, Bob/AEK-8688-2022; Glaser, Christian/R-3021-2019; Aguilar Sanchez, Juan Antonio/H-4467-2015</t>
  </si>
  <si>
    <t>Nelles, Anna/0000-0002-1720-6350; Hallmann, Steffen/0000-0001-9847-7189; Beatty, James/0000-0003-0481-4952; Oeyen, Bob/0000-0003-2940-3164; Glaser, Christian/0000-0001-5998-2553; Torres, Jorge/0000-0003-4385-6127; Lahmann, Robert/0009-0005-5493-1702; Dasgupta, Dr. Paramita/0000-0002-9559-4803; Zink, Adrian/0000-0002-5827-5547; Hughes, Kaeli/0000-0002-4551-9581; Latif, Uzair/0000-0002-7609-1266; Curtis-Ginsberg, Zachary/0000-0002-0194-7576; van Eijndhoven, Nick/0000-0001-5558-3328; Wissel, Stephanie/0000-0003-0569-6978; Pyras, Lilly/0000-0003-1146-9659; Allison, Patrick/0000-0001-8141-2653; Deaconu, Cosmin/0000-0002-4953-6397; Buitink, Stijn/0000-0002-6177-497X; Aguilar Sanchez, Juan Antonio/0000-0003-2252-9514; De Kockere, Simon/0000-0001-6724-012X; de Vries, Krijn/0000-0002-9842-4068</t>
  </si>
  <si>
    <t>Belgian Funds for Scientific Research (FRS-FNRS); Belgian Funds for Scientific Research (FWO); FWO programme for International Research Infrastructure (IRI); National Science Foundation through the NSF Award [2118315]; IceCube EPSCoR Initiative [2019597]; German research foundation (DFG) [NE 2031/2-1]; Helmholtz Association (Initiative and Networking Fund, W2/W3 Program); University of Chicago Research Computing Center; European Research Council under the European Unions Horizon 2020 research and innovation programme [805486]; STFC [ST/T00147X/1] Funding Source: UKRI; Division Of Physics; Direct For Mathematical &amp; Physical Scien [2118315] Funding Source: National Science Foundation; European Research Council (ERC) [805486] Funding Source: European Research Council (ERC)</t>
  </si>
  <si>
    <t>Belgian Funds for Scientific Research (FRS-FNRS)(Fonds de la Recherche Scientifique - FNRS); Belgian Funds for Scientific Research (FWO); FWO programme for International Research Infrastructure (IRI); National Science Foundation through the NSF Award; IceCube EPSCoR Initiative; German research foundation (DFG)(German Research Foundation (DFG)); Helmholtz Association (Initiative and Networking Fund, W2/W3 Program); University of Chicago Research Computing Center; European Research Council under the European Unions Horizon 2020 research and innovation programme(European Research Council (ERC)); STFC(UK Research &amp; Innovation (UKRI)Science &amp; Technology Facilities Council (STFC)); Division Of Physics; Direct For Mathematical &amp; Physical Scien(National Science Foundation (NSF)NSF - Directorate for Mathematical &amp; Physical Sciences (MPS)); European Research Council (ERC)(European Research Council (ERC)Spanish Government)</t>
  </si>
  <si>
    <t>We are thankful to the staff at Summit Station for supporting our deployment work in every way possible. Also to our colleagues from the British Antarctic Survey for getting excited about building and operating the BigRAID drill for our project. We would like to acknowledge our home institutions and funding agencies for supporting the RNO-G work; in particular the Belgian Funds for Scientific Research (FRS-FNRS and FWO) and the FWO programme for International Research Infrastructure (IRI), the National Science Foundation through the NSF Award ID 2118315 and the IceCube EPSCoR Initiative (Award ID 2019597), the German research foundation (DFG, Grant NE 2031/2-1), the Helmholtz Association (Initiative and Networking Fund, W2/W3 Program), the University of Chicago Research Computing Center, and the European Research Council under the European Unions Horizon 2020 research and innovation programme (grant agreement No 805486).</t>
  </si>
  <si>
    <t>1434-6044</t>
  </si>
  <si>
    <t>1434-6052</t>
  </si>
  <si>
    <t>EUR PHYS J C</t>
  </si>
  <si>
    <t>Eur. Phys. J. C</t>
  </si>
  <si>
    <t>10.1140/epjc/s10052-022-10034-4</t>
  </si>
  <si>
    <t>Physics, Particles &amp; Fields</t>
  </si>
  <si>
    <t>Physics</t>
  </si>
  <si>
    <t>ZB4VT</t>
  </si>
  <si>
    <t>WOS:000756842100004</t>
  </si>
  <si>
    <t>Meier, WN; Stewart, JS; Windnagel, A; Fetterer, FM</t>
  </si>
  <si>
    <t>Meier, Walter N.; Stewart, J. Scott; Windnagel, Ann; Fetterer, Florence M.</t>
  </si>
  <si>
    <t>Comparison of Hemispheric and Regional Sea Ice Extent and Area Trends from NOAA and NASA Passive Microwave-Derived Climate Records</t>
  </si>
  <si>
    <t>sea ice; remote sensing; passive microwave; Arctic; Antarctic; sea ice extent; sea ice area</t>
  </si>
  <si>
    <t>PARAMETERS; COVER</t>
  </si>
  <si>
    <t>Three passive microwave-based sea ice products archived at the National Snow and Ice Data Center (NSIDC) are compared: (1) the NASA Team (NT) algorithm product, (2) Bootstrap (BT) algorithm product, and (3) a new version (Version 4) of the NOAA/NSIDC Climate Data Record (CDR) product. Most notable for the CDR Version 4 is the addition of the early passive microwave record, 1979 to 1987. The focus of this study is on long-term trends in monthly extent and area. In addition to hemispheric trends, regional analysis is also carried out, including use of a new Northern Hemisphere regional mask. The results indicate overall good consistency between the products, with all three products showing strong statistically significant negative trends in the Arctic and small borderline significant positive trends in the Antarctic. Regionally, the patterns are similar, except for a notable outlier of the NT area having a steeper trend in the Central Arctic, likely related to increasing surface melt. Other differences are due to varied approaches to quality control, e.g., weather filtering and correction of mixed land-ocean grid cells. Another factor, particularly in regards to NT trends with BT or CDR, is the inter-sensor calibration approach, which yields small discontinuities between the products. These varied approaches yield small differences in trends. In the Arctic, such differences are not critical, but in the Antarctic, where overall trends are near zero and borderline statistically significant, the differences are potentially important in the interpretation of trends.</t>
  </si>
  <si>
    <t>[Meier, Walter N.; Stewart, J. Scott; Windnagel, Ann; Fetterer, Florence M.] Univ Colorado, Cooperat Inst Res Environm Sci, Natl Snow &amp; Ice Data Ctr, Boulder, CO 80309 USA</t>
  </si>
  <si>
    <t>University of Colorado System; University of Colorado Boulder</t>
  </si>
  <si>
    <t>Meier, WN (corresponding author), Univ Colorado, Cooperat Inst Res Environm Sci, Natl Snow &amp; Ice Data Ctr, Boulder, CO 80309 USA.</t>
  </si>
  <si>
    <t>walt@colorado.edu; scotts@colorado.edu; ann.windnagel@colorado.edu; florence.fetterer@colorado.edu</t>
  </si>
  <si>
    <t>Meier, Walter/0000-0003-2857-0550</t>
  </si>
  <si>
    <t>NOAA NCEI Climate Data Record Program [ST133017CQ0058, 1332KP19FNEEN0003]; NASA Earth Science Data Information System (ESDIS) Project through the NASA Snow and Ice Distributed Active Archive Center (DAAC) at NSIDC [80GSFC18C0102]</t>
  </si>
  <si>
    <t>NOAA NCEI Climate Data Record Program(National Oceanic Atmospheric Admin (NOAA) - USA); NASA Earth Science Data Information System (ESDIS) Project through the NASA Snow and Ice Distributed Active Archive Center (DAAC) at NSIDC</t>
  </si>
  <si>
    <t>This research was funded by the NOAA NCEI Climate Data Record Program through the NOAA Prime Contract #ST133017CQ0058, Task Order #1332KP19FNEEN0003, and the NASA Earth Science Data Information System (ESDIS) Project through the NASA Snow and Ice Distributed Active Archive Center (DAAC) at NSIDC, Grant #80GSFC18C0102.</t>
  </si>
  <si>
    <t>10.3390/rs14030619</t>
  </si>
  <si>
    <t>ZA5SI</t>
  </si>
  <si>
    <t>WOS:000756222900001</t>
  </si>
  <si>
    <t>Ma, YY; Wang, ZM; Li, F; Liu, SL; An, JC; Li, B; Ma, WF</t>
  </si>
  <si>
    <t>Ma, Yuanyuan; Wang, Zemin; Li, Fei; Liu, Shunlun; An, Jiachun; Li, Bing; Ma, Weifeng</t>
  </si>
  <si>
    <t>Ionospheric Correction of L-Band SAR Interferometry for Accurate Ice-Motion Measurements: A Case Study in the Grove Mountains Area, East Antarctica</t>
  </si>
  <si>
    <t>glacier mass balance; SAR interferometry; ice motion; ionospheric effects; reformulation of the split-spectrum method; ionospheric correction</t>
  </si>
  <si>
    <t>SENTINEL-1 TOPS; INSAR; SURFACE; PHASE; COMPENSATION; DEFORMATION; GLACIER; FLOW</t>
  </si>
  <si>
    <t>Ice motion is an essential element for accurately evaluating glacier mass balance. Interferometric synthetic aperture radar (InSAR) has been widely applied for monitoring ice motion with high precision and wide coverage in the Antarctic. However, the ionospheric effects can significantly impact InSAR-based ice-motion measurements. At low radar frequencies in particular, the ionospheric effects have been regarded as a serious source of noise in L-band SAR data. The split-spectrum method (SSM) is commonly used for correcting the ionospheric effects of the InSAR technique. However, it requires spatial filtering with the relatively large factors used to scale the sub-bands' interferograms, which often results in an unwrapped phase error. In this paper, a reformulation of the split-spectrum method (RSSM) is introduced to correct the ionospheric effects in the Grove Mountains of East Antarctica, which have slow ice flow and frequent ionosphere changes. The results show that RSSM can effectively correct the ionospheric effects of InSAR-based ice-motion measurements. To evaluate the ability of ionospheric correction using RSSM, the result of ionospheric correction derived from SSM is compared with the results of RSSM. In addition, ionosphere-corrected ice motion is also compared with GPS and MEaSUREs. The results show that the ionosphere-corrected ice velocities are in good agreement with GPS observations and MEaSUREs. The average ice velocity from the InSAR time series is compared to that from MEaSUREs, and the average ionosphere-corrected ice velocity error reduces 43.9% in SSM and 51.1% in RSSM, respectively. The ionosphere-corrected ice velocity error is the most significant, reducing 86.9% in SSM and 90.4% in RSSM from 1 November 2007 to 19 December 2007. The results show that the ability of RSSM to correct ionospheric effects is slightly better than that of SSM. Therefore, we deduce that the RSSM offers a feasible way to correct ionospheric effects in InSAR-based ice-motion measurements in Antarctica.</t>
  </si>
  <si>
    <t>[Ma, Yuanyuan; Wang, Zemin; Li, Fei; Liu, Shunlun; An, Jiachun; Li, Bing] Wuhan Univ, Chinese Antarctic Ctr Surveying &amp; Mapping, Wuhan 430079, Peoples R China; [Ma, Yuanyuan; Li, Fei] Wuhan Univ, Elect Informat Sch, Wuhan 430072, Peoples R China; [Ma, Yuanyuan; Wang, Zemin; Li, Fei; Liu, Shunlun; An, Jiachun] MNR, Key Lab Polar Surveying &amp; Mapping, Wuhan 430079, Peoples R China; [Li, Bing] Wuhan Polytech Univ, Sch Math &amp; Comp Sci, Wuhan 430048, Peoples R China; [Ma, Weifeng] Yunnan Normal Univ, Fac Geog, Kunming 650050, Yunnan, Peoples R China</t>
  </si>
  <si>
    <t>Wuhan University; Wuhan University; Wuhan Polytechnic University; Yunnan Normal University</t>
  </si>
  <si>
    <t>Wang, ZM (corresponding author), Wuhan Univ, Chinese Antarctic Ctr Surveying &amp; Mapping, Wuhan 430079, Peoples R China.;Wang, ZM (corresponding author), MNR, Key Lab Polar Surveying &amp; Mapping, Wuhan 430079, Peoples R China.</t>
  </si>
  <si>
    <t>mayuanyuan123@whu.edu.cn; zmwang@whu.edu.cn; fli@whu.edu.cn; shlliu@whu.edu.cn; jcan@whu.edu.cn; binglee@whu.edu.cn; 150020@ynnu.edu.cn</t>
  </si>
  <si>
    <t>li, bing/HTS-1845-2023; Li, bo/IWL-9318-2023; li, bing/GWQ-9617-2022</t>
  </si>
  <si>
    <t>An, Jiachun/0000-0002-3106-0714</t>
  </si>
  <si>
    <t>10.3390/rs14030556</t>
  </si>
  <si>
    <t>YZ6DC</t>
  </si>
  <si>
    <t>WOS:000755564200001</t>
  </si>
  <si>
    <t>Wakamatsu, L; Britten, GL; Styles, EJ; Fischer, AM</t>
  </si>
  <si>
    <t>Wakamatsu, Lael; Britten, Gregory L.; Styles, Elliot J.; Fischer, Andrew M.</t>
  </si>
  <si>
    <t>Chlorophyll-a and Sea Surface Temperature Changes in Relation to Paralytic Shellfish Toxin Production off the East Coast of Tasmania, Australia</t>
  </si>
  <si>
    <t>ocean color; harmful algal blooms; toxic algae; sea surface temperature; trend analyses; optical sensors; OC-CCI</t>
  </si>
  <si>
    <t>VARIABILITY; GROWTH; SOUTH; RESPONSES; TOXICITY</t>
  </si>
  <si>
    <t>Toxic phytoplankton have been detrimental to the fishing and aquaculture industry on the east coast of Tasmania, causing millions of dollars in loss due to contaminated seafood. In 2012-2017, shellfish stocks were poisoned by Alexandrium catenella, a dinoflagellate species that produces paralytic shellfish toxins (PST). Remote sensing data may provide an environmental context for the drivers of PST events in Tasmania. We conducted spatial and temporal trend analyses of the Multi-Scale Ultra-High-Resolution Sea Surface Temperature (MUR SST) and Ocean Color Climate Change Initiative chlorophyll-a (OC-CCI chl-a) to determine if SST and chl-a correlated with the major toxin increases from 2012 to 2017. Along with the trends, we compare the remotely sensed oceanographic parameters of SST and chl-a to toxin events off the east coast of Tasmania to provide environmental context for the high-toxin period. Spatial and temporal changes for chl-a differ based on the north, central, and southeast coast of Tasmania. For sites in the north, chl-a was 5.3% higher from the pre-PST period relative to the PST period, 5.1% along the central part of the coast, and by 6.0% in the south based on deviations from the coastal study area time series. Overall, SST has slightly decreased from 2007 to 2020 (tau = -0.011, p = 0.827) and chl-a has significantly decreased for the east coast (tau = -0.164, p = 1.58 x 10(-3)). A negative relationship of SST and PST values occurred in the north (r = -0.530, p = 5.32 x 10(-5)) and central sites (r = -0.225, p = 0.157). The correlation between satellite chl-a (from OC-CCI, Visible Infrared Imaging Radiometer Suite (VIIRS), and Moderate-Resolution Imaging Spectrometer (MODIS) Aqua) and in situ data is weak, which makes it difficult to assess relationships present between chl-a and toxin concentrations. Moving forward, the development of a regional chl-a algorithm and increased in situ chl-a collection and plankton sampling at a species level will help to improve chl-a measurements and toxic phytoplankton production monitoring around Tasmania.</t>
  </si>
  <si>
    <t>[Wakamatsu, Lael; Styles, Elliot J.; Fischer, Andrew M.] Univ Tasmania, Inst Marine &amp; Antarctic Studies, Hobart, Tas 7004, Australia; [Britten, Gregory L.] MIT, Program Atmospheres Oceans &amp; Climate, Cambridge, MA 02139 USA</t>
  </si>
  <si>
    <t>University of Tasmania; Massachusetts Institute of Technology (MIT)</t>
  </si>
  <si>
    <t>Wakamatsu, L (corresponding author), Univ Tasmania, Inst Marine &amp; Antarctic Studies, Hobart, Tas 7004, Australia.</t>
  </si>
  <si>
    <t>lael.wakamatsu@utas.edu.au; gbritten@mit.edu; estyles@utas.edu.au; andy.fischer@utas.edu.au</t>
  </si>
  <si>
    <t>Fischer, Andrew/0000-0001-5284-6428; Wakamatsu, Lael/0000-0002-0002-6660; Styles, Elliot/0000-0002-7571-7618</t>
  </si>
  <si>
    <t>Institute for Marine and Antarctic Studies at the University of Tasmania; Simons Foundation Postdoctoral Fellowship in Marine Microbial Ecology [645921]</t>
  </si>
  <si>
    <t>Institute for Marine and Antarctic Studies at the University of Tasmania; Simons Foundation Postdoctoral Fellowship in Marine Microbial Ecology</t>
  </si>
  <si>
    <t>This research was supported by the Institute for Marine and Antarctic Studies at the University of Tasmania for L.W. and A.M.F. Funding was also provided by the Simons Foundation Postdoctoral Fellowship in Marine Microbial Ecology (Grant # 645921) for G.L.B.</t>
  </si>
  <si>
    <t>10.3390/rs14030665</t>
  </si>
  <si>
    <t>ZA8BD</t>
  </si>
  <si>
    <t>WOS:000756381500001</t>
  </si>
  <si>
    <t>Kong, J; Shan, LL; Yan, X; Wang, YK</t>
  </si>
  <si>
    <t>Kong, Jian; Shan, Lulu; Yan, Xiao; Wang, Youkun</t>
  </si>
  <si>
    <t>Analysis of Ionospheric Disturbance Response to the Heavy Rain Event</t>
  </si>
  <si>
    <t>Total Electron Content (TEC); ionospheric disturbances; continuous wavelet transform (CWT); gravity waves (GWs); ionosphere-troposphere coupling mechanism</t>
  </si>
  <si>
    <t>TROPOSPHERE; WAVES</t>
  </si>
  <si>
    <t>Meteorological activities in the troposphere would affect electron concentrations and distributions in the ionosphere, thereby exciting ionospheric disturbance. To explore the ionospheric anomalies during severe convective weather, the ionospheric phenomenon during the heavy rainfall in Sichuan Province on 9 July 2013 was analyzed based on GNSS data. The Total Electron Content (TEC) are evaluated by carrier phase smoothed pseudoranges. Then, the dTEC (detrend TEC) sequences are obtained by using the cubic smoothing spline. They show obvious N-shaped ionospheric disturbances and have propagation characteristics, with the maximum of 0.4 TECU. Frequency domain analysis using continuous wavelet transform (CWT) also reached similar conclusions-that there are obvious ionospheric disturbances with different frequencies and intensity. Based on the isotropic assumption and feature points method, the horizontal propagation velocity of the disturbances in the ionosphere is estimated to be approximately 150 m/s. Then, Sichuan Province is divided into 1 degrees x 1 degrees grids, and the disturbance trigger source is determined via the grid searching method to be the central of Sichuan Province. Finally, the mechanisms causing ionospheric disturbance are discussed. During the heavy rainfall, the strong convection may excite gravity waves (GWs), which are driven by terrain and background wind fields to propagate upwards to the ionosphere and release energy, causing ionospheric disturbances.</t>
  </si>
  <si>
    <t>[Kong, Jian] State Key Lab Geoinformat Engn, Xian 710054, Peoples R China; [Kong, Jian] Wuhan Univ, Chinese Antarctic Ctr Surveying &amp; Mapping, Wuhan 430079, Peoples R China; [Shan, Lulu; Yan, Xiao; Wang, Youkun] Wuhan Univ, Sch Geodesy &amp; Geomat, 129 Luoyu Rd, Wuhan 430079, Peoples R China; [Wang, Youkun] Kunming Surveying &amp; Mapping Inst, Kunming 650051, Peoples R China</t>
  </si>
  <si>
    <t>Shan, LL (corresponding author), Wuhan Univ, Sch Geodesy &amp; Geomat, 129 Luoyu Rd, Wuhan 430079, Peoples R China.</t>
  </si>
  <si>
    <t>jkong@whu.edu.cn; llshan@whu.edu.cn; xxyan@whu.edu.cn; beanflower@whu.edu.cn</t>
  </si>
  <si>
    <t>Shan, Lulu/0000-0002-8772-4233</t>
  </si>
  <si>
    <t>National Key Research and Development Program of China [2016YFB0501803]; State Key Laboratory of Geo-Information Engineering [SKLGIE2018-M-1-2]; Key Laboratory of Geospace Environment and Geodesy, Ministry of Education, Wuhan University</t>
  </si>
  <si>
    <t>National Key Research and Development Program of China; State Key Laboratory of Geo-Information Engineering; Key Laboratory of Geospace Environment and Geodesy, Ministry of Education, Wuhan University</t>
  </si>
  <si>
    <t>This research was funded by the National Key Research and Development Program of China (No. 2016YFB0501803), State Key Laboratory of Geo-Information Engineering under Grant (No. SKLGIE2018-M-1-2), and the Key Laboratory of Geospace Environment and Geodesy, Ministry of Education, Wuhan University.</t>
  </si>
  <si>
    <t>10.3390/rs14030510</t>
  </si>
  <si>
    <t>ZC3WC</t>
  </si>
  <si>
    <t>WOS:000757453300001</t>
  </si>
  <si>
    <t>Wang, YT; Wang, QF; Hou, YH; Liu, JN</t>
  </si>
  <si>
    <t>Wang, Yatong; Wang, Quanfu; Hou, Yanhua; Liu, Jianan</t>
  </si>
  <si>
    <t>Glutaredoxin Interacts with GR and AhpC to Enhance Low-Temperature Tolerance of Antarctic Psychrophile Psychrobacter sp. ANT206</t>
  </si>
  <si>
    <t>INTERNATIONAL JOURNAL OF MOLECULAR SCIENCES</t>
  </si>
  <si>
    <t>antarctic; glutaredoxin; deletion mutant; oxidative stress; yeast two-hybrid; BiFC</t>
  </si>
  <si>
    <t>OXIDATIVE STRESS; SACCHAROMYCES-CEREVISIAE; GENE-EXPRESSION; MESSENGER-RNA; IDENTIFICATION; REDUCTASE</t>
  </si>
  <si>
    <t>Glutaredoxin (Grx) is an important oxidoreductase to maintain the redox homoeostasis of cells. In our previous study, cold-adapted Grx from Psychrobacter sp. ANT206 (PsGrx) has been characterized. Here, we constructed an in-frame deletion mutant of psgrx (Delta psgrx). Mutant Delta psgrx was more sensitive to low temperature, demonstrating that psgrx was conducive to the growth of ANT206. Mutant Delta psgrx also had more malondialdehyde (MDA) and protein carbonylation content, suggesting that PsGrx could play a part in the regulation of tolerance against low temperature. A yeast two-hybrid system was adopted to screen interacting proteins of 26 components. Furthermore, two target proteins, glutathione reductase (GR) and alkyl hydroperoxide reductase subunit C (AhpC), were regulated by PsGrx under low temperature, and the interactions were confirmed via bimolecular fluorescence complementation (BiFC) and co-immunoprecipitation (Co-IP). Moreover, PsGrx could enhance GR activity. trxR expression in Delta psgrx, Delta ahpc, and ANT206 were illustrated 3.7, 2.4, and 10-fold more than mutant Delta psgrx Delta ahpc, indicating that PsGrx might increase the expression of trxR by interacting with AhpC. In conclusion, PsGrx may participate in glutathione metabolism and ROS-scavenging by regulating GR and AhpC to protect the growth of ANT206. These findings preliminarily suggest the role of PsGrx in the regulation of oxidative stress, which could improve the low-temperature tolerance of ANT206.</t>
  </si>
  <si>
    <t>[Wang, Yatong; Wang, Quanfu] Harbin Inst Technol, Sch Environm, Harbin 150090, Peoples R China; [Wang, Quanfu; Hou, Yanhua; Liu, Jianan] Harbin Inst Technol, Sch Marine Sci &amp; Technol, Weihai 264209, Peoples R China</t>
  </si>
  <si>
    <t>Harbin Institute of Technology; Harbin Institute of Technology</t>
  </si>
  <si>
    <t>Wang, QF (corresponding author), Harbin Inst Technol, Sch Environm, Harbin 150090, Peoples R China.;Wang, QF; Hou, YH (corresponding author), Harbin Inst Technol, Sch Marine Sci &amp; Technol, Weihai 264209, Peoples R China.</t>
  </si>
  <si>
    <t>wangyatong199311@163.com; wangquanfuhit@hit.edu.cn; houyanhuahit@hit.edu.cn; liujianan0623@163.com</t>
  </si>
  <si>
    <t>wang, yatong/KDN-3824-2024</t>
  </si>
  <si>
    <t>National Natural Science Foundation of China, China [41876149]; Natural Science Foundation of Shandong Province, China [ZR2019MD018, ZR2021MD040]; School-local Cooperation Talent Funding Program of Weihai, China</t>
  </si>
  <si>
    <t>National Natural Science Foundation of China, China(National Natural Science Foundation of China (NSFC)); Natural Science Foundation of Shandong Province, China(Natural Science Foundation of Shandong Province); School-local Cooperation Talent Funding Program of Weihai, China</t>
  </si>
  <si>
    <t>FundingThis research was funded by the National Natural Science Foundation of China, China (41876149); the Natural Science Foundation of Shandong Province, China (ZR2019MD018 and ZR2021MD040); and the School-local Cooperation Talent Funding Program of Weihai, China.</t>
  </si>
  <si>
    <t>1661-6596</t>
  </si>
  <si>
    <t>1422-0067</t>
  </si>
  <si>
    <t>INT J MOL SCI</t>
  </si>
  <si>
    <t>Int. J. Mol. Sci.</t>
  </si>
  <si>
    <t>10.3390/ijms23031313</t>
  </si>
  <si>
    <t>Biochemistry &amp; Molecular Biology; Chemistry, Multidisciplinary</t>
  </si>
  <si>
    <t>Biochemistry &amp; Molecular Biology; Chemistry</t>
  </si>
  <si>
    <t>YZ8EO</t>
  </si>
  <si>
    <t>WOS:000755704600001</t>
  </si>
  <si>
    <t>Bax, N; Stark, JS</t>
  </si>
  <si>
    <t>Bax, Narissa; Stark, Jonathan S.</t>
  </si>
  <si>
    <t>Complex polychaete reefs in East Antarctica</t>
  </si>
  <si>
    <t>FRONTIERS IN ECOLOGY AND THE ENVIRONMENT</t>
  </si>
  <si>
    <t>News Item</t>
  </si>
  <si>
    <t>[Bax, Narissa] South Atlantic Environm Res Inst SAERI, Stanley, Falkland Island; [Stark, Jonathan S.] Australian Antarctic Div, Kingston, NF, Australia</t>
  </si>
  <si>
    <t>Australian Antarctic Division</t>
  </si>
  <si>
    <t>Bax, N (corresponding author), South Atlantic Environm Res Inst SAERI, Stanley, Falkland Island.</t>
  </si>
  <si>
    <t>1540-9295</t>
  </si>
  <si>
    <t>1540-9309</t>
  </si>
  <si>
    <t>FRONT ECOL ENVIRON</t>
  </si>
  <si>
    <t>Front. Ecol. Environ.</t>
  </si>
  <si>
    <t>10.1002/fee.2461</t>
  </si>
  <si>
    <t>Ecology; Environmental Sciences</t>
  </si>
  <si>
    <t>YP9QT</t>
  </si>
  <si>
    <t>WOS:000748955200009</t>
  </si>
  <si>
    <t>Shestakova, AA; Chechin, DG; Lüpkes, C; Hartmann, J; Maturilli, M</t>
  </si>
  <si>
    <t>Shestakova, Anna A.; Chechin, Dmitry G.; Luepkes, Christof; Hartmann, Joerg; Maturilli, Marion</t>
  </si>
  <si>
    <t>The foehn effect during easterly flow over Svalbard</t>
  </si>
  <si>
    <t>FLUX-PROFILE RELATIONSHIPS; COLD-AIR OUTBREAKS; BOUNDARY-LAYER; NY-ALESUND; NUMERICAL-SIMULATION; WIND-FIELD; SEA-ICE; SPITSBERGEN; TOPOGRAPHY; VARIABILITY</t>
  </si>
  <si>
    <t>This article presents a comprehensive analysis of the foehn episode which occurred over Svalbard on 30-31 May 2017. This episode is well documented by multiplatform measurements carried out during the Arctic CLoud Observations Using airborne measurements during polar Day (ACLOUD) and Physical feedbacks of Arctic PBL, Sea ice, Cloud And AerosoL (PASCAL) campaigns. Both orographic wind modification and foehn warming are considered here. The latter is found to be primarily produced by the isentropic drawdown, which is evident from observations and mesoscale numerical modeling. The structure of the observed foehn warming was in many aspects very similar to that for foehns over the Antarctic Peninsula. In particular, it is found that the warming was proportional to the height of the mountain ridges and propagated far downstream. Also, a strong spatial heterogeneity of the foehn warming was observed with a clear cold footprint associated with gap flows along the mountain valleys and fjords. On the downstream side, a shallow stably stratified boundary layer below a well-mixed layer formed over the snow-covered land and cold open water. The foehn warming downwind of Svalbard strengthened the north-south horizontal temperature gradient across the ice edge near the northern tip of Svalbard. This suggests that the associated baroclinicity might have strengthened the observed northern tip jet. A positive daytime radiative budget on the surface, increased by the foehn clearance, along with the downward sensible heat flux provoked accelerated snowmelt in the mountain valleys in Ny-angstrom lesund and Adventdalen, which suggests a potentially large effect of the frequently observed Svalbard foehns on the snow cover and the glacier heat and mass balance.</t>
  </si>
  <si>
    <t>[Shestakova, Anna A.; Chechin, Dmitry G.] Russian Acad Sci, AM Obukhov Inst Atmospher Phys, Air Sea Interact Lab, Moscow 119017, Russia; [Chechin, Dmitry G.] Moscow Ctr Fundamental &amp; Appl Math, Leninskie Gory 1, Moscow 119991, Russia; [Luepkes, Christof; Hartmann, Joerg] Alfred Wegener Inst, Helmholtz Ctr Polar &amp; Marine Res, Bremerhaven, Germany; [Maturilli, Marion] Alfred Wegener Inst, Helmholtz Ctr Polar &amp; Marine Res, Potsdam, Germany</t>
  </si>
  <si>
    <t>Russian Academy of Sciences; Obukhov Institute of Atmospheric Physics of Russian Academy of Sciences; Helmholtz Association; Alfred Wegener Institute, Helmholtz Centre for Polar &amp; Marine Research; Helmholtz Association; Alfred Wegener Institute, Helmholtz Centre for Polar &amp; Marine Research</t>
  </si>
  <si>
    <t>Shestakova, AA (corresponding author), Russian Acad Sci, AM Obukhov Inst Atmospher Phys, Air Sea Interact Lab, Moscow 119017, Russia.</t>
  </si>
  <si>
    <t>shestakova@ifaran.ru</t>
  </si>
  <si>
    <t>Shestakova, Anna A/G-5174-2016; amplification, ³ - Arctic/AAU-6640-2020; Maturilli, Marion/A-4344-2017; Chechin, Dmitry/J-9923-2016; Lupkes, Christof/B-4897-2014</t>
  </si>
  <si>
    <t>Maturilli, Marion/0000-0001-6818-7383; Chechin, Dmitry/0000-0003-0021-9945; Lupkes, Christof/0000-0001-6518-0717</t>
  </si>
  <si>
    <t>Deutsche Forschungsgemeinschaft (DFG, German Research Foundation) within the Transregional Collaborative Research Center ArctiC Amplification: Climate Relevant Atmospheric and SurfaCe Processes, and Feedback Mechanisms [268020496 TRR 172]; Russian Science Foundation [18-77-10072]; Russian Ministry of Science and Higher Education [075-15-2019-1621]; Russian Science Foundation [18-77-10072] Funding Source: Russian Science Foundation</t>
  </si>
  <si>
    <t>Deutsche Forschungsgemeinschaft (DFG, German Research Foundation) within the Transregional Collaborative Research Center ArctiC Amplification: Climate Relevant Atmospheric and SurfaCe Processes, and Feedback Mechanisms(German Research Foundation (DFG)); Russian Science Foundation(Russian Science Foundation (RSF)); Russian Ministry of Science and Higher Education; Russian Science Foundation(Russian Science Foundation (RSF))</t>
  </si>
  <si>
    <t>This research was funded by the Deutsche Forschungsgemeinschaft (DFG, German Research Foundation) (project no. 268020496 TRR 172) within the Transregional Collaborative Research Center ArctiC Amplification: Climate Relevant Atmospheric and SurfaCe Processes, and Feedback Mechanisms (AC)3. The analysis of the orographic wind dynamics and the calculations of the surface heat budget terms were funded by the Russian Science Foundation (grant no. 18-77-10072). WRF modeling is supported by Russian Ministry of Science and Higher Education (grant no. 075-15-2019-1621).</t>
  </si>
  <si>
    <t>10.5194/acp-22-1529-2022</t>
  </si>
  <si>
    <t>YT5UV</t>
  </si>
  <si>
    <t>WOS:000751425500001</t>
  </si>
  <si>
    <t>Hu, YH; Tian, WS; Zhang, JK; Wang, T; Xu, MA</t>
  </si>
  <si>
    <t>Hu, Yihang; Tian, Wenshou; Zhang, Jiankai; Wang, Tao; Xu, Mian</t>
  </si>
  <si>
    <t>Weakening of Antarctic stratospheric planetary wave activities in early austral spring since the early 2000s: a response to sea surface temperature trends</t>
  </si>
  <si>
    <t>BREWER-DOBSON CIRCULATION; HEMISPHERE HIGH-LATITUDES; OZONE DEPLETION; SOLAR-CYCLE; IMPACT; WINTER; TROPOSPHERE; PROPAGATION; RECOVERY; PACIFIC</t>
  </si>
  <si>
    <t>Using multiple reanalysis datasets and modeling simulations, the trends of Antarctic stratospheric planetary wave activities in early austral spring since the early 2000s are investigated in this study. We find that the stratospheric planetary wave activities in September have weakened significantly since the year 2000, which is mainly related to the weakening of the tropospheric wave sources in the extratropical Southern Hemisphere. As the Antarctic ozone also shows clear shift around the year 2000, the impact of ozone recovery on Antarctic planetary wave activity is also examined through numerical simulations. Significant ozone recovery in the lower stratosphere changes the atmospheric state for wave propagation to some extent, inducing a slight decrease in the vertical wave flux in upper troposphere and lower stratosphere (UTLS). However, the changes in the wave propagation environment in the middle and upper stratosphere over the subpolar region are not significant. The ozone recovery has a minor contribution to the significant weakening of stratospheric planetary wave activity in September. Further analysis indicates that the trend of September sea surface temperature (SST) over 20 degrees N-70 degrees S is well linked to the weakening of stratospheric planetary wave activities. The model simulations reveal that the SST trend in the extratropical Southern Hemisphere (20-70 degrees S) and the tropics (20-20 degrees S) induce a weakening of the wave 1 component of tropospheric geopotential height in the extratropical Southern Hemisphere, which subsequently leads to a decrease in stratospheric wave flux. In addition, both reanalysis data and numerical simulations indicate that the Brewer-Dobson circulation (BDC) related to wave activities in the stratosphere has also been weakening in early austral spring since the year 2000 due to the trend of September SST in the tropics and extratropical Southern Hemisphere.</t>
  </si>
  <si>
    <t>[Hu, Yihang; Tian, Wenshou; Zhang, Jiankai; Wang, Tao; Xu, Mian] Lanzhou Univ, Coll Atmospher Sci, Minist Educ, Key Lab Semiarid Climate Change, Lanzhou, Peoples R China; [Zhang, Jiankai] Southern Marine Sci &amp; Engn Guangdong Lab Zhuhai, Zhuhai, Peoples R China</t>
  </si>
  <si>
    <t>Lanzhou University; Southern Marine Science &amp; Engineering Guangdong Laboratory; Southern Marine Science &amp; Engineering Guangdong Laboratory (Zhuhai)</t>
  </si>
  <si>
    <t>Tian, WS (corresponding author), Lanzhou Univ, Coll Atmospher Sci, Minist Educ, Key Lab Semiarid Climate Change, Lanzhou, Peoples R China.</t>
  </si>
  <si>
    <t>wstian@lzu.edu.cn</t>
  </si>
  <si>
    <t>Wang, Tao/AAN-2496-2021; Hu, Yihang/ADN-8832-2022</t>
  </si>
  <si>
    <t>Hu, Yihang/0000-0003-3674-2308; Wang, Tao/0009-0006-5366-3942</t>
  </si>
  <si>
    <t>National Natural Science Foundation of China [42130601, 41630421, 42075062]; Southern Marine Science and Engineering Guangdong Laboratory (Zhuhai) [SML2021SP312]</t>
  </si>
  <si>
    <t>National Natural Science Foundation of China(National Natural Science Foundation of China (NSFC)); Southern Marine Science and Engineering Guangdong Laboratory (Zhuhai)</t>
  </si>
  <si>
    <t>This work has been supported by the National Natural Science Foundation of China (grant nos. 42130601, 41630421 and 42075062) and the project by Southern Marine Science and Engineering Guangdong Laboratory (Zhuhai; grant no. SML2021SP312). We thank the Institute Pierre Simon Laplace (IPSL), NCEP and National Center for Atmospheric Research (NCAR), and the Japan Meteorological Agency (JMA) for providing the ERA-Interim, NCEP-2, and JRA-55 datasets. We thank the National Aeronautics and Space Administration (NASA) for providing the MERRA-2 dataset and SBUV v8.6 satellite dataset. We thank the National Oceanic and Atmospheric Administration (NOAA) for providing ERSST v5 dataset and IPO index. We also thank the scientific team at NCAR for providing the CESM-1 model. Finally, we thank the computing support provided by the Super Computing Center and the College of Atmospheric Sciences from Lanzhou University.</t>
  </si>
  <si>
    <t>10.5194/acp-22-1575-2022</t>
  </si>
  <si>
    <t>YT5VG</t>
  </si>
  <si>
    <t>WOS:000751426600001</t>
  </si>
  <si>
    <t>Silber, I; Jackson, RC; Fridlind, AM; Ackerman, AS; Collis, S; Verlinde, J; Ding, JC</t>
  </si>
  <si>
    <t>Silber, Israel; Jackson, Robert C.; Fridlind, Ann M.; Ackerman, Andrew S.; Collis, Scott; Verlinde, Johannes; Ding, Jiachen</t>
  </si>
  <si>
    <t>The Earth Model Column Collaboratory (EMC2) v1.1: an open-source ground-based lidar and radar instrument simulator and subcolumn generator for large-scale models</t>
  </si>
  <si>
    <t>MULTIPLE-SCATTERING; CLOUD MICROPHYSICS; REFRACTIVE-INDEX; CLIMATE MODEL; PRECIPITATION; PARAMETERIZATION; PRODUCTS; BACKSCATTERING; POLARIZATION; TEMPERATURE</t>
  </si>
  <si>
    <t>Climate models are essential for our comprehensive understanding of Earth's atmosphere and can provide critical insights on future changes decades ahead. Because of these critical roles, today's climate models are continuously being developed and evaluated using constraining observations and measurements obtained by satellites, airborne, and ground-based instruments. Instrument simulators can provide a bridge between the measured or retrieved quantities and their sampling in models and field observations while considering instrument sensitivity limitations. Here we present the Earth Model Column Collaboratory (EMC2), an open-source ground-based lidar and radar instrument simulator and subcolumn generator, specifically designed for large-scale models, in particular climate models, but also applicable to high-resolution model output. EMC2 provides a flexible framework enabling direct comparison of model output with ground-based observations, including generation of subcolumns that may statistically represent finer model spatial resolutions. In addition, EMC2 emulates ground-based (and air- or space-borne) measurements while remaining faithful to large-scale models' physical assumptions implemented in their cloud or radiation schemes. The simulator uses either single particle or bulk particle size distribution lookup tables, depending on the selected scheme approach, to perform the forward calculations. To facilitate model evaluation, EMC2 also includes three hydrometeor classification methods, namely, radar- and sounding-based cloud and precipitation detection and classification, lidar-based phase classification, and a Cloud Feedback Model Intercomparison Project Observational Simulator Package (COSP) lidar simulator emulator. The software is written in Python, is easy to use, and can be straightforwardly customized for different models, radars, and lidars. Following the description of the logic, functionality, features, and software structure of EMC2, we present a case study of highly supercooled mixed-phase cloud based on measurements from the U.S. Department of Energy Atmospheric Radiation Measurement (ARM) West Antarctic Radiation Experiment (AWARE). We compare observations with the application of EMC2 to outputs from four configurations of the NASA Goddard Institute for Space Studies (GISS) climate model (ModelE3) in single-column model (SCM) mode and from a large-eddy simulation (LES) model. We show that two of the four ModelE3 configurations can form and maintain highly supercooled precipitating cloud for several hours, consistent with observations and LES. While our focus is on one of these ModelE3 configurations, which performed slightly better in this case study, both of these configurations and the LES results post-processed with EMC2 generally provide reasonable agreement with observed lidar and radar variables. As briefly demonstrated here, EMC2 can provide a lightweight and flexible framework for comparing the results of both large-scale and high-resolution models directly with observations, with relatively little overhead and multiple options for achieving consistency with model microphysical or radiation scheme physics.</t>
  </si>
  <si>
    <t>[Silber, Israel; Verlinde, Johannes] Penn State Univ, Dept Meteorol &amp; Atmospher Sci, University Pk, PA 16802 USA; [Jackson, Robert C.; Collis, Scott] Argonne Natl Lab, Environm Sci Div, 9700 S Cass Ave, Argonne, IL 60439 USA; [Fridlind, Ann M.; Ackerman, Andrew S.] NASA, Goddard Inst Space Studies, New York, NY 10025 USA; [Ding, Jiachen] Texas A&amp;M Univ, Dept Atmospher Sci, College Stn, TX USA</t>
  </si>
  <si>
    <t>Pennsylvania Commonwealth System of Higher Education (PCSHE); Pennsylvania State University; Pennsylvania State University - University Park; United States Department of Energy (DOE); Argonne National Laboratory; National Aeronautics &amp; Space Administration (NASA); NASA Goddard Space Flight Center; Goddard Institute for Space Studies; Texas A&amp;M University System; Texas A&amp;M University College Station</t>
  </si>
  <si>
    <t>Silber, I (corresponding author), Penn State Univ, Dept Meteorol &amp; Atmospher Sci, University Pk, PA 16802 USA.</t>
  </si>
  <si>
    <t>ixs34@psu.edu</t>
  </si>
  <si>
    <t>Ding, Jiachen/AFP-4778-2022; Ackerman, Andrew/D-4433-2012; Fridlind, Ann/E-1495-2012; /H-8351-2017</t>
  </si>
  <si>
    <t>Ding, Jiachen/0000-0003-4928-6698; Fridlind, Ann/0000-0002-9020-0852; Silber, Israel/0000-0001-6588-2145; /0000-0002-9121-3110</t>
  </si>
  <si>
    <t>DOE [DE-SC0018046, DE-SC0021004]; U.S. Department of Energy (DOE) Atmospheric System Research (ASR), Office of Science, Office of Biological and Environmental Research (BER) program [DE-AC02-06CH11357]; NASA Modeling Analysis and Prediction Program; NASA Center for Climate Simulation (NCCS) at Goddard Space Flight Center; U.S. Department of Energy (DOE) [DE-SC0018046, DE-SC0021004] Funding Source: U.S. Department of Energy (DOE)</t>
  </si>
  <si>
    <t>DOE(United States Department of Energy (DOE)); U.S. Department of Energy (DOE) Atmospheric System Research (ASR), Office of Science, Office of Biological and Environmental Research (BER) program(United States Department of Energy (DOE)); NASA Modeling Analysis and Prediction Program(National Aeronautics &amp; Space Administration (NASA)); NASA Center for Climate Simulation (NCCS) at Goddard Space Flight Center; U.S. Department of Energy (DOE)(United States Department of Energy (DOE))</t>
  </si>
  <si>
    <t>We thank Gregory Elsasser, Bastiaan van Diedenhoven, Maxwell Kelley, and Ed Eloranta for helpful discussions. Israel Silber is supported by DOE grants DE-SC0018046 and DE-SC0021004. Scott Collis and Robert C. Jackson were supported by the U.S. Department of Energy (DOE) Atmospheric System Research (ASR), Office of Science, Office of Biological and Environmental Research (BER) program, under contract DE-AC02-06CH11357 awarded to Argonne National Laboratory. Ann M. Fridlind and Andrew S. Ackerman were supported by the NASA Modeling Analysis and Prediction Program. Resources supporting this work were provided by the NASA Center for Climate Simulation (NCCS) at Goddard Space Flight Center.</t>
  </si>
  <si>
    <t>10.5194/gmd-15-901-2022</t>
  </si>
  <si>
    <t>YT5XY</t>
  </si>
  <si>
    <t>WOS:000751433700001</t>
  </si>
  <si>
    <t>Chadid, M</t>
  </si>
  <si>
    <t>Chadid, Merieme</t>
  </si>
  <si>
    <t>Detection of Gravity Modes in RR Lyrae Stars</t>
  </si>
  <si>
    <t>ASTROPHYSICAL JOURNAL</t>
  </si>
  <si>
    <t>DOUBLE-PERIODIC PULSATION; 1ST DETECTION; NONRADIAL PULSATION; FREQUENCY-ANALYSIS; OGLE COLLECTION; GALACTIC BULGE; LIGHT CURVES; ANTARCTICA; CONVECTION; EXCITATION</t>
  </si>
  <si>
    <t>We report the detection of gravity modes in RR Lyrae stars. Thanks to Photometer AntarctIca eXtinction (PAIX), the first Antarctic polar photometer. Unprecedented and uninterrupted UBVRI time-series photometric ground-based data are collected during 150 days from the highest plateau of Antarctica. PAIX light-curve analyses reveal an even richer power spectrum with mixed modes in RR Lyrae stars. The nonlinear nature of several dominant peaks, showing lower and higher frequencies, occurs around the dominant fundamental radial pressure mode. These lower frequencies and harmonics linearly interact with the dominant fundamental radial pressure mode and its second and third overtone pressure modes, as well. Half-integer frequencies are also detected, likewise side-peak structures, demonstrating that HH Puppis is a bona-fide Blazhko star. Fourier correlations are used to derive underlying physical characteristics for HH Puppis. The most striking finding is the direct detection of gravity waves. We interpret the excitation mechanism of gravity waves in RR Lyrae stars by the penetrative convection-driving mechanism. We demonstrate that RR Lyrae stars' pulsation is excited by several distinct mechanisms, and hence RR Lyrae stars are simultaneously g-mode and p-mode pulsators. Our discoveries make RR Lyrae stars very challenging stellar objects, and provide their potential to undergo at the same time g and p modes toward an advancement of the theory of stellar evolution and a better understanding of the universe.</t>
  </si>
  <si>
    <t>[Chadid, Merieme] Univ Cote Azur, Nice Sophia Antipolis Univ, CNRS UMR 7250, CS 34229, F-06304 Nice 4, France</t>
  </si>
  <si>
    <t>Universite Cote d'Azur</t>
  </si>
  <si>
    <t>Chadid, M (corresponding author), Univ Cote Azur, Nice Sophia Antipolis Univ, CNRS UMR 7250, CS 34229, F-06304 Nice 4, France.</t>
  </si>
  <si>
    <t>chadid@unice.fr</t>
  </si>
  <si>
    <t>United States Air Force Research Laboratory through the European Office of Aerospace Research and Development-US Air Forces [F61775-02-C002]</t>
  </si>
  <si>
    <t>United States Air Force Research Laboratory through the European Office of Aerospace Research and Development-US Air Forces</t>
  </si>
  <si>
    <t>The PAIX project has been supported by the United States Air Force Research Laboratory through the European Office of Aerospace Research and Development-US Air Forces F61775-02-C002.</t>
  </si>
  <si>
    <t>0004-637X</t>
  </si>
  <si>
    <t>1538-4357</t>
  </si>
  <si>
    <t>ASTROPHYS J</t>
  </si>
  <si>
    <t>Astrophys. J.</t>
  </si>
  <si>
    <t>10.3847/1538-4357/ac37c0</t>
  </si>
  <si>
    <t>YQ7UT</t>
  </si>
  <si>
    <t>WOS:000749511700001</t>
  </si>
  <si>
    <t>Laranjeiro, MI; Farré, M; Phillips, RA; Quillfeldt, P; Bonadonna, F; Gémard, C; Daigre, M; Suazo, CG; Barbraud, C; Navarro, J</t>
  </si>
  <si>
    <t>Laranjeiro, Maria, I; Farre, Marc; Phillips, Richard A.; Quillfeldt, Petra; Bonadonna, Francesco; Gemard, Charlene; Daigre, Maximiliano; Suazo, Cristian G.; Barbraud, Christophe; Navarro, Joan</t>
  </si>
  <si>
    <t>Variation among species and populations in bill shape and size in three planktivorous petrels</t>
  </si>
  <si>
    <t>MARINE BIOLOGY</t>
  </si>
  <si>
    <t>Bill morphology; Character displacement; Ecological segregation; Geometric morphometrics; Niche differentiation; Seabirds</t>
  </si>
  <si>
    <t>FEEDING ECOLOGY; SOUTH-GEORGIA; GEOMETRIC MORPHOMETRICS; PACHYPTILA-DESOLATA; HALOBAENA-CAERULEA; FORAGING BEHAVIOR; NATURAL-SELECTION; ILES-KERGUELEN; MORPHOLOGY; FOOD</t>
  </si>
  <si>
    <t>Morphological variation in biological structures may be driven by genetic and environmental factors, such as inter- and intraspecific competition for resources. In seabirds, although the bill is also involved in vocalization, olfaction, sexual selection and defence, the main drivers of high morphological plasticity in bill size and shape appear to relate primarily to diet and thus to niche differentiation. Here, we combined geometric morphometrics and comparisons of linear measurements as a precise tool for measuring shape variation in anatomical features, to investigate the differences among species and populations (island groups) in bill shape of three planktivorous petrels (Antarctic prion Pachyptila desolata, blue petrel Halobaena caerulea and thin-billed prion Pachyptila belcheri). Fieldwork was carried out in South Georgia (54 degrees 0 ' S, 38 degrees 3 ' W), Falkland (51 degrees 42 ' S, 57 degrees 51 ' W), Diego Ramirez (56 degrees 31 ' S, 68 degrees 44 ' W) and Kerguelen (49 degrees 20 ' S, 69 degrees 20 ' E) Islands, from 2010 to 2021. Results show that the bills of Antarctic prions were more robust and shorter, appropriate for filtering large amounts of small prey. Blue petrels and thin-billed prions had narrower and longer bills, effective for catching and tearing large single prey. Also, Antarctic prions and blue petrels from Kerguelen had longer and narrower bills than conspecifics from other colonies, which could potentially be explained by geographic variation in diet. In conclusion, prey availability and diversity appear to be important factors influencing variation in bill morphology. This study highlights the utility of geometric morphometrics for investigating bill shape variation in seabirds. Nevertheless, further studies are needed to better understand selective pressures leading to morphological variation of biological structures.</t>
  </si>
  <si>
    <t>[Laranjeiro, Maria, I; Farre, Marc; Navarro, Joan] Inst Ciencies Mar ICM, CSIC, Passeig Maritim De La Barceloneta 37-49, Barcelona 08003, Spain; [Laranjeiro, Maria, I] Univ Coimbra, MARE Marine &amp; Environm Sci Ctr, Dept Life Sci, P-3000456 Coimbra, Portugal; [Farre, Marc] Ctr Oceanog Baleares IEO, CSIC, Moll Ponent S-N, Palma De Mallorca 07015, Spain; [Phillips, Richard A.] British Antarctic Survey, Nat Environm Res Council, Cambridge, England; [Quillfeldt, Petra; Suazo, Cristian G.] Justus Liebig Univ Giessen, Dept Anim Ecol &amp; Systemat, Heinrich Buff Ring 26, D-35392 Giessen, Germany; [Bonadonna, Francesco; Gemard, Charlene] Univ Montpellier, EPHE, CNRS, CEFE,IRD, Montpellier, France; [Daigre, Maximiliano] Univ Andres Bello, Fac Ciencias La Vida, Recursos Nat, Republ 440, Santiago, Chile; [Barbraud, Christophe] Ctr Etud Biol Chize, CNRS UMR7372, F-79360 Villiers En Bois, France</t>
  </si>
  <si>
    <t>Consejo Superior de Investigaciones Cientificas (CSIC); CSIC - Centro Mediterraneo de Investigaciones Marinas y Ambientales (CMIMA); CSIC - Instituto de Ciencias del Mar (ICM); Universidade de Coimbra; Consejo Superior de Investigaciones Cientificas (CSIC); UK Research &amp; Innovation (UKRI); Natural Environment Research Council (NERC); NERC British Antarctic Survey; Justus Liebig University Giessen; Universite PSL; Ecole Pratique des Hautes Etudes (EPHE); Institut Agro; Montpellier SupAgro; CIRAD; Centre National de la Recherche Scientifique (CNRS); Institut de Recherche pour le Developpement (IRD); Universite Paul-Valery; Universite de Montpellier; Universidad Andres Bello; Centre National de la Recherche Scientifique (CNRS); CNRS - Institute of Ecology &amp; Environment (INEE)</t>
  </si>
  <si>
    <t>Laranjeiro, MI (corresponding author), Inst Ciencies Mar ICM, CSIC, Passeig Maritim De La Barceloneta 37-49, Barcelona 08003, Spain.;Laranjeiro, MI (corresponding author), Univ Coimbra, MARE Marine &amp; Environm Sci Ctr, Dept Life Sci, P-3000456 Coimbra, Portugal.</t>
  </si>
  <si>
    <t>mariaines.santos@outlook.pt</t>
  </si>
  <si>
    <t>Daigre, Maximiliano/JBJ-2847-2023; Barbraud, Christophe/A-5870-2012; Navarro, Joan/C-2119-2009; Quillfeldt, Petra/A-9549-2009</t>
  </si>
  <si>
    <t>Barbraud, Christophe/0000-0003-0146-212X; Navarro, Joan/0000-0002-5756-9543; Laranjeiro, Maria Ines/0000-0001-9884-4743; Quillfeldt, Petra/0000-0002-4450-8688</t>
  </si>
  <si>
    <t>Erasmus+ internship of the European Union; project CLIFISH (MINECO/FEDER) [CTM201566400-C3-3-R]; Ministerio de Economia y Competitividad of the Spanish government; European Regional Development Fund (ERDF); Spanish National Program Ramon y Cajal [RYC-2015-17809]; Collaborative Gearing Scheme of the NERC Antarctic Funding Initiative; Deutsche Forschungsgemeinschaft (DFG) [SPP1154]; French Polar Institute Paul Emile Victor (IPEV) [354]; Armada de Chile (Chilean Navy, 3rd Naval Zone)</t>
  </si>
  <si>
    <t>Erasmus+ internship of the European Union(European Union (EU)); project CLIFISH (MINECO/FEDER); Ministerio de Economia y Competitividad of the Spanish government(Spanish Government); European Regional Development Fund (ERDF)(European Union (EU)); Spanish National Program Ramon y Cajal(German Research Foundation (DFG)); Collaborative Gearing Scheme of the NERC Antarctic Funding Initiative; Deutsche Forschungsgemeinschaft (DFG)(German Research Foundation (DFG)); French Polar Institute Paul Emile Victor (IPEV); Armada de Chile (Chilean Navy, 3rd Naval Zone)</t>
  </si>
  <si>
    <t>MIL was funded with an Erasmus+ internship of the European Union. MF was supported by the project CLIFISH (CTM201566400-C3-3-R, MINECO/FEDER) co-funded by the Ministerio de Economia y Competitividad of the Spanish government and by the European Regional Development Fund (ERDF). JN was supported by the Spanish National Program Ramon y Cajal (RYC-2015-17809). JN was funded with the Collaborative Gearing Scheme of the NERC Antarctic Funding Initiative. PQ was supported by the Deutsche Forschungsgemeinschaft (DFG) in the framework of the priority programme SPP1154 Antarctic Research with comparative investigations in Arctic ice areas. Kerguelen data were supported by the French Polar Institute Paul Emile Victor (IPEV, program no. 354 to FB). Work on Diego Ramirez Islands was supported by Armada de Chile (Chilean Navy, 3rd Naval Zone).</t>
  </si>
  <si>
    <t>SPRINGER HEIDELBERG</t>
  </si>
  <si>
    <t>HEIDELBERG</t>
  </si>
  <si>
    <t>TIERGARTENSTRASSE 17, D-69121 HEIDELBERG, GERMANY</t>
  </si>
  <si>
    <t>0025-3162</t>
  </si>
  <si>
    <t>1432-1793</t>
  </si>
  <si>
    <t>MAR BIOL</t>
  </si>
  <si>
    <t>Mar. Biol.</t>
  </si>
  <si>
    <t>10.1007/s00227-021-04014-7</t>
  </si>
  <si>
    <t>Marine &amp; Freshwater Biology</t>
  </si>
  <si>
    <t>YI6HQ</t>
  </si>
  <si>
    <t>WOS:000743947700003</t>
  </si>
  <si>
    <t>Acevedo-Barrios, R; Rubiano-Labrador, C; Miranda-Castro, W</t>
  </si>
  <si>
    <t>Acevedo-Barrios, Rosa; Rubiano-Labrador, Carolina; Miranda-Castro, Wendy</t>
  </si>
  <si>
    <t>Presence of perchlorate in marine sediments from Antarctica during 2017-2020</t>
  </si>
  <si>
    <t>ENVIRONMENTAL MONITORING AND ASSESSMENT</t>
  </si>
  <si>
    <t>Selective electrode; Endocrine disruptor; Environmental fate; South Shetland Islands; Toxicology; Occurrence assessment</t>
  </si>
  <si>
    <t>AMMONIUM-PERCHLORATE; THYROID-FUNCTION; ICE CORE; SNOW; REDUCTION; TRENDS; RECORD</t>
  </si>
  <si>
    <t>Perchlorate of natural origin is a persistent pollutant that affects thyroid function by inhibiting iodine uptake, and this pollutant is frequently detected in different ecosystems at concentrations that can harm human health. In this study, we measured the perchlorate concentrations in 3,000 marine sediment samples from January to March in 2017, 2018, 2019, and 2020 during the 3(rd), 4(th), 5(th), and 6(th) Colombian Scientific Expeditions to Antarctica. The sampling zones were located at 15 different points on the South Shetland Islands and Antarctic Peninsula, and they were measured using a selective perchlorate electrode. The concentration data indicate that perchlorate reached a minimum concentration of 90 ppm on Horseshoe Island and a maximum concentration of 465 ppm on Deception Island, suggesting a spatial variation in perchlorate concentrations that can be attributed to the natural formation of this pollutant due to volcanic eruptions. Additionally, homogeneous distribution of perchlorate was not observed in Antarctica.</t>
  </si>
  <si>
    <t>[Acevedo-Barrios, Rosa; Rubiano-Labrador, Carolina; Miranda-Castro, Wendy] Univ Tecnol Bolivar, Fac Ciencias Basicas, Grp Estudios Quim &amp; Biol, Cartagena 130010, Colombia</t>
  </si>
  <si>
    <t>Universidad Tecnologica de Bolivar</t>
  </si>
  <si>
    <t>Acevedo-Barrios, R (corresponding author), Univ Tecnol Bolivar, Fac Ciencias Basicas, Grp Estudios Quim &amp; Biol, Cartagena 130010, Colombia.</t>
  </si>
  <si>
    <t>racevedo@utb.edu.co</t>
  </si>
  <si>
    <t>Acevedo-Barrios, Rosa/ADD-2810-2022</t>
  </si>
  <si>
    <t>Rubiano Labrador, Carolina/0000-0001-9064-3680; Acevedo-Barrios, Rosa/0000-0002-5593-0171</t>
  </si>
  <si>
    <t>Research, Innovation, and Entrepreneurship Directorate of the Technological University of Bolivar</t>
  </si>
  <si>
    <t>\This research was supported by the Research, Innovation, and Entrepreneurship Directorate of the Technological University of Bolivar.</t>
  </si>
  <si>
    <t>0167-6369</t>
  </si>
  <si>
    <t>1573-2959</t>
  </si>
  <si>
    <t>ENVIRON MONIT ASSESS</t>
  </si>
  <si>
    <t>Environ. Monit. Assess.</t>
  </si>
  <si>
    <t>10.1007/s10661-022-09765-4</t>
  </si>
  <si>
    <t>YI0LO</t>
  </si>
  <si>
    <t>WOS:000743549100002</t>
  </si>
  <si>
    <t>Coxon, JC; Aruliah, A; Bentley, S; Shore, RM</t>
  </si>
  <si>
    <t>Coxon, John C.; Aruliah, Anasuya; Bentley, Sarah; Shore, Robert M.</t>
  </si>
  <si>
    <t>RAS Specialist Discussion Meeting report</t>
  </si>
  <si>
    <t>ASTRONOMY &amp; GEOPHYSICS</t>
  </si>
  <si>
    <t>[Coxon, John C.; Bentley, Sarah] Northumbria Univ, Newcastle Upon Tyne, England; [Aruliah, Anasuya] UCL Dept Phys &amp; Astron, Astrophys Group, London, England; [Shore, Robert M.] British Antarctic Survey, Space Weather &amp; Atmosphere Team, Cambridge, England</t>
  </si>
  <si>
    <t>Northumbria University; University of London; University College London; UK Research &amp; Innovation (UKRI); Natural Environment Research Council (NERC); NERC British Antarctic Survey</t>
  </si>
  <si>
    <t>Coxon, JC (corresponding author), Northumbria Univ, Newcastle Upon Tyne, England.</t>
  </si>
  <si>
    <t>Science and Technology Facilities Council (STFC) [ST/R000719/1]; Natural Environment Research Council [NE/V002716/1, NE/V002732/1]</t>
  </si>
  <si>
    <t>Science and Technology Facilities Council (STFC)(UK Research &amp; Innovation (UKRI)Science &amp; Technology Facilities Council (STFC)Science and Technology Development Fund (STDF)); Natural Environment Research Council(UK Research &amp; Innovation (UKRI)Natural Environment Research Council (NERC))</t>
  </si>
  <si>
    <t>All the authors are grateful to the RAS for hosting the meeting described in this article as part of their specialist discussion programme. J.C.C. was supported by Science and Technology Facilities Council (STFC) Consolidated Grant ST/R000719/1. R.M.S. was supported by Natural Environment Research Council grants NE/V002716/1 and NE/V002732/1.</t>
  </si>
  <si>
    <t>1366-8781</t>
  </si>
  <si>
    <t>1468-4004</t>
  </si>
  <si>
    <t>ASTRON GEOPHYS</t>
  </si>
  <si>
    <t>Astron. Geophys.</t>
  </si>
  <si>
    <t>Astronomy &amp; Astrophysics; Geochemistry &amp; Geophysics</t>
  </si>
  <si>
    <t>VN7EG</t>
  </si>
  <si>
    <t>WOS:001186371400005</t>
  </si>
  <si>
    <t>Meredith, NP; Cunio, K; Scarborough, D; Wynne, AD</t>
  </si>
  <si>
    <t>Meredith, Nigel P.; Cunio, Kim; Scarborough, Diana; Wynne, Amanda D.</t>
  </si>
  <si>
    <t>Music of the</t>
  </si>
  <si>
    <t>[Meredith, Nigel P.; Wynne, Amanda D.] British Antarctic Survey, Cambridge, England; [Cunio, Kim] Australian Natl Univ, Sch Mus, Canberra, Australia</t>
  </si>
  <si>
    <t>UK Research &amp; Innovation (UKRI); Natural Environment Research Council (NERC); NERC British Antarctic Survey; Australian National University</t>
  </si>
  <si>
    <t>Meredith, NP (corresponding author), British Antarctic Survey, Cambridge, England.</t>
  </si>
  <si>
    <t>nmer@bas.ac.uk; cunio@anu.edu.au; dianasj62@yahoo.co.uk; amwynne@bas.ac.uk</t>
  </si>
  <si>
    <t>Natural Environment Research Council Highlight Topic grant [NE/P10738X/1]; NERC [NE/V00249X/1, NE/R016038/1]</t>
  </si>
  <si>
    <t>Natural Environment Research Council Highlight Topic grant; NERC(UK Research &amp; Innovation (UKRI)Natural Environment Research Council (NERC))</t>
  </si>
  <si>
    <t>We would like to thank the institutions who have provided the audio data used in this project including the British Antarctic Survey, the University of Iowa, NASA, the European Space Agency, Jodrell Bank Observatory, the LIGO Scientific Collaboration and the Virgo Collaboration. Nigel Meredith would like to acknowledge funding from Natural Environment Research Council Highlight Topic grant NE/P10738X/1 (Rad-Sat), and the NERC grants NE/V00249X/1 (Sat-Risk) and NE/R016038/1.</t>
  </si>
  <si>
    <t>WOS:001186371400006</t>
  </si>
  <si>
    <t>Ge, LK; Cao, SK; Halsall, C; Niu, JF; Bai, DX; He, GK; Zhang, P; Ma, HR</t>
  </si>
  <si>
    <t>Ge, Linke; Cao, Shengkai; Halsall, Crispin; Niu, Junfeng; Bai, Dongxiao; He, Guangkai; Zhang, Peng; Ma, Hongrui</t>
  </si>
  <si>
    <t>Photodegradation of hydroxyfluorenes in ice and water: A comparison of kinetics, effects of water constituents, and phototransformation by-products</t>
  </si>
  <si>
    <t>JOURNAL OF ENVIRONMENTAL SCIENCES</t>
  </si>
  <si>
    <t>Ice photochemistry; Hydroxyfluorene; Photodegradation; Kinetics; Water constituents; Intermediates</t>
  </si>
  <si>
    <t>DISSOLVED ORGANIC-MATTER; POLYCYCLIC AROMATIC-HYDROCARBONS; AQUEOUS-SOLUTION; PHOTOCHEMICAL DEGRADATION; PHOTOLYSIS; PAHS; METABOLITES; PATHWAYS; NITRITE; NITRATE</t>
  </si>
  <si>
    <t>The photochemical behavior of organic pollutants in ice is poorly studied in comparison to aqueous photochemistry. Here we report a detailed comparison of ice and aqueous photodegradation of two representative OH-PAHs, 2-hydroxyfluorene (2-OHFL) and 9-hydroxyfluorene (9-OHFL), which are newly recognized contaminants in the wider environment including colder regions. Interestingly, their photodegradation kinetics were clearly influenced by whether they reside in ice or water. Under the same simulated solar irradiation (lambda &gt; 290 nm), OHFLs photodegraded faster in ice than in equivalent aqueous solutions and this was attributed to the specific concentration effect caused by freezing. Furthermore, the presence of dissolved constituents in ice also influenced photodegradation with 2-OHFL phototransforming the fastest in 'seawater' ice (k = (11.4 +/- 1.0) x 10(-2) min(-1)) followed by 'pure-water' ice ((8.7 +/- 0.4) x 10(-2) min(-1)) and 'freshwater' ice ((8.0 +/- 0.7) x 10(-2) min(-1)). The presence of dissolved constituents (specifically Cl-, NO3-, Fe(III) and humic acid) influences the phototransformation kinetics, either enhancing or suppressing phototransformation, but this is based on the quantity of the constituent present in the matrixes, the specific OHFL isomer and the matrix type (e.g., ice or aqueous solution). Careful derivation of key photointermediates was undertaken in both ice and water samples using tandem mass spectrometry. Ice phototransformation exhibited fewer by-products and 'simpler' pathways giving rise to a range of hydroxylated fluorenes and hydroxylated fluorenones in ice. These results are of importance when considering the fate of PAHs and OH-PAHs in cold regions and their persistence in sunlit ice. (C) 2022 The Research Center for Eco-Environmental Sciences, Chinese Academy of Sciences. Published by Elsevier B.V.</t>
  </si>
  <si>
    <t>[Ge, Linke; Cao, Shengkai; Niu, Junfeng; Bai, Dongxiao; Zhang, Peng; Ma, Hongrui] Shaanxi Univ Sci &amp; Technol, Sch Environm Sci &amp; Engn, Xian 710021, Peoples R China; [Ge, Linke; Halsall, Crispin; Zhang, Peng] Univ Lancaster, Lancaster Environm Ctr, Lancaster LA1 4YQ, England; [Ge, Linke; He, Guangkai; Zhang, Peng] Natl Marine Environm Monitoring Ctr, State Environm Protect Key Lab Coastal Ecosyst, Dalian 116023, Peoples R China</t>
  </si>
  <si>
    <t>Shaanxi University of Science &amp; Technology; Lancaster University; National Marine Environmental Monitoring Center</t>
  </si>
  <si>
    <t>Zhang, P (corresponding author), Shaanxi Univ Sci &amp; Technol, Sch Environm Sci &amp; Engn, Xian 710021, Peoples R China.;Zhang, P (corresponding author), Univ Lancaster, Lancaster Environm Ctr, Lancaster LA1 4YQ, England.;Zhang, P (corresponding author), Natl Marine Environm Monitoring Ctr, State Environm Protect Key Lab Coastal Ecosyst, Dalian 116023, Peoples R China.</t>
  </si>
  <si>
    <t>zhangpeng4477@sust.edu.cn</t>
  </si>
  <si>
    <t>Niu, Junfeng/A-5489-2012; Halsall, Crispin/D-8135-2014</t>
  </si>
  <si>
    <t>Niu, Junfeng/0000-0003-2592-3103; Halsall, Crispin/0000-0001-8007-9756</t>
  </si>
  <si>
    <t>National Natural Science Foundation of China [21976045, 22076112]; CAS Key Laboratory of Coastal Environmental Processes and Ecological Remediation [2020KFJJ03]; State Environmental Protection Key Laboratory of Coastal Ecosystem [202102]; China Scholarship Council (CSC) [201704180014, 201704180009]; Chinese Arctic and Antarctic Administration</t>
  </si>
  <si>
    <t>National Natural Science Foundation of China(National Natural Science Foundation of China (NSFC)); CAS Key Laboratory of Coastal Environmental Processes and Ecological Remediation; State Environmental Protection Key Laboratory of Coastal Ecosystem; China Scholarship Council (CSC)(China Scholarship Council); Chinese Arctic and Antarctic Administration</t>
  </si>
  <si>
    <t>This work was supported by the National Natural Science Foundation of China (Nos. 21976045, 22076112) , the CAS Key Laboratory of Coastal Environmental Processes and Ecolog-ical Remediation (No. 2020KFJJ03) , the State Environmental Protection Key Laboratory of Coastal Ecosystem (No. 202102) , the China Scholarship Council (CSC) Scholarship (Nos. 201704180014, 201704180009) , and the Chinese Arctic and Antarctic Administration.</t>
  </si>
  <si>
    <t>SCIENCE PRESS</t>
  </si>
  <si>
    <t>BEIJING</t>
  </si>
  <si>
    <t>16 DONGHUANGCHENGGEN NORTH ST, BEIJING 100717, PEOPLES R CHINA</t>
  </si>
  <si>
    <t>1001-0742</t>
  </si>
  <si>
    <t>1878-7320</t>
  </si>
  <si>
    <t>J ENVIRON SCI</t>
  </si>
  <si>
    <t>J. Environ. Sci.</t>
  </si>
  <si>
    <t>10.1016/j.jes.2021.11.002</t>
  </si>
  <si>
    <t>1I3WO</t>
  </si>
  <si>
    <t>WOS:000797162500016</t>
  </si>
  <si>
    <t>Cheng, TZ; Zou, JJ; Shi, XF; Gorbarenko, S; Vasilenko, Y; Bosin, A; Liu, YG; Chen, B</t>
  </si>
  <si>
    <t>Cheng, Tianze; Zou, Jianjun; Shi, Xuefa; Gorbarenko, Sergey; Vasilenko, Yuriy; Bosin, Alexandr; Liu, Yanguang; Chen, Bing</t>
  </si>
  <si>
    <t>Climate-Driven Changes in High-Intensity Wildfire on Orbital Timescales in Eurasia since 320ka</t>
  </si>
  <si>
    <t>LITHOSPHERE</t>
  </si>
  <si>
    <t>CHINESE LOESS PLATEAU; BLACK CARBON RECORDS; FIRE REGIMES; ELEMENTAL CARBON; NORTHEASTERN SIBERIA; ANTARCTIC CLIMATE; LAKE ELGYGYTGYN; NORTHERN CHINA; ASIAN MONSOON; VARIABILITY</t>
  </si>
  <si>
    <t>Wildfire is an integral part of the Earth's climate system and plays an important role in shaping terrestrial ecosystems and biodiversity, atmospheric chemistry, regional climate, and the carbon cycle in the Earth's history. However, the lack of high-resolution records of long wildfires limits our understanding of the natural variability, long-term trends of wildfire activity, and the reasons behind the changes in wildfire on orbital timescales. Here, a 320 ka long high-resolution wildfire record from the subarctic North Pacific is reconstructed with black carbon (BC), including its two subtypes char and soot. A 7-day-long back trajectory simulation analysis reveals the higher frequency of trajectories comes from Siberia. Our data show that continuous incidence of wildfire on a continental scale over the last 320 ka was higher during glacial periods than during the interglacial periods. The increase in wildfire frequency during glacial periods is ascribed to less precipitation. Contrasting patterns of wildfire incidence between marine isotope stages 2 and 6 may be ascribed to different fuel availability, which is related to contrasting configurations of the Northern Hemisphere ice sheet between glacial periods. A significant periodicity of 23 ka of our wildfire record suggests the precession of the Earth's orbit pace wildfire development. The tight coupling of intensified wildfire and enhanced nutrient utilization efficiency suggests a nontrivial role of fire in the climate system.</t>
  </si>
  <si>
    <t>[Cheng, Tianze; Chen, Bing] Shandong Univ, Environm Res Inst, Qingdao 266237, Peoples R China; [Zou, Jianjun; Shi, Xuefa; Liu, Yanguang] Minist Nat Resources, Inst Oceanog 1, Key Lab Marine Geol &amp; Metallogeny, Qingdao 266061, Peoples R China; [Zou, Jianjun; Shi, Xuefa; Liu, Yanguang; Chen, Bing] Pilot Natl Lab Marine Sci &amp; Technol Qingdao, Qingdao 266061, Peoples R China; [Bosin, Alexandr] Russian Acad Sci, Far East Branch, VI Ilichev Pacific Oceanol Inst, Vladivostok, Russia</t>
  </si>
  <si>
    <t>Shandong University; Ministry of Natural Resources of the People's Republic of China; First Institute of Oceanography, Ministry of Natural Resources; Laoshan Laboratory; Russian Academy of Sciences; Ilichev Pacific Oceanological Institute</t>
  </si>
  <si>
    <t>Chen, B (corresponding author), Shandong Univ, Environm Res Inst, Qingdao 266237, Peoples R China.;Zou, JJ; Shi, XF (corresponding author), Minist Nat Resources, Inst Oceanog 1, Key Lab Marine Geol &amp; Metallogeny, Qingdao 266061, Peoples R China.;Zou, JJ; Shi, XF; Chen, B (corresponding author), Pilot Natl Lab Marine Sci &amp; Technol Qingdao, Qingdao 266061, Peoples R China.</t>
  </si>
  <si>
    <t>zoujianjun@fio.org.cn; xfshi@fio.org.cn; bingchen@sdu.edu.cn</t>
  </si>
  <si>
    <t>Chen, Bing/D-2080-2013; Vasilenko, Yuriy Pavlovich/C-3259-2018</t>
  </si>
  <si>
    <t>Chen, Bing/0000-0003-1041-4525; Vasilenko, Yuriy Pavlovich/0000-0002-2067-8869</t>
  </si>
  <si>
    <t>Marine S&amp;T Fund of Shandong Province for Pilot National Laboratory for Marine Science and Technology (Qingdao) [2022QNLM050203]; Basic Scientific Fund for National Public Research Institutes of China [GY0222G01]; Taishan Scholar Foundation of Shandong Province [TSPD20181216]</t>
  </si>
  <si>
    <t>Marine S&amp;T Fund of Shandong Province for Pilot National Laboratory for Marine Science and Technology (Qingdao); Basic Scientific Fund for National Public Research Institutes of China; Taishan Scholar Foundation of Shandong Province</t>
  </si>
  <si>
    <t>The funding for this research was supported by the Marine S&amp;T Fund of Shandong Province for Pilot National Laboratory for Marine Science and Technology (Qingdao) (Grant No. 2022QNLM050203), the Basic Scientific Fund for National Public Research Institutes of China (No. GY0222G01), and the Taishan Scholar Foundation of Shandong Province (Grant No. TSPD20181216).</t>
  </si>
  <si>
    <t>GEOSCIENCEWORLD</t>
  </si>
  <si>
    <t>MCLEAN</t>
  </si>
  <si>
    <t>1750 TYSONS BOULEVARD, SUITE 1500, MCLEAN, VA, UNITED STATES</t>
  </si>
  <si>
    <t>1941-8264</t>
  </si>
  <si>
    <t>1947-4253</t>
  </si>
  <si>
    <t>LITHOSPHERE-US</t>
  </si>
  <si>
    <t>Lithosphere</t>
  </si>
  <si>
    <t>10.2113/2022/7562666</t>
  </si>
  <si>
    <t>Geochemistry &amp; Geophysics; Geology</t>
  </si>
  <si>
    <t>E7EC3</t>
  </si>
  <si>
    <t>WOS:000977122600008</t>
  </si>
  <si>
    <t>Tang, Z; Li, TG; Xiong, ZF; Dang, HW; Guo, JT</t>
  </si>
  <si>
    <t>Tang, Zheng; Li, Tiegang; Xiong, Zhifang; Dang, Haowen; Guo, Jingteng</t>
  </si>
  <si>
    <t>Covariation of Deep Antarctic Pacific Oxygenation and Atmospheric CO2 during the Last 770kyr</t>
  </si>
  <si>
    <t>SOUTHERN-OCEAN; BARIUM ACCUMULATION; INORGANIC GERMANIUM; CLIMATE VARIABILITY; CONTINENTAL-MARGIN; DUST DEPOSITION; ATLANTIC SECTOR; BIOGENIC OPAL; TRACE-METALS; CARBON POOL</t>
  </si>
  <si>
    <t>We present new geochemical evidence of changes in oxygenation of the deep Antarctic Pacific over the last 770 kyr. Our data are derived from redox-sensitive metals and export production proxies extracted from gravity core ANT34/A2-10 at 4217 m water depth. Our results show that oxygen levels in the deep Antarctic Zone (AZ) varied in line with the release of deeply sequestered remineralized carbon to the atmosphere during glacial-interglacial (G-IG) cycles, with lower oxygen concentrations and more carbon storage during glacial periods. Subsequent reductions in the amount of carbon stored at depth were closely associated with improved ventilation during glacial terminations. The systematic and repeated glacial-to-interglacial increases in export production in the AZ region indicate a robust pattern of enhanced Southern Ocean (SO) ventilation during interglacial periods. In addition to the decline in atmospheric CO2 caused by iron fertilization in the Subantarctic AZ (SAZ) during the latter half of the glacial progression, decreases in productivity in the central AZ suggest that the weakening of SO ventilation induced deep AZ carbon sequestration and that this might have made a continuous additional contribution to the CO2 decline from each interglacial peak to glacial maximum. Observed variations in the degree of deep oxygenation and organic carbon pump efficiency in the central AZ might be driven primarily by physical ventilation processes (i.e., overturning circulation, mixing, and/or air-sea gas exchange). Our records of abyssal oxygenation in the central AZ, which vary in concert with atmospheric CO2 levels over the last several G-IG cycles, provide strong evidence that SO ventilation plays a significant role in controlling variations in both the amount of respired carbon sequestered in the deep ocean and atmospheric CO2 concentrations on G-IG timescales. Specifically, we suggest that the organic carbon pump (OCP) in the SAZ and the physical ventilation processes in the AZ (the carbon venting valve) acted together synergistically, but dominated at different intervals over G-IG cycles, to repeatedly switch the SO between carbon sink and carbon source, thereby modulating the atmospheric CO2 over the last 770 kyr. These findings provide new insights into the role of the AZ in controlling deep SO carbon sequestration and atmospheric CO2 levels in G-IG cycles.</t>
  </si>
  <si>
    <t>[Tang, Zheng; Li, Tiegang; Xiong, Zhifang; Guo, Jingteng] Minist Nat Resources, Key Lab Marine Geol &amp; Metallogeny, Inst Oceanog 1, Qingdao 266061, Peoples R China; [Tang, Zheng; Li, Tiegang; Xiong, Zhifang; Guo, Jingteng] Qingdao Natl Lab Marine Sci &amp; Technol, Lab Marine Geol, Qingdao 266237, Peoples R China; [Dang, Haowen] Tongji Univ, State Key Lab Marine Geol, Shanghai 200092, Peoples R China</t>
  </si>
  <si>
    <t>First Institute of Oceanography, Ministry of Natural Resources; Ministry of Natural Resources of the People's Republic of China; Laoshan Laboratory; Tongji University</t>
  </si>
  <si>
    <t>Li, TG (corresponding author), Minist Nat Resources, Key Lab Marine Geol &amp; Metallogeny, Inst Oceanog 1, Qingdao 266061, Peoples R China.;Li, TG (corresponding author), Qingdao Natl Lab Marine Sci &amp; Technol, Lab Marine Geol, Qingdao 266237, Peoples R China.</t>
  </si>
  <si>
    <t>tgli@fio.org.cn</t>
  </si>
  <si>
    <t>Xiong, Zhifang/H-2052-2013</t>
  </si>
  <si>
    <t>Dang, Haowen/0000-0002-1320-4761</t>
  </si>
  <si>
    <t>Impact and Response of Antarctic Seas to Climate Change [IRASCC2020-2022-01-03-02]; Basic Scientific Fund for National Public Research Institutes of China [2019Q09, 2019S04, 2017Y07]; National Natural Science Foundation of China [41976080, 42076232, 41406220, 42006075]; Taishan Scholars Project Funding [TS20190963]</t>
  </si>
  <si>
    <t>Impact and Response of Antarctic Seas to Climate Change; Basic Scientific Fund for National Public Research Institutes of China; National Natural Science Foundation of China(National Natural Science Foundation of China (NSFC)); Taishan Scholars Project Funding</t>
  </si>
  <si>
    <t>We thank the 34th Chinese Antarctic Expedition cruise members and the Chinese Arctic and Antarctic Administration for retrieving the sediment core. We are grateful to Prof. Yanguang Liu and Zhihua Chen for helpful discussions, to Aimei Zhu, Lianhua He, and Yazhi Bai for the geochemical measurements, and to Bingbin Qin for the figure output. This work was supported by the Impact and Response of Antarctic Seas to Climate Change (IRASCC2020-2022-01-03-02), the Basic Scientific Fund for National Public Research Institutes of China (Grant nos. 2019Q09, 2019S04, and 2017Y07), the National Natural Science Foundation of China (Grant nos. 41976080, 42076232, 41406220, and 42006075), and the Taishan Scholars Project Funding (Grant no. TS20190963).</t>
  </si>
  <si>
    <t>10.2113/2022/1835176</t>
  </si>
  <si>
    <t>WOS:000977122600002</t>
  </si>
  <si>
    <t>Badenhausser, I; Fourcy, D; Bertrand, M; Pierre, A; Bonneau, B; Chapuis, JL; Rantier, Y; Hullé, M</t>
  </si>
  <si>
    <t>Badenhausser, Isabelle; Fourcy, Damien; Bertrand, Mathilde; Pierre, Aurelien; Bonneau, Brigitte; Chapuis, Jean-Louis; Rantier, Yann; Hulle, Maurice</t>
  </si>
  <si>
    <t>Do non-native plants affect terrestrial arthropods in the sub-Antarctic Kerguelen Islands?</t>
  </si>
  <si>
    <t>Biodiversity; Biological invasions; Species richness; Vascular plants; Functional traits</t>
  </si>
  <si>
    <t>SOUTHERN-OCEAN ISLANDS; FUNCTIONAL DIFFERENCES; COMMUNITY RESPONSES; MARION ISLAND; DIVERSITY; IMPACTS; TRAITS; ALIEN; INVERTEBRATES; VEGETATION</t>
  </si>
  <si>
    <t>Biological invasions are a major threat to the terrestrial ecosystems of the sub-Antarctic islands. While non-native plants generally have negative impacts on native arthropods, few studies have investigated how both native and non-native arthropods and plants interact in the sub-Antarctic islands. This was the aim of our study, which was conducted on three islands of the Kerguelen archipelago. The design was based on the spatial proximity of areas dominated by non-native or native plant species. Trait-based indices were calculated to characterize the functional structure of plant communities, considering plant stature and leaf traits. Native and non-native vegetation had contrasting functional composition but their functional diversity was similar. The effects of the type of vegetation, native or non-native, and plant functional diversity on arthropods were tested. Native macro-arthropod richness and abundance were similar or higher in non-native vegetation, and benefited from greater plant functional diversity. Abundances of macro-herbivores, macro-decomposers and macro-predators were also similar or higher in non-native vegetation. Conversely, the abundances of micro-arthropods, Symphypleona springtails and Oribatida mites, were higher in native vegetation but we also found that plant functional diversity had a negative effect on Symphypleona. Our results suggest that non-native plants can affect micro-arthropods directly or indirectly, likely through their effects on abiotic factors. By affecting macro-arthropod abundances across different trophic groups and by depleting micro-arthropods, non-native plants can alter trophic interactions, functional balances and the functioning of whole ecosystem.</t>
  </si>
  <si>
    <t>[Badenhausser, Isabelle; Bonneau, Brigitte] INRAE, Unite Rech Pluridisciplinaire Prairies Plantes Fo, F-86600 Lusignan, France; [Fourcy, Damien] IFREMER, Inst Agro Rennes Angers, INRAE, UMR 0985,DECOD, F-35042 Rennes, France; [Bertrand, Mathilde; Pierre, Aurelien; Rantier, Yann] Univ Rennes 1, CNRS, UMR 6553, ECOBIO, F-35000 Rennes, France; [Chapuis, Jean-Louis] Sorbonne Univ, Univ Pierre &amp; Marie Curie, CNRS, UMR 7204,CESCO,Museum Natl Hist Nat, F-75005 Paris, France; [Hulle, Maurice] Univ Rennes 1, INRAE, UMR 1349, IGEPP,Agrocampus Ouest Rennes, F-35653 Le Rheu, France</t>
  </si>
  <si>
    <t>INRAE; Institut Agro; Ifremer; INRAE; Centre National de la Recherche Scientifique (CNRS); CNRS - Institute of Ecology &amp; Environment (INEE); Universite de Rennes; Centre National de la Recherche Scientifique (CNRS); CNRS - Institute of Ecology &amp; Environment (INEE); Sorbonne Universite; Museum National d'Histoire Naturelle (MNHN); Institut Agro; Agrocampus Ouest; Universite de Rennes; INRAE</t>
  </si>
  <si>
    <t>Badenhausser, I (corresponding author), INRAE, Unite Rech Pluridisciplinaire Prairies Plantes Fo, F-86600 Lusignan, France.</t>
  </si>
  <si>
    <t>isabelle.badenhausser@inrae.fr</t>
  </si>
  <si>
    <t>Badenhausser, Isabelle/0000-0002-6919-8647; FOURCY, Damien/0000-0002-5175-9565</t>
  </si>
  <si>
    <t>'Institut Polaire Francais Paul-Emile Victor' (IPEV) [136 subanteco]; CNRS (Zone-Atelier de Recherches sur l'Environnement Antarctique et Subantarctique)</t>
  </si>
  <si>
    <t>'Institut Polaire Francais Paul-Emile Victor' (IPEV); CNRS (Zone-Atelier de Recherches sur l'Environnement Antarctique et Subantarctique)(Centre National de la Recherche Scientifique (CNRS))</t>
  </si>
  <si>
    <t>The research was supported by the `Institut Polaire Francais Paul-Emile Victor' (IPEV, programme 136 subanteco) and the CNRS (Zone-Atelier de Recherches sur l'Environnement Antarctique et Subantarctique).</t>
  </si>
  <si>
    <t>10.1007/s00300-022-03010-x</t>
  </si>
  <si>
    <t>ZP7KH</t>
  </si>
  <si>
    <t>WOS:000749585400001</t>
  </si>
  <si>
    <t>Ivanciu, I; Matthes, K; Biastoch, A; Wahl, S; Harlass, J</t>
  </si>
  <si>
    <t>Ivanciu, Ioana; Matthes, Katja; Biastoch, Arne; Wahl, Sebastian; Harlass, Jan</t>
  </si>
  <si>
    <t>Twenty-first-century Southern Hemisphere impacts of ozone recovery and climate change from the stratosphere to the ocean</t>
  </si>
  <si>
    <t>WEATHER AND CLIMATE DYNAMICS</t>
  </si>
  <si>
    <t>BREWER-DOBSON CIRCULATION; ANTARCTIC CIRCUMPOLAR CURRENT; MERIDIONAL OVERTURNING CIRCULATION; AGULHAS LEAKAGE; DEPLETING SUBSTANCES; POLEWARD SHIFT; HADLEY-CELL; ATLANTIC; MODEL; SENSITIVITY</t>
  </si>
  <si>
    <t>Changes in stratospheric ozone concentrations and increasing concentrations of greenhouse gases (GHGs) alter the temperature structure of the atmosphere and drive changes in the atmospheric and oceanic circulation. We systematically investigate the impacts of ozone recovery and increasing GHGs on the atmospheric and oceanic circulation in the Southern Hemisphere during the twenty-first century using a unique coupled ocean-atmosphere climate model with interactive ozone chemistry and enhanced oceanic resolution. We use the high-emission scenario SSP5-8.5 for GHGs under which the springtime Antarctic total column ozone returns to 1980s levels by 2048 in our model, warming the lower stratosphere and strengthening the stratospheric westerly winds. We perform a spatial analysis and show for the first time that the austral spring stratospheric response to GHGs exhibits a marked planetary wavenumber 1 (PW1) pattern, which reinforces the response to ozone recovery over the Western Hemisphere and weakens it over the Eastern Hemisphere. These changes, which imply an eastward phase shift in the PW1, largely cancel out in the zonal mean. The Southern Hemisphere residual circulation strengthens during most of the year due to the increase in GHGs and weakens in spring due to ozone recovery. However, we find that in November the GHGs also drive a weakening of the residual circulation, reinforcing the effect of ozone recovery, which represents another novel result. At the surface, the westerly winds weaken and shift equatorward due to ozone recovery, driving a weak decrease in the transport of the Antarctic Circumpolar Current and in the Agulhas leakage and a cooling of the upper ocean, which is most pronounced in the latitudinal band 35-45 circle S. The increasing GHGs drive changes in the opposite direction that overwhelm the ozone effect. The total changes at the surface and in the oceanic circulation are nevertheless weaker in the presence of ozone recovery than those induced by GHGs alone, highlighting the importance of the Montreal Protocol in mitigating some of the impacts of climate change. We additionally compare the combined effect of interactively calculated ozone recovery and increasing GHGs with their combined effect in an ensemble in which we prescribe the CMIP6 ozone field. This second ensemble simulates a weaker ozone effect in all the examined fields, consistent with its weaker increase in ozone. The magnitude of the difference between the simulated changes at the surface and in the oceanic circulation in the two ensembles is as large as the ozone effect itself. This shows the large uncertainty that is associated with the choice of the ozone field and how the ozone is treated.</t>
  </si>
  <si>
    <t>[Ivanciu, Ioana; Matthes, Katja; Biastoch, Arne; Wahl, Sebastian; Harlass, Jan] GEOMAR Helmholtz Ctr Ocean Res Kiel, Kiel, Germany; [Biastoch, Arne] Christian Albrechts Univ Kiel, Fac Math &amp; Nat Sci, Kiel, Germany</t>
  </si>
  <si>
    <t>Helmholtz Association; GEOMAR Helmholtz Center for Ocean Research Kiel; University of Kiel</t>
  </si>
  <si>
    <t>Ivanciu, I (corresponding author), GEOMAR Helmholtz Ctr Ocean Res Kiel, Kiel, Germany.</t>
  </si>
  <si>
    <t>iivanciu@geomar.de</t>
  </si>
  <si>
    <t>Wahl, Sebastian/AFI-1518-2022; Matthes, Katja/F-7361-2014; Biastoch, Arne/B-5219-2014</t>
  </si>
  <si>
    <t>Matthes, Katja/0000-0003-1801-3072; Biastoch, Arne/0000-0003-3946-4390</t>
  </si>
  <si>
    <t>German Federal Ministry of Education and Research through the SPACES-IICASISAC project [03F0796A]</t>
  </si>
  <si>
    <t>German Federal Ministry of Education and Research through the SPACES-IICASISAC project</t>
  </si>
  <si>
    <t>This study has been funded by the German Federal Ministry of Education and Research through the SPACES-IICASISAC project (grant no. 03F0796A).</t>
  </si>
  <si>
    <t>2698-4016</t>
  </si>
  <si>
    <t>WEATHER CLIM DYNAM</t>
  </si>
  <si>
    <t>10.5194/wcd-3-139-2022</t>
  </si>
  <si>
    <t>IU4Y2</t>
  </si>
  <si>
    <t>gold, Green Accepted</t>
  </si>
  <si>
    <t>WOS:001168849300001</t>
  </si>
  <si>
    <t>[Coxon, John C.; Bentley, Sarah] Northumbria Univ, Newcastle Upon Tyne, Tyne &amp; Wear, England; [Aruliah, Anasuya] UCL, Astrophys Grp, Dept Phys &amp; Astron, London, England; [Shore, Robert M.] British Antarctic Survey, Space Weather &amp; Atmosphere Team, Cambridge, England</t>
  </si>
  <si>
    <t>Coxon, JC (corresponding author), Northumbria Univ, Newcastle Upon Tyne, Tyne &amp; Wear, England.</t>
  </si>
  <si>
    <t>Coxon, John/AAN-9355-2021</t>
  </si>
  <si>
    <t>Coxon, John/0000-0002-0166-6854; Bentley, Sarah N/0000-0002-0095-1979</t>
  </si>
  <si>
    <t>YH7PE</t>
  </si>
  <si>
    <t>WOS:000743354500028</t>
  </si>
  <si>
    <t>Music of the Spheres</t>
  </si>
  <si>
    <t>[Meredith, Nigel P.; Wynne, Amanda D.] British Antarctic Survey, Madingley Rd, Cambridge, England; [Cunio, Kim] Australian Natl Univ, Sch Mus, Canberra, ACT, Australia</t>
  </si>
  <si>
    <t>Meredith, NP (corresponding author), British Antarctic Survey, Madingley Rd, Cambridge, England.</t>
  </si>
  <si>
    <t>nmer@bas.ac.uk; kim.cunio@anu.edu.au; dianasj62@yahoo.co.uk; amwynne@bas.ac.uk</t>
  </si>
  <si>
    <t>WOS:000743354500030</t>
  </si>
  <si>
    <t>Zhou, CX; Liu, Y; Zheng, L</t>
  </si>
  <si>
    <t>Zhou, Chunxia; Liu, Yong; Zheng, Lei</t>
  </si>
  <si>
    <t>Satellite-derived dry-snow line as an indicator of the local climate on the Antarctic Peninsula</t>
  </si>
  <si>
    <t>Antarctic Peninsula; dry-snow line; glacial zones; SAR</t>
  </si>
  <si>
    <t>SURFACE MASS-BALANCE; GLACIER ZONES; MELT</t>
  </si>
  <si>
    <t>Recent regional cooling has impacted the natural systems of the Antarctic Peninsula (AP); however, little is known concerning the changes in the high parts of the glacial systems. Dry-snow line (DSL), situated in the high parts of glaciers, is the uppermost limit of frequent or occasional surface melt. We analyse dry-snow line altitude (DSLA) changes on the AP during 2004-2020 using C-band synthetic aperture radar time series data. We demonstrate that the DSLA in the eastern part of the AP is usually higher than that of the western part. Moreover, using simulated climatic variables from regional climate models, the lowering in altitude of DSL of glaciers in most areas is identified as a response to a decrease in snowmelt and an increase in precipitation. Furthermore, correlation analyses between simulated climatic variables and the DSLA are conducted. These results present the sensitive response of variations in DSLA to meteorological conditions, and the capability of DSLA being a proxy of polar local climate in high-altitude areas with no in situ meteorological observations.</t>
  </si>
  <si>
    <t>[Zhou, Chunxia; Liu, Yong; Zheng, Lei] Wuhan Univ, Chinese Antarctic Ctr Surveying &amp; Mapping, Wuhan 430079, Peoples R China</t>
  </si>
  <si>
    <t>Wuhan University</t>
  </si>
  <si>
    <t>Zhou, CX (corresponding author), Wuhan Univ, Chinese Antarctic Ctr Surveying &amp; Mapping, Wuhan 430079, Peoples R China.</t>
  </si>
  <si>
    <t>zhoucx@whu.edu.cn</t>
  </si>
  <si>
    <t>Yong, Liu/0000-0002-6460-1169</t>
  </si>
  <si>
    <t>National Natural Science Foundation of China [41776200, 41941010, 41531069]; Funds for the Distinguished Young Scientists of Hubei Province (China) [2019CFA057]</t>
  </si>
  <si>
    <t>National Natural Science Foundation of China(National Natural Science Foundation of China (NSFC)); Funds for the Distinguished Young Scientists of Hubei Province (China)</t>
  </si>
  <si>
    <t>The authors declare that they have no known competing financial interests or personal relationships that could have appeared to influence the work reported in this paper. The Reference Elevation Model of Antarctica digital surface model is available from the University of Minnesota (https://www.pgc.umn.edu/data/rema/).We acknowledge Dr J. M. van Wessem for providing the RACMO2.3 Antarctic Peninsula simulations. This work was supported by the National Natural Science Foundation of China (Grant Nos. 41776200, 41941010 and 41531069), and the Funds for the Distinguished Young Scientists of Hubei Province (China) (2019CFA057).</t>
  </si>
  <si>
    <t>PII S0022143021000721</t>
  </si>
  <si>
    <t>10.1017/jog.2021.72</t>
  </si>
  <si>
    <t>YG3OE</t>
  </si>
  <si>
    <t>WOS:000742401200007</t>
  </si>
  <si>
    <t>Saruya, T; Fujita, S; Inoue, R</t>
  </si>
  <si>
    <t>Saruya, Tomotaka; Fujita, Shuji; Inoue, Ryo</t>
  </si>
  <si>
    <t>Dielectric anisotropy as indicator of crystal orientation fabric in Dome Fuji ice core: method and initial results</t>
  </si>
  <si>
    <t>Glaciological instruments and methods; ice core; ice physics; structural glaciology</t>
  </si>
  <si>
    <t>ANALYZER; TEXTURES; SYSTEM; FIRN</t>
  </si>
  <si>
    <t>Polycrystalline ice is known to exhibit macroscopic anisotropy in relative permittivity (e) depending on the crystal orientation fabric (COF). Using a new system designed to measure the tensorial components of e, we investigated the dielectric anisotropy (Delta e) of a deep ice core sample obtained from Dome Fuji, East Antarctica. This technique permits the continuous nondestructive assessment of the COF in thick ice sections. Measurements of vertical prism sections along the core showed that the Delta e values in the vertical direction increased with increasing depth, supporting previous findings of c-axis clustering around the vertical direction. Analyses of horizontal disk sections demonstrated that the magnitude of Delta e in the horizontal plane was 10-15% of that in the vertical plane. In addition, the directions of the principal axes of tensorial e in the horizontal plane corresponded to the long or short axis of the elliptically elongated single-pole maximum COF. The data confirmed that Delta e in the vertical and horizontal planes adequately indicated the preferred orientations of the c-axes, and that Delta e can be considered to represent a direct substitute for the normalized COF eigenvalues. This new method could be extremely useful as a means of investigating continuous and depth-dependent variations in COF.</t>
  </si>
  <si>
    <t>[Saruya, Tomotaka; Fujita, Shuji] Natl Inst Polar Res, Tokyo, Japan; [Fujita, Shuji; Inoue, Ryo] Grad Univ Adv Studies SOKENDAI, Dept Polar Sci, Tokyo, Japan</t>
  </si>
  <si>
    <t>Research Organization of Information &amp; Systems (ROIS); National Institute of Polar Research (NIPR) - Japan; Graduate University for Advanced Studies - Japan</t>
  </si>
  <si>
    <t>Saruya, T (corresponding author), Natl Inst Polar Res, Tokyo, Japan.</t>
  </si>
  <si>
    <t>saruya.tomotaka@nipr.ac.jp</t>
  </si>
  <si>
    <t>; Fujita, Shuji/A-7884-2016</t>
  </si>
  <si>
    <t>Saruya, Tomotaka/0000-0001-9273-2353; Fujita, Shuji/0000-0003-0127-0777</t>
  </si>
  <si>
    <t>JSPS KAKENHI [18H05294]; Grants-in-Aid for Scientific Research [18H05294]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</si>
  <si>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</si>
  <si>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thank the scientific editor S.H. Faria, associate chief editor R. Greve and F. Wilhelms and one anonymous reviewer for helpful comments and suggestions. We thank all the Dome Fuji Deep Ice Core Project members who contributed to obtaining the ice core samples, either through logistics, drilling or core processing. The main logistics support was provided by the Japanese Antarctic Research Expedition (JARE), managed by the Ministry of Education, Culture, Sports, Science and Technology (MEXT). This work was supported by JSPS KAKENHI grant No. 18H05294.</t>
  </si>
  <si>
    <t>PII S0022143021000733</t>
  </si>
  <si>
    <t>10.1017/jog.2021.73</t>
  </si>
  <si>
    <t>WOS:000742401200008</t>
  </si>
  <si>
    <t>Grieman, MM; Hoffmann, HM; Humby, JD; Mulvaney, R; Nehrbass-Ahles, C; Rix, J; Thomas, ER; Tuckwell, R; Wolff, EW</t>
  </si>
  <si>
    <t>Grieman, Mackenzie M.; Hoffmann, Helene M.; Humby, Jack D.; Mulvaney, Robert; Nehrbass-Ahles, Christoph; Rix, Julius; Thomas, Elizabeth R.; Tuckwell, Rebecca; Wolff, Eric W.</t>
  </si>
  <si>
    <t>Continuous flow analysis methods for sodium, magnesium and calcium detection in the Skytrain ice core</t>
  </si>
  <si>
    <t>Glaciological instruments and methods; ice core; paleoclimate</t>
  </si>
  <si>
    <t>HIGH-RESOLUTION; CHEMICAL-ANALYSIS; TRACE-ELEMENT; MAJOR IONS; SNOW; CHRONOLOGY; SYSTEM; MELTER; DEVICE; ISLAND</t>
  </si>
  <si>
    <t>Dissolved and particulate sodium, magnesium and calcium are analyzed in ice cores to determine past changes in sea ice extent, terrestrial dust variability and atmospheric aerosol transport efficiency. They are also used to date ice cores if annual layers are visible. Multiple methods have been developed to analyze these important compounds in ice cores. Continuous flow analysis (CFA) is implemented with instruments that sample the meltstream continuously. In this study, CFA with ICP-MS (inductively coupled-plasma mass spectrometry) and fast ion chromatography (FIC) methods are compared for analysis of sodium and magnesium. ICP-MS, FIC and fluorescence methods are compared for analysis of calcium. Respective analysis of a 10 m section of the Antarctic WACSWAIN Skytrain Ice Rise ice core shows that all of the methods result in similar levels of the compounds. The ICP-MS method is the most suitable for analysis of the Skytrain ice core due to its superior precision (relative standard deviation: 1.6% for Na, 1.3% for Mg and 1.2% for Ca) and sampling frequency compared to the FIC method. The fluorescence detection method may be preferred for calcium analysis due to its higher depth resolution (1.4 cm) relative to the ICP-MS and FIC methods (similar to 4 cm).</t>
  </si>
  <si>
    <t>[Grieman, Mackenzie M.; Hoffmann, Helene M.; Nehrbass-Ahles, Christoph; Wolff, Eric W.] Univ Cambridge, Dept Earth Sci, Cambridge, England; [Humby, Jack D.; Mulvaney, Robert; Rix, Julius; Thomas, Elizabeth R.; Tuckwell, Rebecca] British Antarctic Survey, Cambridge, England</t>
  </si>
  <si>
    <t>University of Cambridge; UK Research &amp; Innovation (UKRI); Natural Environment Research Council (NERC); NERC British Antarctic Survey</t>
  </si>
  <si>
    <t>Grieman, MM (corresponding author), Univ Cambridge, Dept Earth Sci, Cambridge, England.</t>
  </si>
  <si>
    <t>mmg46@cam.ac.uk</t>
  </si>
  <si>
    <t>Wolff, Eric W/D-7925-2014; Thomas, Elizabeth Ruth/ADF-3660-2022; Mulvaney, Robert/K-3929-2012</t>
  </si>
  <si>
    <t>Wolff, Eric W/0000-0002-5914-8531; Thomas, Elizabeth Ruth/0000-0002-3010-6493; Hoffmann, Helene/0000-0002-7527-5880; Grieman, Mackenzie/0000-0001-9610-7141; Rix, Julius/0000-0002-8048-9445; Mulvaney, Robert/0000-0002-5372-8148; humby, jack/0000-0003-0526-2766; Nehrbass-Ahles, Christoph/0000-0002-4009-4633</t>
  </si>
  <si>
    <t>European Research Council under the Horizon 2020 research and innovation program [742224]; European Research Council (ERC) [742224] Funding Source: European Research Council (ERC)</t>
  </si>
  <si>
    <t>European Research Council under the Horizon 2020 research and innovation program(European Research Council (ERC)); European Research Council (ERC)(European Research Council (ERC)Spanish Government)</t>
  </si>
  <si>
    <t>The authors thank Shaun Miller, Isobel Rowell, Amy King, Emily Ludlow and Victoria Alcock for help with cutting and processing the ice core. The authors also thank Charlie Durman and Isobel Rowell for ice core preparation for the CFA. This project has received funding from the European Research Council under the Horizon 2020 research and innovation program (grant agreement No. 742224, WACSWAIN). This material reflects only the author's views and the Commission is not liable for any use that may be made of the information contained therein.</t>
  </si>
  <si>
    <t>10.1017/jog.2021.75</t>
  </si>
  <si>
    <t>WOS:000742401200010</t>
  </si>
  <si>
    <t>Case, E; Kingslake, J</t>
  </si>
  <si>
    <t>Case, Elizabeth; Kingslake, Jonathan</t>
  </si>
  <si>
    <t>Phase-sensitive radar as a tool for measuring firn compaction</t>
  </si>
  <si>
    <t>Glacier geophysics; glaciological instruments and methods; ice rise; polar firn; radio-echo sounding</t>
  </si>
  <si>
    <t>ABRUPT CLIMATE-CHANGE; MASS-BALANCE; SNOW DENSIFICATION; ELEVATION CHANGES; WEST ANTARCTICA; ICE SHEETS; GREENLAND; MODEL; ACCUMULATION; TEMPERATURE</t>
  </si>
  <si>
    <t>Firn compaction models inform mass-balance estimates and paleo-climate reconstructions, but current models introduce key uncertainties. For example, models disagree on the dependence of density and compaction on accumulation rate. Observations of compaction to test these models are rare, partly because in situ methods for measuring englacial strain are time-consuming and expensive. Moreover, shallow measurements may confound strain due to compaction with strain due to ice-sheet flow. We show that phase-sensitive radio-echo sounder (pRES) systems, typically deployed to measure sub-shelf melting or ice-sheet deformation, can be used to measure firn compaction and test firn models. We present two complementary methods for extracting compaction information from pRES data, along with a method for comparing compaction models to pRES observations. The methods make different assumptions about the density structure and vary in their need for independent density measurements. Compaction profiles computed from pRES data collected on three ice rises in West Antarctica are largely consistent with measured densities and a physics-based model. With their minimal logistic requirements, new pRES systems, such as autonomous pRES, could be inexpensively deployed to monitor firn compaction more widely. Existing phase-sensitive radar data may contain compaction information even when surveys targeted other processes.</t>
  </si>
  <si>
    <t>[Case, Elizabeth; Kingslake, Jonathan] Columbia Univ, Dept Earth &amp; Environm Sci, New York, NY 10027 USA; [Case, Elizabeth; Kingslake, Jonathan] Lamont Doherty Earth Observ, Palisades, NY 10964 USA</t>
  </si>
  <si>
    <t>Columbia University; Columbia University</t>
  </si>
  <si>
    <t>Case, E (corresponding author), Columbia Univ, Dept Earth &amp; Environm Sci, New York, NY 10027 USA.;Case, E (corresponding author), Lamont Doherty Earth Observ, Palisades, NY 10964 USA.</t>
  </si>
  <si>
    <t>ehc2150@columbia.edu</t>
  </si>
  <si>
    <t>Case, Elizabeth/0000-0002-8169-0343</t>
  </si>
  <si>
    <t>Natural Environmental Research Council [NE/J008087/1]; National Science Foundation [1738934, 1935438]; National Science Foundation Graduate Research Fellowship Program [1644869]; NERC [NE/J008087/1] Funding Source: UKRI</t>
  </si>
  <si>
    <t>Natural Environmental Research Council(UK Research &amp; Innovation (UKRI)Natural Environment Research Council (NERC)); National Science Foundation(National Science Foundation (NSF)); National Science Foundation Graduate Research Fellowship Program(National Science Foundation (NSF)); NERC(UK Research &amp; Innovation (UKRI)Natural Environment Research Council (NERC))</t>
  </si>
  <si>
    <t>The authors thank R. Mulvaney, British Antarctic Survey (BAS), for supplying ice density data, and Rob Arthern, Carlos Martin, Hugh Corr and Richard Hindmarsh, for assistance with field survey design and operation of the pRES system, mentoring of JK, and discussion of the firn model and inverse methods. pRES and GNSS data are available from the UK Polar Data Center (http://doi.org/99b and http://doi.org/99c).The fieldwork was funded by Natural Environmental Research Council grant NE/J008087/1, led by Richard Hindmarsh, BAS. Logistical support was provided by many members of the British Antarctic Survey's air unit and field operations team. The authors thank particularly Iain Rudkin and Scott Webster for their assistance in the field, Melchior van Wessem for providing the RACMO2.3p2 data, and Ian Hewitt, Tun Jan (TJ) Young and an anonymous reviewer for their excellent feedback, which greatly improved this publication. We acknowledge the Norwegian Polar Institute's Quantarctica package for use in creating Fig. 1. We also acknowledge funding from National Science Foundation grants 1738934 and 1935438. This paper is based upon work supported by the National Science Foundation Graduate Research Fellowship Program under Grant No. (1644869). Any opinions, findings and conclusions or recommendations expressed in this paper are those of the author(s) and do not necessarily reflect the views of the National Science Foundation. The associated code and data are available for download at https://github.com/elizabethcase/pRES-firn-compaction-methods (doi: 10.5281/zenodo.5090283).</t>
  </si>
  <si>
    <t>PII S0022143021000836</t>
  </si>
  <si>
    <t>10.1017/jog.2021.83</t>
  </si>
  <si>
    <t>WOS:000742401200014</t>
  </si>
  <si>
    <t>Wenkenbach, I; Meijer, E; Roper, A; Craigie, S</t>
  </si>
  <si>
    <t>Wenkenbach, Ian; Meijer, Emiel; Roper, Alan; Craigie, Stewart</t>
  </si>
  <si>
    <t>An innovative 'flat-pack' wharf: overcoming construction challenges in Antarctica</t>
  </si>
  <si>
    <t>PROCEEDINGS OF THE INSTITUTION OF CIVIL ENGINEERS-CIVIL ENGINEERING</t>
  </si>
  <si>
    <t>Building Information Modelling (BIM); cold/arctic region geotechnics; design; docks and harbours; maritime engineering</t>
  </si>
  <si>
    <t>A new longer and deeper wharf was completed in 2020 for the UK's largest Antarctic research station. The 40 pound million structure replaced the life-expired wharf at Rothera Point on Adelaide Island and enables the station to accommodate British Antarctic Survey's new polar research and supply vessel RRS Sir David Attenborough. Design and construction at this remote and environmentally extreme location presented many challenges, leading to the development of an innovative 'flat-pack' modular solution. This paper describes how the new 74 m long wharf was designed, manufactured, delivered and built in just two short austral summers.</t>
  </si>
  <si>
    <t>[Wenkenbach, Ian] Bam Int, Gouda, Netherlands; [Meijer, Emiel] Delta Marine Consultants, Gouda, Netherlands; [Roper, Alan] Ramboll, Southampton, Hants, England; [Craigie, Stewart] Sweco, Edinburgh, Midlothian, Scotland</t>
  </si>
  <si>
    <t>Craigie, S (corresponding author), Sweco, Edinburgh, Midlothian, Scotland.</t>
  </si>
  <si>
    <t>Stewart.Craigie@sweco.co.uk</t>
  </si>
  <si>
    <t>Sweco</t>
  </si>
  <si>
    <t>Acknowledgements The works were undertaken by the Antarctic Infrastructure Modernisation Programme Partnership, led by Natural Environment Research Council, British Antarctic Survey, construction partner Bam and technical advisor Ramboll. Lead designer for Bam was Delta Marine Consultants with support from Sweco. Bam and Ramboll were each engaged under an NEC3 Term Service Contract.</t>
  </si>
  <si>
    <t>ICE PUBLISHING</t>
  </si>
  <si>
    <t>WESTMINISTER</t>
  </si>
  <si>
    <t>INST CIVIL ENGINEERS, 1 GREAT GEORGE ST, WESTMINISTER SW 1P 3AA, ENGLAND</t>
  </si>
  <si>
    <t>0965-089X</t>
  </si>
  <si>
    <t>1751-7672</t>
  </si>
  <si>
    <t>P I CIVIL ENG-CIV EN</t>
  </si>
  <si>
    <t>Proc. Inst. Civil Eng.-Civil Eng.</t>
  </si>
  <si>
    <t>10.1680/jcien.21.00047</t>
  </si>
  <si>
    <t>Engineering, Civil</t>
  </si>
  <si>
    <t>Engineering</t>
  </si>
  <si>
    <t>YE2HM</t>
  </si>
  <si>
    <t>WOS:000740951200009</t>
  </si>
  <si>
    <t>Wang, QL; Guo, JL; An, LJ; Bao, YM</t>
  </si>
  <si>
    <t>Wang, Qingling; Guo, Jianli; An, Lijia; Bao, Yongming</t>
  </si>
  <si>
    <t>Integration of DSF and Temperature Signals for RpfC/RpfG Two-Component System Modulating Protease Production in Stenotrophomonas maltophilia FF11</t>
  </si>
  <si>
    <t>CURRENT MICROBIOLOGY</t>
  </si>
  <si>
    <t>GYP DOMAIN PROTEIN; XANTHOMONAS-CAMPESTRIS; HISTIDINE KINASES; EXPRESSION; SPECIFICITY; PATHOGEN; FAMILY</t>
  </si>
  <si>
    <t>Two-component signal system (TCS) is the predominant bacterial sense-and-response machinery. RpfC/RpfG TCS involved in quorum sensing molecule Diffuse Signal Factor (DSF) signal perception and transduction was well studied in many bacteria. However, whether other environmental factors participating in the signal perception and transduction of RpfC/RpfG was still unclear. Here, we showed that RpfC/RpfG could integrate temperature and DSF signal partially controlling the production of the temperature-dependent protease (SmtP) in S. maltophilia FF11, a strain isolated from frozen Antarctic hill, exhibited spoilage potential due to secret more protease at low temperatures involving in protein degradation. qRT-PCR analysis revealed rpf system mediating approximately 60% transcription activity of Clp, a critical transcription factor linking with LotS/LotR, consisting a signal network controlling completely the SmtP production in previous study. Protease production was partially reduced in rpfF (coding DSF synthetase) mutant strains at 15 degrees C or 25 degrees C, not be increased through addition DSF or overexpression RpfF in WT at 37 degrees C, indicating that DSF was effective for protease production only at low temperatures in S. maltophilia. Additionally, biochemical analysis revealed the enzymatic activity of RpfG from strain FF11 cultured at 37 degrees C or DSF-deficient strains grown at 25 degrees C was significantly reduced compared to that of RpfG from strain FF11 cultured at 25 degrees C. These findings outline an interplay mechanism that allows S. maltophilia to integrate quorum sensing and temperature cues controlling protease production, and imply a potential relationship between two distinct systems of RpfC/RpfG and LotS/LotR.</t>
  </si>
  <si>
    <t>[Wang, Qingling] Northwest Univ, Coll Food Sci &amp; Technol, Shaanxi Nat Carbohydrate Resource Engn Res Ctr, Xian 710069, Peoples R China; [Wang, Qingling; Guo, Jianli; An, Lijia; Bao, Yongming] Dalian Univ Technol, Sch Life Sci &amp; Biotechnol, Dalian 116024, Peoples R China; [Bao, Yongming] Dalian Univ Technol, Sch Food &amp; Environm Sci &amp; Technol, Panjin 124221, Peoples R China</t>
  </si>
  <si>
    <t>Northwest University Xi'an; Dalian University of Technology; Dalian University of Technology</t>
  </si>
  <si>
    <t>Wang, QL (corresponding author), Northwest Univ, Coll Food Sci &amp; Technol, Shaanxi Nat Carbohydrate Resource Engn Res Ctr, Xian 710069, Peoples R China.;Wang, QL; Bao, YM (corresponding author), Dalian Univ Technol, Sch Life Sci &amp; Biotechnol, Dalian 116024, Peoples R China.;Bao, YM (corresponding author), Dalian Univ Technol, Sch Food &amp; Environm Sci &amp; Technol, Panjin 124221, Peoples R China.</t>
  </si>
  <si>
    <t>wql0143@nwu.edu.cn; biosci@dlut.edu.cn</t>
  </si>
  <si>
    <t>National Natural Science Foundation of China [21376039]; Shaanxi Provincial Education Department [203012100077]</t>
  </si>
  <si>
    <t>National Natural Science Foundation of China(National Natural Science Foundation of China (NSFC)); Shaanxi Provincial Education Department</t>
  </si>
  <si>
    <t>The authors are grateful to the financial support of the National Natural Science Foundation of China (Grant No. 21376039), and Shaanxi Provincial Education Department (Grant No. 203012100077).</t>
  </si>
  <si>
    <t>0343-8651</t>
  </si>
  <si>
    <t>1432-0991</t>
  </si>
  <si>
    <t>CURR MICROBIOL</t>
  </si>
  <si>
    <t>Curr. Microbiol.</t>
  </si>
  <si>
    <t>10.1007/s00284-021-02731-2</t>
  </si>
  <si>
    <t>YB0SJ</t>
  </si>
  <si>
    <t>WOS:000738732500018</t>
  </si>
  <si>
    <t>Xu, N; Zhang, HS; Wang, YH</t>
  </si>
  <si>
    <t>Xu, Ning; Zhang, Haisheng; Wang, Yihe</t>
  </si>
  <si>
    <t>Cracking Pattern of Indented Ice Sheet Bending Failures</t>
  </si>
  <si>
    <t>JOURNAL OF OFFSHORE MECHANICS AND ARCTIC ENGINEERING-TRANSACTIONS OF THE ASME</t>
  </si>
  <si>
    <t>bending failure; cracking pattern; ice breaker</t>
  </si>
  <si>
    <t>NUMERICAL-SIMULATION; MODEL; SHIP; FRACTURE; BOW</t>
  </si>
  <si>
    <t>Ice sheet bending failures have been investigated extensively for ice loads on conical offshore structures and icebreakers in arctic regions. Most previous theoretical studies focus on bending failures of semi-infinite level ice, ice wedges, or finite-sized rectangular ice floes. For indented ice sheet bending failures, analytical ice load models have been developed by assuming a radial-before-circumferential cracking pattern. Recently, real-time simulations of ice-structure interactions are gaining increasing traction due to their great application potential. The analytical or semi-analytical models implemented into the real-time simulator significantly influence the accuracy of real-time simulations. Against this backdrop, the cracking pattern assumption needs to be more critically examined, and the criterion for cracking pattern determinations is in demand for utilizing different models for different cracking patterns in real-time simulations. Motivated by this need, the current paper establishes the cracking pattern determination criterion for indented ice sheet bending failures, based on the theory of plates on elastic foundations and normalized formulae. It is found that large indentation lengths and radii of structure waterline curvature induce a circumferential-before-radial cracking pattern. Conversely, small indentation lengths and radii of structure waterline curvature result in a radial-before-circumferential cracking pattern.</t>
  </si>
  <si>
    <t>[Xu, Ning] Polar Res Inst China, Shanghai 200000, Peoples R China; [Zhang, Haisheng; Wang, Yihe] Zhejiang Univ, Ocean Acad, Hangzhou 116023, Zhejiang, Peoples R China; [Wang, Yihe] Key Lab Ocean Observat Imaging Testbed Zhejiang P, Zhoushan 316021, Zhejiang, Peoples R China</t>
  </si>
  <si>
    <t>Polar Research Institute of China; Zhejiang University</t>
  </si>
  <si>
    <t>Wang, YH (corresponding author), Zhejiang Univ, Ocean Acad, Hangzhou 116023, Zhejiang, Peoples R China.;Wang, YH (corresponding author), Key Lab Ocean Observat Imaging Testbed Zhejiang P, Zhoushan 316021, Zhejiang, Peoples R China.</t>
  </si>
  <si>
    <t>xuning@pric.org.cn; zhanghs@zju.edu.cn; yihewang@zju.edu.cn</t>
  </si>
  <si>
    <t>project of Chinese Arctic and Antarctic Administration [IRASCC2020-2022]; Natural Science Foundation of Zhejiang Province [LQ20E090007]; Science and Technology Plan Project of Zhoushan City [2019C81161]</t>
  </si>
  <si>
    <t>project of Chinese Arctic and Antarctic Administration; Natural Science Foundation of Zhejiang Province(Natural Science Foundation of Zhejiang Province); Science and Technology Plan Project of Zhoushan City</t>
  </si>
  <si>
    <t>This work was supported by project of Chinese Arctic and Antarctic Administration (Grant No. IRASCC2020-2022), Natural Science Foundation of Zhejiang Province (Grant No. LQ20E090007), and Science and Technology Plan Project of Zhoushan City (Grant No. 2019C81161). We also wish to acknowledge the two anonymous reviewers for the constructive comments on the paper.</t>
  </si>
  <si>
    <t>ASME</t>
  </si>
  <si>
    <t>TWO PARK AVE, NEW YORK, NY 10016-5990 USA</t>
  </si>
  <si>
    <t>0892-7219</t>
  </si>
  <si>
    <t>1528-896X</t>
  </si>
  <si>
    <t>J OFFSHORE MECH ARCT</t>
  </si>
  <si>
    <t>J. Offshore Mech. Arct. Eng. Trans. ASME</t>
  </si>
  <si>
    <t>10.1115/1.4051812</t>
  </si>
  <si>
    <t>Engineering, Ocean; Engineering, Mechanical</t>
  </si>
  <si>
    <t>XQ5JV</t>
  </si>
  <si>
    <t>WOS:000731582100008</t>
  </si>
  <si>
    <t>Ke, H; Ai, ST; Yan, BY; Zhou, CX; Wang, ZM; Yang, YD; Liu, TT; An, JC; Chen, YF</t>
  </si>
  <si>
    <t>Ke, Hao; Ai, Songtao; Yan, Boya; Zhou, Chunxia; Wang, Zemin; Yang, Yuande; Liu, Tingting; An, Jiachun; Chen, Yifan</t>
  </si>
  <si>
    <t>Iceberg-Induced Tsunamis Near Dalk Glacier, Antarctica</t>
  </si>
  <si>
    <t>JOURNAL OF SURVEYING ENGINEERING</t>
  </si>
  <si>
    <t>Fitting and prediction; Iceberg-induced tsunami; Landsat; Seasonal and interannual variations</t>
  </si>
  <si>
    <t>SOUTHEAST ALASKA; LARSEMANN HILLS; OCEAN WAVES; ICE</t>
  </si>
  <si>
    <t>A unique local tsunami had a very large impact on the coastal stations near Dalk Glacier; this kind of tsunami is related to iceberg activity. To provide a reference for tsunami warning and disaster prevention at these coastal research stations, a total of 41 abnormal water-surface oscillations caused by iceberg-induced tsunamis have been recorded and analyzed since February 2010. The seasonal and interannual variations in the tsunamis were determined by analyzing meteorological data and Landsat imagery. Based on these variation characteristics, double exponential smoothing was employed to fit the historical records and predict the next occurrence of an iceberg-induced tsunami, including the time and maximum absolute value of elevation of water-surface oscillation. The results showed that the date prediction error could be within a week, and the mean relative error of prediction for the elevation of water-surface oscillation was approximately 36.8%. Despite instability of prediction accuracies, this study provides an important clue to iceberg-induced tsunami warning and disaster prevention at coastal stations near calving glaciers, as well as for safe berthing and unloading of research vessels near these stations.</t>
  </si>
  <si>
    <t>[Ke, Hao; Ai, Songtao; Yan, Boya; Zhou, Chunxia; Wang, Zemin; Yang, Yuande; Liu, Tingting; An, Jiachun; Chen, Yifan] Wuhan Univ, Chinese Antarctic Ctr Surveying &amp; Mapping, 129 Luoyu Rd, Wuhan 430079, Hubei, Peoples R China</t>
  </si>
  <si>
    <t>Ai, ST (corresponding author), Wuhan Univ, Chinese Antarctic Ctr Surveying &amp; Mapping, 129 Luoyu Rd, Wuhan 430079, Hubei, Peoples R China.</t>
  </si>
  <si>
    <t>kehao1984@whu.edu.cn; ast@whu.edu.cn; yan_by@whu.edu.cn; zhoucx@whu.edu.cn; zmwang@whu.edu.cn; yuandeyang@whu.edu.cn; ttliu23@whu.edu.cn; jcan@whu.edu.cn; chenyifan2016@whu.edu.cn</t>
  </si>
  <si>
    <t>Chen, Yi/HPD-0595-2023; Chen, yf/JMR-4435-2023; chen, ye Xiao/HSF-9650-2023; Chen, Yi/JBR-7728-2023; Chen, Yuxuan/IWL-8267-2023; Chen, Yi/HIR-2608-2022</t>
  </si>
  <si>
    <t>yang, yuande/0000-0001-7689-9698</t>
  </si>
  <si>
    <t>National Natural Science Foundation of China [41941010]; Polar Science Collaborative Innovation Program of the Chinese Arctic and Antarctic Administration [CXPT2020001]</t>
  </si>
  <si>
    <t>National Natural Science Foundation of China(National Natural Science Foundation of China (NSFC)); Polar Science Collaborative Innovation Program of the Chinese Arctic and Antarctic Administration</t>
  </si>
  <si>
    <t>We appreciate the funding obtained by the National Natural Science Foundation of China (41941010) and the Polar Science Collaborative Innovation Program of the Chinese Arctic and Antarctic Administration (CXPT2020001).</t>
  </si>
  <si>
    <t>ASCE-AMER SOC CIVIL ENGINEERS</t>
  </si>
  <si>
    <t>RESTON</t>
  </si>
  <si>
    <t>1801 ALEXANDER BELL DR, RESTON, VA 20191-4400 USA</t>
  </si>
  <si>
    <t>0733-9453</t>
  </si>
  <si>
    <t>1943-5428</t>
  </si>
  <si>
    <t>J SURV ENG</t>
  </si>
  <si>
    <t>J. Surv. Eng.-ASCE</t>
  </si>
  <si>
    <t>10.1061/(ASCE)SU.1943-5428.0000385</t>
  </si>
  <si>
    <t>XO7WK</t>
  </si>
  <si>
    <t>WOS:000730390800002</t>
  </si>
  <si>
    <t>Alban, DM; Biersma, EM; Kadereit, JW; Dillenberger, MS</t>
  </si>
  <si>
    <t>Alban, Dorian M.; Biersma, Elisabeth M.; Kadereit, Joachim W.; Dillenberger, Markus S.</t>
  </si>
  <si>
    <t>Colonization of the Southern Hemisphere by Sagina and Colobanthus (Caryophyllaceae)</t>
  </si>
  <si>
    <t>PLANT SYSTEMATICS AND EVOLUTION</t>
  </si>
  <si>
    <t>Amphitropical; Biogeography; Bipolar; Long-distance dispersal; Stepping-stone migration</t>
  </si>
  <si>
    <t>FOUNDER-EVENT SPECIATION; SP. NOV. CARYOPHYLLACEAE; HISTORICAL BIOGEOGRAPHY; MOLECULAR SYSTEMATICS; PHYLOGENETIC ANALYSIS; MOUNTAIN FLORA; SKY ISLANDS; EVOLUTION; DIVERSIFICATION; DISPERSAL</t>
  </si>
  <si>
    <t>Colobanthus (23 species) and Sagina (30-33 species) together are sister to Facchinia. Whereas Facchinia is distributed in western Eurasia, Colobanthus is almost exclusively distributed in the Southern Hemisphere, and Sagina is distributed in both hemispheres with the highest species diversity in western Eurasia. We examined: 1. Whether Sagina and Colobanthus are monophyletic sister genera, 2. Where the two genera originated and how many times dispersal between hemispheres occurred, and 3. Which colonization routes between hemispheres were taken. We reconstructed the phylogeny of Colobanthus and Sagina using nuclear ribosomal internal transcribed spacer (ITS) and two plastid spacers (cpDNA) of altogether 158 ingroup samples of 45 species, and performed molecular dating and ancestral area reconstructions. Sagina and Colobanthus were confirmed as monophyletic sister genera. Biogeographical reconstructions based on ITS and cpDNA showed that Sagina reached the Southern Hemisphere in Australasia or in Africa. For Colobanthus, patterns were less clear and less well-supported: ITS showed Australasia as the region of entry, but cpDNA implied that the Southern Hemisphere may have been entered in America. The extant distributions and the biogeographical histories of Colobanthus and Sagina show both similarities and dissimilarities. This illustrates that biogeographical histories, even of closely related and ecologically very similar lineages, can be highly idiosyncratic.</t>
  </si>
  <si>
    <t>[Alban, Dorian M.; Kadereit, Joachim W.; Dillenberger, Markus S.] Johannes Gutenberg Univ Mainz, Inst Organism &amp; Mol Evolutionsbiol, D-55099 Mainz, Germany; [Biersma, Elisabeth M.] British Antarctic Survey, Madingley Rd, Cambridge CB3 0ET, England; [Biersma, Elisabeth M.] Univ Copenhagen, Nat Hist Museum Denmark, Oster Farimagsgade 5, DK-1353 Copenhagen, Denmark; [Dillenberger, Markus S.] Free Univ Berlin, Inst Biol Systemat Bot &amp; Pflanzengeog, D-14195 Berlin, Germany</t>
  </si>
  <si>
    <t>Johannes Gutenberg University of Mainz; UK Research &amp; Innovation (UKRI); Natural Environment Research Council (NERC); NERC British Antarctic Survey; University of Copenhagen; Free University of Berlin</t>
  </si>
  <si>
    <t>Dillenberger, MS (corresponding author), Johannes Gutenberg Univ Mainz, Inst Organism &amp; Mol Evolutionsbiol, D-55099 Mainz, Germany.;Dillenberger, MS (corresponding author), Free Univ Berlin, Inst Biol Systemat Bot &amp; Pflanzengeog, D-14195 Berlin, Germany.</t>
  </si>
  <si>
    <t>m.dillenberger@fu-berlin.de</t>
  </si>
  <si>
    <t>Dillenberger, Markus/HHS-0167-2022; Biersma, Elisabeth Machteld/AAL-9818-2020; Biersma, Elisabeth Machteld/JKI-1084-2023</t>
  </si>
  <si>
    <t>Dillenberger, Markus/0000-0003-2836-6760; Biersma, Elisabeth Machteld/0000-0002-9877-2177;</t>
  </si>
  <si>
    <t>NERC-CONICYT Grant [NE/P003079/1]; Carlsberg Foundation [CF18-0267]; NERC [NE/P003079/1, bas0100036] Funding Source: UKRI</t>
  </si>
  <si>
    <t>NERC-CONICYT Grant; Carlsberg Foundation(Carlsberg Foundation); NERC(UK Research &amp; Innovation (UKRI)Natural Environment Research Council (NERC))</t>
  </si>
  <si>
    <t>EMB was funded by NERC-CONICYT Grant NE/P003079/1 and Carlsberg Foundation Grant CF18-0267.</t>
  </si>
  <si>
    <t>SPRINGER WIEN</t>
  </si>
  <si>
    <t>Vienna</t>
  </si>
  <si>
    <t>Prinz-Eugen-Strasse 8-10, A-1040 Vienna, AUSTRIA</t>
  </si>
  <si>
    <t>0378-2697</t>
  </si>
  <si>
    <t>1615-6110</t>
  </si>
  <si>
    <t>PLANT SYST EVOL</t>
  </si>
  <si>
    <t>Plant Syst. Evol.</t>
  </si>
  <si>
    <t>10.1007/s00606-021-01793-w</t>
  </si>
  <si>
    <t>Plant Sciences; Evolutionary Biology</t>
  </si>
  <si>
    <t>XI7IB</t>
  </si>
  <si>
    <t>WOS:000726279200001</t>
  </si>
  <si>
    <t>Kaur, K; Kortner, TM; Benitez-Santana, T; Burri, L</t>
  </si>
  <si>
    <t>Kaur, Kiranpreet; Kortner, Trond M.; Benitez-Santana, Tibiabin; Burri, Lena</t>
  </si>
  <si>
    <t>Effects of Antarctic Krill Products on Feed Intake, Growth Performance, Fillet Quality, and Health in Salmonids</t>
  </si>
  <si>
    <t>AQUACULTURE NUTRITION</t>
  </si>
  <si>
    <t>TROUT ONCORHYNCHUS-MYKISS; EUPHAUSIA-SUPERBA MEAL; DIETARY ASTAXANTHIN SUPPLEMENTATION; ATLANTIC SALMON; RAINBOW-TROUT; FISH-MEAL; SALAR L.; CHEMICAL-COMPOSITION; GUT MICROBIOTA; LIPID-CONTENT</t>
  </si>
  <si>
    <t>The interest for krill-based ingredients for aquaculture feed applications has increased steadily in recent years. For decades, there has been a heavy reliance on the limited sources of fishmeal and fish oil in the salmonid aquaculture industry. Further growth in farming of carnivorous fish is dependent on new feed resources becoming available. The only unexploited marine resources of significant biomass are found at lower trophic levels, of which the Antarctic krill (Euphausia superba) has a high potential. Apart from being the biggest single species biomass, Antarctic krill is also rich in nutrients, such as omega-3 polyunsaturated fatty acids, phospholipids, astaxanthin, vitamins, and minerals. This makes Antarctic krill a high-quality source of health-beneficial lipids and proteins. The present article provides an overview on the documented benefits of feeding salmonids (Atlantic salmon (Salmo salar) and rainbow trout (Oncorhynchus mykiss)) with krill products (krill meal, krill oil, and krill hydrolysate), focusing on growth performance (feed intake, growth rate, and feed conversion), fillet quality, slaughter yield, and health benefits in terms of reducing fat accumulation in liver and intestinal tissues. Besides, the article discusses possible future studies, to widen the knowledge on krill benefits in salmonids and to unravel the underlying mechanisms.</t>
  </si>
  <si>
    <t>[Kaur, Kiranpreet; Benitez-Santana, Tibiabin; Burri, Lena] Aker BioMarine Antarctic AS, Lysaker, Norway; [Kortner, Trond M.] Norwegian Univ Life Sci, Fac Vet Med, Oslo, Norway</t>
  </si>
  <si>
    <t>Norwegian University of Life Sciences</t>
  </si>
  <si>
    <t>Kaur, K (corresponding author), Aker BioMarine Antarctic AS, Lysaker, Norway.</t>
  </si>
  <si>
    <t>kiranpreet.kaur@akerbiomarine.com</t>
  </si>
  <si>
    <t>Kortner, Trond M/J-8878-2012</t>
  </si>
  <si>
    <t>Kaur, Kiran/0000-0002-5645-6264</t>
  </si>
  <si>
    <t>WILEY-HINDAWI</t>
  </si>
  <si>
    <t>ADAM HOUSE, 3RD FL, 1 FITZROY SQ, LONDON, WIT 5HE, ENGLAND</t>
  </si>
  <si>
    <t>1353-5773</t>
  </si>
  <si>
    <t>1365-2095</t>
  </si>
  <si>
    <t>AQUACULT NUTR</t>
  </si>
  <si>
    <t>Aquac. Nutr.</t>
  </si>
  <si>
    <t>JAN 31</t>
  </si>
  <si>
    <t>10.1155/2022/3170854</t>
  </si>
  <si>
    <t>0B9EC</t>
  </si>
  <si>
    <t>WOS:000774928100004</t>
  </si>
  <si>
    <t>Chaput, J; Aster, R; Karplus, M; Nakata, N</t>
  </si>
  <si>
    <t>Chaput, Julien; Aster, Rick; Karplus, Marianne; Nakata, Nori</t>
  </si>
  <si>
    <t>Ambient high-frequency seismic surface waves in the firn column of central west Antarctica</t>
  </si>
  <si>
    <t>Antarctic glaciology; polar firn; seismology</t>
  </si>
  <si>
    <t>RAYLEIGH-WAVES; GROUND MOTION; NOISE; PROPAGATION; BASIN; MODEL; DENSIFICATION; ACCUMULATION; RESONANCES; INVERSION</t>
  </si>
  <si>
    <t>Firn is the pervasive surface material across Antarctica, and its structures reflect its formation and history in response to environmental perturbations. In addition to the role of firn in thermally isolating underlying glacial ice, it defines near-surface elastic and density structure and strongly influences high-frequency (&gt; 5 Hz) seismic phenomena observed near the surface. We investigate high-frequency seismic data collected with an array of seismographs deployed on the West Antarctic Ice Sheet (WAIS) near WAIS Divide camp in January 2019. Cross-correlations of anthropogenic noise originating from the approximately 5 km-distant camp were constructed using a 1 km-diameter circular array of 22 seismographs. We distinguish three Rayleigh (elastic surface) wave modes at frequencies up to 50 Hz that exhibit systematic spatially varying particle motion characteristics. The horizontal-to-vertical ratio for the second mode shows a spatial pattern of peak frequencies that matches particle motion transitions for both the fundamental and second Rayleigh modes. This pattern is further evident in the appearance of narrow band spectral peaks. We find that shallow lateral structural variations are consistent with these observations, and model spectral peaks as Rayleigh wave amplifications within similarly scaled shallow basin-like structures delineated by the strong velocity and density gradients typical of Antarctic firn.</t>
  </si>
  <si>
    <t>[Chaput, Julien; Karplus, Marianne; Nakata, Nori] Univ Texas El Paso, Dept Earth Environm &amp; Resource Sci, El Paso, TX 79968 USA; [Aster, Rick] Colorado State Univ, Dept Geosci, Ft Collins, CO 80523 USA; [Aster, Rick] Colorado State Univ, Warner Coll Nat Resources, Ft Collins, CO 80523 USA; [Nakata, Nori] MIT, Dept Earth Atmospher &amp; Planetary Sci, Boston, MA USA</t>
  </si>
  <si>
    <t>University of Texas System; University of Texas El Paso; Colorado State University; Colorado State University; Massachusetts Institute of Technology (MIT)</t>
  </si>
  <si>
    <t>Chaput, J (corresponding author), Univ Texas El Paso, Dept Earth Environm &amp; Resource Sci, El Paso, TX 79968 USA.</t>
  </si>
  <si>
    <t>jachaput@utep.edu</t>
  </si>
  <si>
    <t>Nakata, Nori/AAO-9309-2020</t>
  </si>
  <si>
    <t>Nakata, Nori/0000-0002-9295-9416</t>
  </si>
  <si>
    <t>National Science Foundation [OPP-1739027, OPP-1744852, EAR-1261681]; DOE National Nuclear Security Administration; University of Texas, El Paso startup funds</t>
  </si>
  <si>
    <t>National Science Foundation(National Science Foundation (NSF)); DOE National Nuclear Security Administration(National Nuclear Security AdministrationUnited States Department of Energy (DOE)); University of Texas, El Paso startup funds</t>
  </si>
  <si>
    <t>The data and seismographic instrumentation are from the Thwaites Interdisciplinary Margin Evolution (TIME) project and the International Thwaites Glacier Collaboration and will be archived at the Incorporated Research Institutions for Seismology (IRIS) Data Management Center. We acknowledge support by the National Science Foundation (OPP-1739027 and OPP-1744852). The facilities of the IRIS Consortium are supported by the National Science Foundation under Cooperative Agreement EAR-1261681 and the DOE National Nuclear Security Administration. We thank Galen Kaip for his field support. We also thank the US Antarctic Program and the WAIS Divide camp and support staff during the field work. This work was also partially funded by University of Texas, El Paso startup funds (JC).</t>
  </si>
  <si>
    <t>AUG</t>
  </si>
  <si>
    <t>PII S0022143021001350</t>
  </si>
  <si>
    <t>10.1017/jog.2021.135</t>
  </si>
  <si>
    <t>JAN 2022</t>
  </si>
  <si>
    <t>3B1LD</t>
  </si>
  <si>
    <t>WOS:000774664400001</t>
  </si>
  <si>
    <t>Cade, DE; Kahane-Rapport, SR; Wallis, B; Goldbogen, JA; Friedlaender, AS</t>
  </si>
  <si>
    <t>Cade, David E.; Kahane-Rapport, Shirel R.; Wallis, Ben; Goldbogen, Jeremy A.; Friedlaender, Ari S.</t>
  </si>
  <si>
    <t>Evidence for Size-Selective Predation by Antarctic Humpback Whales</t>
  </si>
  <si>
    <t>Antarctic krill; dB differencing; fisheries acoustics; bio-logging; whale scale; bubble-net forging; deep diving; habitat selection</t>
  </si>
  <si>
    <t>KRILL EUPHAUSIA-SUPERBA; SOUND-SCATTERING; MEGAPTERA-NOVAEANGLIAE; FORAGING BEHAVIOR; FEEDING-BEHAVIOR; PREY DENSITY; BLUE WHALES; FIN WHALES; ABUNDANCE; ZOOPLANKTON</t>
  </si>
  <si>
    <t>Animals aggregate around resource hotspots, but what makes one resource more appealing than another can be difficult to determine. In March 2020 the Antarctic fjord Charlotte Bay included &gt;5x as many humpback whales as neighboring Wilhelmina Bay, a site previously known for super aggregations of whales and their prey, Antarctic krill. We used suction-cup attached bio-logging tags and active acoustic prey mapping to test the hypothesis that whale abundance in Charlotte Bay would be associated with higher prey biomass density, and that whale foraging effort would be concentrated in regions of Charlotte Bay with the highest biomass. Here we show, however, that patch size and krill length at the depth of foraging were more likely predictors of foraging effort than biomass. Tagged whales spent &gt;80% of the night foraging, and whales in both bays demonstrated similar nighttime feeding rates (48.1 +/- 4.0 vs. 50.8 +/- 16.4 lunges/h). However, whales in Charlotte Bay foraged for 58% of their daylight hours, compared to 22% in Wilhelmina Bay, utilizing deep (280-450 m) foraging dives in addition to surface feeding strategies like bubble-netting. Selective foraging on larger krill by humpback whales has not been previously established, but suggests that whales may be sensitive to differences in individual prey quality. The utilization of disparate foraging strategies in different parts of the water column allows humpback whales to target the most desirable parts of their foraging environments.</t>
  </si>
  <si>
    <t>[Cade, David E.; Friedlaender, Ari S.] Univ Calif Santa Cruz, Inst Marine Sci, Santa Cruz, CA 95064 USA; [Cade, David E.; Kahane-Rapport, Shirel R.; Goldbogen, Jeremy A.] Stanford Univ, Hopkins Marine Stn, Pacific Grove, CA 93950 USA; [Wallis, Ben] Ocean Expdit, Sydney, NSW, Australia</t>
  </si>
  <si>
    <t>University of California System; University of California Santa Cruz; Stanford University</t>
  </si>
  <si>
    <t>Cade, DE (corresponding author), Univ Calif Santa Cruz, Inst Marine Sci, Santa Cruz, CA 95064 USA.;Cade, DE (corresponding author), Stanford Univ, Hopkins Marine Stn, Pacific Grove, CA 93950 USA.</t>
  </si>
  <si>
    <t>davecade@stanford.edu</t>
  </si>
  <si>
    <t>Goldbogen, Jeremy/0000-0002-4170-7294</t>
  </si>
  <si>
    <t>10.3389/fmars.2022.747788</t>
  </si>
  <si>
    <t>ZF0GR</t>
  </si>
  <si>
    <t>WOS:000759254600001</t>
  </si>
  <si>
    <t>Tang, H; Nsangue, BTN; Pandong, AN; He, PG; Liuxiong, X; Hu, FX</t>
  </si>
  <si>
    <t>Tang, Hao; Nsangue, Bruno Thierry Nyatchouba; Pandong, Achille Njomoue; He, Pingguo; Liuxiong, Xu; Hu, Fuxiang</t>
  </si>
  <si>
    <t>Flume Tank Evaluation on the Effect of Liners on the Physical Performance of the Antarctic Krill Trawl</t>
  </si>
  <si>
    <t>Antarctic krill; midwater trawl; liner; flume tank; engineering performance</t>
  </si>
  <si>
    <t>EUPHAUSIA-SUPERBA; MIDWATER TRAWL; DRAG; ORIENTATION; SIMULATION; SELECTION</t>
  </si>
  <si>
    <t>The Antarctic krill (Euphausia superba) is one of the most abundant resources in the ocean, which provides food for several important species in the Antarctic Ocean, and is targeted commercially by humans for many decades. To sustainably manage and harvest the species, energy-efficient, catch-efficient, and selective fishing gears should be developed for the Antarctic krill trawl fishery. This study investigates the effect of twine area and the liner length on the engineering performance of trawl through flume tank testing of trawl model to predict the performance of the full-scale midwater trawl used in the Antarctic krill fishery. Four 1/35th scale trawl model nets with varying lengths of the liner, based on the traditional trawl used in the Antarctic krill fishery, were designed using modified Tauti's law and were tested in a flume tank at different towing speed, door spread, heavy bob weight, and the ratio of buoyancy to the fishing line (F/G). The results showed that the reduction in liner length by 25 and 50% from the traditional trawl net led to the decrease in twine area by 11.01 and 19.31% and, consequently, resulted in reductions in the lower bridle tension by 12.44 and 19.78%, and increases in energy efficiency by 17.98 and 25.73%, respectively. In addition, the reduction in liner length by 25 and 50% were found to increase the net mouth opening by 2.63 and 5.38% and the swept area by 6.52 and 8.38%, respectively, both of which are proportional to catch rates. Although the trawl net with 50% liner length is more energy-efficient and large mouth opening than those of the trawl net with the liner length over 75% of the trawl body, the large mesh section without a liner can result in the escape of the krill from the trawl, reducing overall catch efficiency. We, therefore, recommend the trawl with 75% of liner length as a suitable design for Antarctic krill considering energy efficiency and catch efficiency.</t>
  </si>
  <si>
    <t>[Tang, Hao; Nsangue, Bruno Thierry Nyatchouba; Liuxiong, Xu] Shanghai Ocean Univ, Coll Marine Sci, Shanghai, Peoples R China; [Tang, Hao; Liuxiong, Xu] Natl Engn Res Ctr Ocean Fisheries, Shanghai, Peoples R China; [Tang, Hao; Liuxiong, Xu] Minist Agr &amp; Rural Affairs, Key Lab Ocean Fisheries Explorat, Shanghai, Peoples R China; [Tang, Hao; Liuxiong, Xu] Shanghai Ocean Univ, Key Lab Sustainable Exploitat Ocean Fisheries Res, Minist Educ, Shanghai, Peoples R China; [Pandong, Achille Njomoue] Univ Douala, Natl High Polytech Sch Douala, Lab E3M, Douala, Cameroon; [He, Pingguo] Univ Massachusetts Dartmouth, Sch Marine Sci &amp; Technol, New Bedford, MA USA; [Hu, Fuxiang] Tokyo Univ Marine Sci &amp; Technol, Fac Marine Sci, Tokyo, Japan</t>
  </si>
  <si>
    <t>Shanghai Ocean University; National Engineering Research Center for Oceanic Fisheries; Ministry of Agriculture &amp; Rural Affairs; Shanghai Ocean University; University of Massachusetts System; University Massachusetts Dartmouth; Tokyo University of Marine Science &amp; Technology</t>
  </si>
  <si>
    <t>Nsangue, BTN (corresponding author), Shanghai Ocean Univ, Coll Marine Sci, Shanghai, Peoples R China.</t>
  </si>
  <si>
    <t>nsanguet@163.com</t>
  </si>
  <si>
    <t>Tang, Hao/GXH-6097-2022; Bruno, Nyatchouba Nsangue Thierry/AAZ-5386-2021</t>
  </si>
  <si>
    <t>Tang, Hao/0000-0002-3393-1683;</t>
  </si>
  <si>
    <t>National Natural Science Foundation of China [31902426]; Shanghai Sailing Program [19YF1419800]; special project for the exploitation and utilization of Antarctic biological resources of Ministry of Agriculture and Rural Affairs [D-8002-18-0097]</t>
  </si>
  <si>
    <t>National Natural Science Foundation of China(National Natural Science Foundation of China (NSFC)); Shanghai Sailing Program; special project for the exploitation and utilization of Antarctic biological resources of Ministry of Agriculture and Rural Affairs</t>
  </si>
  <si>
    <t>Funding This study was financially sponsored by the National Natural Science Foundation of China (Grant No. 31902426), the Shanghai Sailing Program (19YF1419800), and a special project for the exploitation and utilization of Antarctic biological resources of Ministry of Agriculture and Rural Affairs (D-8002-18-0097).</t>
  </si>
  <si>
    <t>10.3389/fmars.2021.829615</t>
  </si>
  <si>
    <t>ZA3EE</t>
  </si>
  <si>
    <t>WOS:000756050400001</t>
  </si>
  <si>
    <t>Contreras, RA; Pizarro, M; Peña-Heyboer, N; Mendoza, L; Sandoval, C; Muñoz-González, R; Zúñiga, GE</t>
  </si>
  <si>
    <t>Contreras, Rodrigo A.; Pizarro, Marisol; Pena-Heyboer, Nicolas; Mendoza, Leonora; Sandoval, Camila; Munoz-Gonzalez, Rodrigo; Zuniga, Gustavo E.</t>
  </si>
  <si>
    <t>Antifungal activity of extracts from the Antarctic plant Colobanthus quitensis Kunth. (Bartl) cultured in vitro against Botrytis cinerea Pers</t>
  </si>
  <si>
    <t>ARCHIVES OF PHYTOPATHOLOGY AND PLANT PROTECTION</t>
  </si>
  <si>
    <t>C; quitensis; B; cinerea; antifungal; flavone C-glycosides; plant extract</t>
  </si>
  <si>
    <t>DESCHAMPSIA-ANTARCTICA; CHEMICAL-CHARACTERIZATION; EDIBLE COATINGS; FUNGICIDES; RESISTANCE; BIOCONTROL; ANTIOXIDANT; STRAINS; POLYPHENOLS; METABOLITES</t>
  </si>
  <si>
    <t>Botrytis cinerea, a responsible for grey rot that mainly affects fruit and represent a problem in fruit-exporting countries. Synthetic antifungals are used for its control. However, it has developed a specific resistance towards them. Therefore, a search for new natural alternatives that are friendly to the environment has increased in the last decade. In this work, the activity of in vitro-cultured C. quitensis extracts was analysed. Extract was characterized using LC-MS/MS and evaluated in vitro, and in vivo using edible coatings in table grapes. The application of extracts inhibited the development of conidia and mycelium of B. cinerea, with EC50 values of 0.071 +/- 0.008 g L-1 and 0.074 +/- 0.09 g L-1, respectively, inducing oxidative stress in vitro; on the other hand, in vivo assays showed a protection and preservation of anthocyanins and sugars in table grapes. These results suggest that C. quitensis extracts represent a good alternative to control B. cinerea.</t>
  </si>
  <si>
    <t>[Contreras, Rodrigo A.; Munoz-Gonzalez, Rodrigo] Not Co SpA, Res Unit, Not Lab, Dept Res &amp; Dev, Santiago Of Chile, Chile; [Contreras, Rodrigo A.; Pizarro, Marisol; Pena-Heyboer, Nicolas; Zuniga, Gustavo E.] Univ Santiago Chile, Fac Quim &amp; Biol, Dept Biol, Lab Fisiol &amp; Biotecnol Vegetal, Santiago, Chile; [Pizarro, Marisol; Zuniga, Gustavo E.] Univ Santiago Chile, CEDENNA, Santiago, Chile; [Mendoza, Leonora] Univ Santiago Chile, Fac Quim &amp; Biol, Dept Quim Mat, Lab Micol, Santiago, Chile; [Sandoval, Camila] Inst Nacl Invest Agr, Lab Fitopatol, INIA Remehue, Osorno, Chile</t>
  </si>
  <si>
    <t>Universidad de Santiago de Chile; Universidad de Santiago de Chile; Universidad de Santiago de Chile; Instituto de Investigacion Agropecuaria (INIA)</t>
  </si>
  <si>
    <t>Contreras, RA (corresponding author), Not Co SpA, Res Unit, Not Lab, Dept Res &amp; Dev, 3550 Quilln Ave, Macul, Santiago Of Chi, Chile.</t>
  </si>
  <si>
    <t>rodrigo.c@thenotcompany.com</t>
  </si>
  <si>
    <t>Sandoval, Camila/AAC-4805-2022; Contreras, Rodrigo A./I-1871-2013</t>
  </si>
  <si>
    <t>Contreras, Rodrigo A./0000-0001-9970-3125; Zuniga, Gustavo/0000-0002-8286-9468; Munoz-Gonzalez, Rodrigo/0000-0003-2266-5014</t>
  </si>
  <si>
    <t>Chilean Committee of Research in Science and Technology (Conicyt) [3160274]; Project Fortalecimiento Usach [USA1799_ZG203516]</t>
  </si>
  <si>
    <t>Chilean Committee of Research in Science and Technology (Conicyt); Project Fortalecimiento Usach</t>
  </si>
  <si>
    <t>The authors acknowledge the Chilean Committee of Research in Science and Technology (Conicyt) for funding (project Fondecyt 3160274) and the Chilean Antarctic Institute for logistics in the sample collection of C. quitensis in the field. Specially thanks to Drs. Grace Armijo and Patricio Arce-Johnson from Pontifical Catholic University of Chile and Maria de los angeles Miccono from Chilean Institute of Agricultural Sciences (La Platina) for providing the B. cinerea samples. The authors thank CEDENNA and Project Fortalecimiento Usach USA1799_ZG203516.</t>
  </si>
  <si>
    <t>TAYLOR &amp; FRANCIS LTD</t>
  </si>
  <si>
    <t>ABINGDON</t>
  </si>
  <si>
    <t>2-4 PARK SQUARE, MILTON PARK, ABINGDON OR14 4RN, OXON, ENGLAND</t>
  </si>
  <si>
    <t>0323-5408</t>
  </si>
  <si>
    <t>1477-2906</t>
  </si>
  <si>
    <t>ARCH PHYTOPATH PLANT</t>
  </si>
  <si>
    <t>Arch. Phytopathol. Plant Protect.</t>
  </si>
  <si>
    <t>MAR 16</t>
  </si>
  <si>
    <t>10.1080/03235408.2022.2035965</t>
  </si>
  <si>
    <t>ZE1UP</t>
  </si>
  <si>
    <t>WOS:000752344400001</t>
  </si>
  <si>
    <t>Silvestri, G; Berman, AL; Braconnot, P; Marti, O</t>
  </si>
  <si>
    <t>Silvestri, Gabriel; Berman, Ana Laura; Braconnot, Pascale; Marti, Olivier</t>
  </si>
  <si>
    <t>Long-term trends in the Southern Annular Mode from transient Mid- to Late Holocene simulation with the IPSL-CM5A2 climate model</t>
  </si>
  <si>
    <t>CLIMATE DYNAMICS</t>
  </si>
  <si>
    <t>Southern Annular Mode; Holocene; Southern Hemisphere</t>
  </si>
  <si>
    <t>LOW-FREQUENCY VARIABILITY; EARTH SYSTEM MODEL; ANTARCTIC OSCILLATION; PART I; HEMISPHERE; SAM; RECONSTRUCTIONS; EVOLUTION; IPSL; TELECONNECTION</t>
  </si>
  <si>
    <t>This study describes time evolution of the Southern Annular Mode (SAM) in Mid- to Late Holocene simulated with a state-of-the-art transient simulation of the last 6000 years carried out with the IPSL-CM5A2 model. Simulated SAM index exhibits significant long-term linear trends of different sign depending on the season that are closely related to multi-millennial changes in insolation which was the main driver of long-term climate change in the study period. Interactions between changes in insolation and the SAM are linked to temperature and pressure changes developed through the entire Southern Hemisphere. In fact, model results suggest that insolation changes produced significant changes in extratropical temperature gradients that, in turn, induced changes in pressure gradients synthesized by significant long-term linear trends in the SAM index from Mid- to Late-Holocene. Considering that changes in the SAM index synthetize changes in hemispheric patterns of temperature, pressure and winds, results exposed in this study should be considered as reference for reconstructions of SAM evolution in the last 6000 years from climate proxy archives.</t>
  </si>
  <si>
    <t>[Silvestri, Gabriel; Berman, Ana Laura] Univ Buenos Aires UBA, CNRS, Inst Franco Argentino Estudio Clima &amp; Impactos, IRL 3351 IFAECI,IRD,UBA,CONICET, Buenos Aires, DF, Argentina; [Braconnot, Pascale; Marti, Olivier] Univ Paris Saclay, CNRS, Lab Sci Climat &amp; Environm LSCE, IPSL,UVSQ,CEA, Gif Sur Yvette, France</t>
  </si>
  <si>
    <t>Consejo Nacional de Investigaciones Cientificas y Tecnicas (CONICET); University of Buenos Aires; Universite Paris Cite; CEA; Centre National de la Recherche Scientifique (CNRS); Universite Paris Saclay</t>
  </si>
  <si>
    <t>Silvestri, G (corresponding author), Univ Buenos Aires UBA, CNRS, Inst Franco Argentino Estudio Clima &amp; Impactos, IRL 3351 IFAECI,IRD,UBA,CONICET, Buenos Aires, DF, Argentina.</t>
  </si>
  <si>
    <t>gabriels@cima.fcen.uba.ar; alberman@cima.fcen.uba.ar; pascale.braconnot@lsce.ipsl.fr; olivier.marti@lsce.ipsl.fr</t>
  </si>
  <si>
    <t>Marti, Olivier/B-2378-2009</t>
  </si>
  <si>
    <t>Marti, Olivier/0000-0002-8246-5578; Berman, Ana Laura/0000-0003-2068-1440; Silvestri, Gabriel/0000-0002-5011-559X</t>
  </si>
  <si>
    <t>IPSL Modeling Center; IPSL Climate Graduate School (Investissements d'avenir programme) [ANR-11-IDEX-0004-17-EURE-0006]</t>
  </si>
  <si>
    <t>IPSL Modeling Center; IPSL Climate Graduate School (Investissements d'avenir programme)(Agence Nationale de la Recherche (ANR))</t>
  </si>
  <si>
    <t>Model developments and infrastructure is supported by the IPSL Modeling Center and benefits from the L-IPSL LABEX and IPSL Climate Graduate School (Investissements d'avenir programme ANR-11-IDEX-0004-17-EURE-0006).</t>
  </si>
  <si>
    <t>0930-7575</t>
  </si>
  <si>
    <t>1432-0894</t>
  </si>
  <si>
    <t>CLIM DYNAM</t>
  </si>
  <si>
    <t>Clim. Dyn.</t>
  </si>
  <si>
    <t>3-4</t>
  </si>
  <si>
    <t>10.1007/s00382-022-06160-0</t>
  </si>
  <si>
    <t>2I2GC</t>
  </si>
  <si>
    <t>WOS:000750315300001</t>
  </si>
  <si>
    <t>Nishizawa, B; Okado, J; Mitani, Y; Nakamura, T; Yamaguchi, A; Mukai, T; Watanuki, Y</t>
  </si>
  <si>
    <t>Nishizawa, Bungo; Okado, Jumpei; Mitani, Yoko; Nakamura, Tomohiro; Yamaguchi, Atsushi; Mukai, Tohru; Watanuki, Yutaka</t>
  </si>
  <si>
    <t>Two species of seabirds foraged in contrasting marine habitats across the cold-water belt along the coast of northern Hokkaido in the southwestern Okhotsk Sea</t>
  </si>
  <si>
    <t>FISHERIES SCIENCE</t>
  </si>
  <si>
    <t>Rhinoceros auklets; Short-tailed shearwater; Acoustics; Spatial scale; Biophysical interaction; Foraging behavior</t>
  </si>
  <si>
    <t>SHORT-TAILED SHEARWATERS; PREDATOR-PREY INTERACTIONS; RHINOCEROS AUKLETS; DIMETHYL SULFIDE; ANTARCTIC KRILL; ISLAND; SOUTH; ZOOPLANKTON; BEHAVIOR; SANDEEL</t>
  </si>
  <si>
    <t>To understand the environmental factors affecting the density of foraging seabirds across the cold-water belt in the southwestern Okhotsk Sea, we conducted a 1-day (180-km transect length) shipboard seabird survey off the northeastern coast of Hokkaido during summer in 2019, along with acoustic observations of potential prey (zooplankton and fish) biomass, thermosalinograph measurements, and CTD observations. Planktivorous short-tailed shearwaters Ardenna tenuirostris (66% of total seabirds) and piscivorous rhinoceros auklets Cerorhinca monocerata (28%) were predominant, but foraged in contrasting habitats. A large foraging flock of shearwaters was observed in the cold-water belt zone, including its front with coastal Soya Warm Current Water and the offshore Fresh Surface Okhotsk Sea Water, where surface chlorophyll a concentrations were the highest but not related to their prey (zooplankton) biomass at any spatial scale between 4.6 and 9.2 km. In contrast, the density of auklets was high in the coastal Soya Warm Current Water, where the acoustically determined fish biomass was large, and showed a positive relationship with the fish biomass especially in the lower layer (29-104 m depth) at any spatial scale. This species-specific difference in response to prey biomass might be related to prey-searching behaviors; i.e., rhinoceros auklets search prey underwater visually, but short-tailed shearwater can use both visual and olfactory cues to locate zooplankton patches from the air.</t>
  </si>
  <si>
    <t>[Nishizawa, Bungo] Natl Inst Polar Res, Midori Cho 10-3, Tachikawa, Tokyo 1908518, Japan; [Okado, Jumpei; Yamaguchi, Atsushi; Mukai, Tohru; Watanuki, Yutaka] Hokkaido Univ, Grad Sch Fisheries Sci, 3-1-1 Minato Cho, Hakodate, Hokkaido 0418611, Japan; [Mitani, Yoko] Hokkaido Univ, Field Sci Ctr Northern Biosphere, 20-5 Benten Cho, Hakodate, Hokkaido 0400051, Japan; [Nakamura, Tomohiro] Hokkaido Univ, Inst Low Temp Sci, Sapporo, Hokkaido, Japan; [Mitani, Yoko] Kyoto Univ, Wildlife Res Ctr, 2-24 Tanaka Sekiden Cho, Kyoto 6068203, Japan</t>
  </si>
  <si>
    <t>Research Organization of Information &amp; Systems (ROIS); National Institute of Polar Research (NIPR) - Japan; Hokkaido University; Hokkaido University; Hokkaido University; Kyoto University</t>
  </si>
  <si>
    <t>Nishizawa, B (corresponding author), Natl Inst Polar Res, Midori Cho 10-3, Tachikawa, Tokyo 1908518, Japan.</t>
  </si>
  <si>
    <t>nishizawa@salmon.fish.hokudai.ac.jp</t>
  </si>
  <si>
    <t>Mukai, Tohru/F-9143-2012; Yamaguchi, Atsushi/A-8613-2012</t>
  </si>
  <si>
    <t>Yamaguchi, Atsushi/0000-0002-5646-3608</t>
  </si>
  <si>
    <t>JSPS KAKENHI [20H03054, 19J01267]; Environment Research and Technology Development Fund of the Environmental Restoration and Conservation Agency of Japan [JPMEERF20214002]; Grants-in-Aid for Scientific Research [20H03054, 21K03655, 20K20573, 19J01267] Funding Source: KAKEN</t>
  </si>
  <si>
    <t>JSPS KAKENHI(Ministry of Education, Culture, Sports, Science and Technology, Japan (MEXT)Japan Society for the Promotion of ScienceGrants-in-Aid for Scientific Research (KAKENHI)); Environment Research and Technology Development Fund of the Environmental Restoration and Conservation Agency of Japan; Grants-in-Aid for Scientific Research(Ministry of Education, Culture, Sports, Science and Technology, Japan (MEXT)Japan Society for the Promotion of ScienceGrants-in-Aid for Scientific Research (KAKENHI))</t>
  </si>
  <si>
    <t>We thank the captain, officers, and crews of the T/S Oshoro-maru for their help with field surveys. Keizo Ito and Sarufutsu Fishery Cooperative provided marine information on the study region. Nodoka Yamada helped with acoustic data analysis. We also thank two anonymous referees for their helpful comments that greatly improved the manuscript. This study was supported by JSPS KAKENHI Grant Number 20H03054 (Y. Mitani) and 19J01267 (B. Nishizawa) and by the Environment Research and Technology Development Fund (JPMEERF20214002) of the Environmental Restoration and Conservation Agency of Japan.</t>
  </si>
  <si>
    <t>SPRINGER JAPAN KK</t>
  </si>
  <si>
    <t>TOKYO</t>
  </si>
  <si>
    <t>SHIROYAMA TRUST TOWER 5F, 4-3-1 TORANOMON, MINATO-KU, TOKYO, 105-6005, JAPAN</t>
  </si>
  <si>
    <t>0919-9268</t>
  </si>
  <si>
    <t>1444-2906</t>
  </si>
  <si>
    <t>FISHERIES SCI</t>
  </si>
  <si>
    <t>Fish. Sci.</t>
  </si>
  <si>
    <t>JAN</t>
  </si>
  <si>
    <t>10.1007/s12562-021-01576-9</t>
  </si>
  <si>
    <t>YQ8OW</t>
  </si>
  <si>
    <t>WOS:000749155600002</t>
  </si>
  <si>
    <t>Ibanez, AE; Morales, LM; Torres, DS; Borghello, P; Montalti, D</t>
  </si>
  <si>
    <t>Ibanez, A. E.; Morales, L. M.; Torres, D. S.; Borghello, P.; Montalti, D.</t>
  </si>
  <si>
    <t>Pellet analysis evidences flexibility in the diet of Brown Skua (Stercorarius antarcticus) during breeding at Esperanza/Hope Bay (Antarctic Peninsula)</t>
  </si>
  <si>
    <t>Diet; Marine resources; Breeding; Brown Skua; Stercorarius antarcticus; Antarctica</t>
  </si>
  <si>
    <t>SOUTH POLAR SKUA; CATHARACTA-SKUA; INDIVIDUAL SPECIALIZATION; FEEDING STRATEGIES; FORAGING BEHAVIOR; GREAT SKUAS; HABITAT USE; LONNBERGI; MACCORMICKI; SEABIRD</t>
  </si>
  <si>
    <t>At Esperanza/Hope Bay, Antarctic Peninsula, breeding Brown Skuas (Stercorarius antarcticus) coexist with a breeding colony of Adelie (Pygoscelis adeliae) and Gentoo (P. papua) penguins. Previously, we reported that the principal prey consumed by Brown Skuas was penguin, however, the contribution of marine resources to their diet was high. Besides, the number of conspecifics that compete for this resource gradually increases across the season. This prompted us to enquire into the ecological factors that may promote the use of marine resources during the breeding cycle. For this, during the 2014-2015 and 2015-2016 seasons, 400 regurgitated pellets were collected over the breeding season for different stages in the nesting cycle: incubation, early and late chick rearing. Prey items were classified according to different categories (penguin, fish, mollusk, and crustacea), and the occurrence frequency of each category was determined. As expected, penguins were the main prey consumed, but the occurrence of fish and mollusks increased for both early and late care of chicks. The flexibility in skua foraging behavior may be related to the changing degree of central place forager, and to the fluctuating energy requirements during each breeding stage. Moreover, the conspicuous decline in penguin availability or accessibility induced by intraspecific competition, may represent an alternative driving force in their foraging behavior over the breeding season.</t>
  </si>
  <si>
    <t>[Ibanez, A. E.; Morales, L. M.; Torres, D. S.; Borghello, P.; Montalti, D.] Museo La Plata FCNyM UNLP, Secc Ornitol, Div Zool, Paseo Bosque S-N,B1900FWA, La Plata, Buenos Aires, Argentina; [Ibanez, A. E.; Morales, L. M.; Montalti, D.] CCT La Plata, Consejo Nacl Invest Cient &amp; Tecn CONICET, Ctr Cient Tecnol, Calle 8 1467,B1904, La Plata, Buenos Aires, Argentina; [Montalti, D.] Inst Antartico Argentino IAA, 25 Mayo 1143,B1650HMK San Martin, Buenos Aires, DF, Argentina</t>
  </si>
  <si>
    <t>National University of La Plata; Museo La Plata; Consejo Nacional de Investigaciones Cientificas y Tecnicas (CONICET); National University of La Plata</t>
  </si>
  <si>
    <t>Ibanez, AE (corresponding author), Museo La Plata FCNyM UNLP, Secc Ornitol, Div Zool, Paseo Bosque S-N,B1900FWA, La Plata, Buenos Aires, Argentina.;Ibanez, AE (corresponding author), CCT La Plata, Consejo Nacl Invest Cient &amp; Tecn CONICET, Ctr Cient Tecnol, Calle 8 1467,B1904, La Plata, Buenos Aires, Argentina.</t>
  </si>
  <si>
    <t>aeibanez@fcnym.unlp.edu.ar</t>
  </si>
  <si>
    <t>Proyecto de Investigacion Plurianual (PIP-CONICET) [0158]; Agencia Nacional de Promocion Cientifica y Tecnologica and Instituto Antartico Argentino [PICTA2010-0080, PICT-2014-3323]</t>
  </si>
  <si>
    <t>Proyecto de Investigacion Plurianual (PIP-CONICET); Agencia Nacional de Promocion Cientifica y Tecnologica and Instituto Antartico Argentino</t>
  </si>
  <si>
    <t>This work was supported by Proyecto de Investigacion Plurianual (PIP-CONICET n degrees 0158) and Agencia Nacional de Promocion Cientifica y Tecnologica and Instituto Antartico Argentino (PICTA2010-0080) (to DM), and partially supported by (PICT-2014-3323) (to AEI).</t>
  </si>
  <si>
    <t>10.1007/s00300-021-02993-3</t>
  </si>
  <si>
    <t>WOS:000749231900001</t>
  </si>
  <si>
    <t>Baecker, B; Ott, U; Trieloff, M; Engrand, C; Duprat, J</t>
  </si>
  <si>
    <t>Baecker, Bastian; Ott, Ulrich; Trieloff, Mario; Engrand, Cecile; Duprat, Jean</t>
  </si>
  <si>
    <t>Noble gases in Dome C micrometeorites- An attempt to disentangle asteroidal and cometary sources</t>
  </si>
  <si>
    <t>Micrometeorites; Noble gases; Xenon; Cosmic ray exposure; Comets; Asteroids</t>
  </si>
  <si>
    <t>INTERPLANETARY DUST PARTICLES; IONIZATION MASS-SPECTROMETER; SOLAR-WIND; ANTARCTIC MICROMETEORITES; COSMIC SPHERULES; TRANSANTARCTIC MOUNTAINS; ATMOSPHERIC ENTRY; TRACE-ELEMENT; EXCESS HE-3; RECOIL LOSS</t>
  </si>
  <si>
    <t>We have performed a comprehensive noble gas study, including the isotopes of krypton and xenon, on a set of micrometeorites (MMs) collected from surface snow at Dome C (DC) on the Antarctic plateau. He and Ne are generally dominated by a solar component, with lower He-4 concentrations and He-4/Ne-20 ratios in crystalline (Xtal) compared to fine-grained carbonaceous (FgC) MMs. Concentrations of (surface-correlated) solar wind (SW) He and Ne in FgC MMs are at the high end of what has been seen in earlier work, whereas the abundances of (volume-correlated) Kr and Xe are similar to what has been found in previous studies of MMs. In most samples, isotopic ratios for Kr and Xe are in the usual range of Q-Kr and-Xe (the Q component is the dominating component in primitive macroscopic meteorites) and air. When quantifiable, cosmic ray exposure (CRE) ages based on cosmogenic Ne-21 and He-3, in combination with the Poynting-Robertson effect, are broadly consistent with an origin of the MMs from the asteroid belt. An exception is an Xtal MM, which exhibits a cosmogenic Ne-21 concentration in agreement with an origin from beyond Saturn, consistent with a possible cometary origin. In addition, data for trapped noble gases in three (out of ten analyzed) DC MMs provide hints that these may be related to a cometary source. One sample, a fragment of a FgC MM, is of particular interest. This fragment exhibits a Xe composition, although with large analytical uncertainties, deficient in the heavy isotopes Xe-134 and Xe-136. This is similar to the Xe isotopic pattern, probably related to cometary ice, measured by Rosetta in the coma of comet P-67/Churyumov-Gerasimenko. The same MM also has an unusually high Ar-36/Ar-38 ratio, consistent with Rosetta's Ar measurement (in this case the latter having a large uncertainty). The other hints are for two MMs, of crystalline (Xtal) type, that show Ne similar to that found in laboratory analysis of refractory grains captured from comet 81P/Wild 2 by the Stardust mission. Additionally, a FgC/Xtal MM may contain excess He-3, similar to what has been seen in some cluster interplanetary dust particles (cluster IDPs).</t>
  </si>
  <si>
    <t>[Baecker, Bastian; Ott, Ulrich] Max Planck Inst Chem, Hahn Meitner Weg 1, D-55128 Mainz, Germany; [Baecker, Bastian; Ott, Ulrich; Trieloff, Mario] Heidelberg Univ, Inst Geowissensch, Klaus Tschira Lab Kosmochem, Neuenheimer Feld 234-236, D-69120 Heidelberg, Germany; [Ott, Ulrich] MTA Atomki, Bem Ter 18-C, H-4026 Debrecen, Hungary; [Engrand, Cecile] CNRS Paris Saclay, IJCLab, Orsay, France; [Duprat, Jean] CNRS MNHN, IMPMC, Paris, France; [Baecker, Bastian] Elbeallee 51, D-14612 Falkensee, Germany</t>
  </si>
  <si>
    <t>Max Planck Society; Ruprecht Karls University Heidelberg; Hungarian Academy of Sciences; Hungarian Research Network; HUN-REN Institute for Nuclear Research; Universite Paris Cite; Museum National d'Histoire Naturelle (MNHN); Centre National de la Recherche Scientifique (CNRS); Institut de Recherche pour le Developpement (IRD); Sorbonne Universite</t>
  </si>
  <si>
    <t>Ott, U (corresponding author), Max Planck Inst Chem, Hahn Meitner Weg 1, D-55128 Mainz, Germany.</t>
  </si>
  <si>
    <t>uli.ott@mpic.de</t>
  </si>
  <si>
    <t>German Research Foundation, DFG [OT 171/5-1, OT 171/5-2]; ANR (Project COMETOR) [18-31CE-0011]; Region Ile de France (DIM-ACAV+); PNP/INSU; CNES; IN2P3; Labex P2IO; CONCORDIA Station [1120]; French Polar Institute (IPEV)</t>
  </si>
  <si>
    <t>German Research Foundation, DFG(German Research Foundation (DFG)); ANR (Project COMETOR)(Agence Nationale de la Recherche (ANR)); Region Ile de France (DIM-ACAV+)(Region Ile-de-France); PNP/INSU; CNES(Centre National D'etudes Spatiales); IN2P3; Labex P2IO; CONCORDIA Station; French Polar Institute (IPEV)</t>
  </si>
  <si>
    <t>Siegfried Herrmann and Reinhard Haubold provided technical assistance with noble gas mass spectrometry. B.B., U.O. and M.T. acknowledge funding by the German Research Foundation, DFG-grants OT 171/5-1 and 5-2, M.T. also thanks the Klaus Tschira Stiftung. J.D. and C.E. were financially supported by ANR (Project COMETOR 18-31CE-0011), Region Ile de France (DIM-ACAV+), PNP/INSU, CNES, IN2P3 and Labex P2IO. Collection of the micrometeorites was performed at CONCORDIA Station (project #1120) and financially supported by the French Polar Institute (IPEV). We are grateful to the staff of the French (IPEV) and Italian (PNRA) Polar Institutes for logistical help in the field.</t>
  </si>
  <si>
    <t>10.1016/j.icarus.2022.114884</t>
  </si>
  <si>
    <t>1C7CI</t>
  </si>
  <si>
    <t>WOS:000793272000004</t>
  </si>
  <si>
    <t>Jena, B; Bajish, CC; Turner, J; Ravichandran, M; Kshitija, S; Anilkumar, N; Singh, AK; Pradhan, PK; Ray, Y; Saini, S</t>
  </si>
  <si>
    <t>Jena, B.; Bajish, C. C.; Turner, J.; Ravichandran, M.; Kshitija, S.; Anilkumar, N.; Singh, A. K.; Pradhan, P. K.; Ray, Y.; Saini, S.</t>
  </si>
  <si>
    <t>Mechanisms associated with the rapid decline in sea ice cover around a stranded ship in the Lazarev Sea, Antarctica</t>
  </si>
  <si>
    <t>SCIENCE OF THE TOTAL ENVIRONMENT</t>
  </si>
  <si>
    <t>Remote sensing; Southern Ocean; Ice cover; Polar cyclones; Ocean-atmosphere-cryosphere</t>
  </si>
  <si>
    <t>MAUD RISE; SOUTHERN-OCEAN; TRENDS; VARIABILITY; EXTREMES; POLYNYA; WIND; MODE</t>
  </si>
  <si>
    <t>In the satellite data era starting from 1979, the extent of Antarctic sea ice increased moderately for the first 37 years. However, the extent decreased to record low levels from 2016 to 2020, with the drop being greatest in the Weddell and Lazarev Seas of the Southern Ocean. An important question for the scientific fraternity and policymakers is to understand what ocean-atmospheric processes triggered such a rapid decline in sea ice. We employ in-situ, satellite, and atmospheric reanalysis data to examine the causative mechanism of anomalous sea ice variability in the Lazarev Sea at a time of ice growth in the annual cycle (March-April 2019), when a cargo ship was stuck in extensive ice cover and freed following the unusual decline in sea ice. High-resolution Sentinel-1 synthetic aperture radar captured a distinct view of the ship location and track within extensive ice cover of fast sea ice, dense pack ice, and icebergs in the Lazarev Sea on 27 March 2019. Subsequently, the sea ice cover declined and reached the fourth lowest extent in the entire satellite record during April 2019 which was 25.6% lower than the long-term mean value of 2.65 x 10(6) km(2). We show that the anomalous sea ice variability was due to the occurrence of eastward-moving polar cyclones, including a quasi stationary explosive development that impacted sea ice through extreme changes in ocean-atmospheric conditions. The cyclone-induced dynamic (poleward propagation of ocean waves and ice motion) and thermodynamic (heat and moisture plumes from midlatitudes, ocean mixed layer warming) processes coupled with high tides provided a conducive environment for an exceptional decline in sea ice over the region of ship movement.</t>
  </si>
  <si>
    <t>[Jena, B.; Bajish, C. C.; Ravichandran, M.; Kshitija, S.; Anilkumar, N.; Singh, A. K.; Ray, Y.; Saini, S.] Natl Ctr Polar &amp; Ocean Res, Minist Earth Sci, Govt India, Vasco Da Gama, India; [Turner, J.] British Antarctic Survey, Nat Environm Res Council, Cambridge, England; [Pradhan, P. K.] Sri Venkateswara Univ, Dept Phys, Tirupati, Andhra Pradesh, India</t>
  </si>
  <si>
    <t>Ministry of Earth Sciences (MoES) - India; National Centre for Polar and Ocean Research (NCPOR); UK Research &amp; Innovation (UKRI); Natural Environment Research Council (NERC); NERC British Antarctic Survey; Sri Venkateswara University</t>
  </si>
  <si>
    <t>Jena, B (corresponding author), Natl Ctr Polar &amp; Ocean Res, Minist Earth Sci, Govt India, Vasco Da Gama, India.</t>
  </si>
  <si>
    <t>bjena@ncpor.res.in</t>
  </si>
  <si>
    <t>Ray, Yogesh/A-9564-2012</t>
  </si>
  <si>
    <t>Ray, Yogesh/0000-0001-7236-9323; Pradhan, Dr. Prabodha Kumar/0000-0001-9651-3342; , Bajish/0000-0002-5909-094X</t>
  </si>
  <si>
    <t>Ministry of Earth Sciences; NERC [bas0100032] Funding Source: UKRI</t>
  </si>
  <si>
    <t>Ministry of Earth Sciences; NERC(UK Research &amp; Innovation (UKRI)Natural Environment Research Council (NERC))</t>
  </si>
  <si>
    <t>This research is supported by the NCPOR and Ministry of Earth Sciences.</t>
  </si>
  <si>
    <t>0048-9697</t>
  </si>
  <si>
    <t>1879-1026</t>
  </si>
  <si>
    <t>SCI TOTAL ENVIRON</t>
  </si>
  <si>
    <t>Sci. Total Environ.</t>
  </si>
  <si>
    <t>10.1016/j.scitotenv.2022.153379</t>
  </si>
  <si>
    <t>ZQ0JU</t>
  </si>
  <si>
    <t>WOS:000766801100014</t>
  </si>
  <si>
    <t>Vinogradova, E; Damm, E; Pnyushkov, AV; Krumpen, T; Ivanov, VV</t>
  </si>
  <si>
    <t>Vinogradova, Elena; Damm, Ellen; Pnyushkov, Andrey V.; Krumpen, Thomas; Ivanov, Vladimir V.</t>
  </si>
  <si>
    <t>Shelf-Sourced Methane in Surface Seawater at the Eurasian Continental Slope (Arctic Ocean)</t>
  </si>
  <si>
    <t>FRONTIERS IN ENVIRONMENTAL SCIENCE</t>
  </si>
  <si>
    <t>methane plumes; polar mixed layer; Eurasian continental slope; sea ice; shelf-basin interaction</t>
  </si>
  <si>
    <t>SEA-ICE CONDITIONS; FRESH-WATER; THICKNESS; HALOCLINE; CARBON; DRIFT; VARIABILITY; MECHANISMS; ATMOSPHERE; OXIDATION</t>
  </si>
  <si>
    <t>This study traces the pathways of dissolved methane at the Eurasian continental slope (ECS) and the Siberian shelf break based on data collected during the NABOS-II expedition in August-September, 2013. We focus on the sea ice-ocean interface during seasonal strong ice melt. Our analysis reveals a patchy pattern of methane supersaturation related to the atmospheric equilibrium. We argue that sea ice transports methane from the shelf and that ice melt is the process that causes the heterogeneous pattern of methane saturation in the Polar Mixed Layer (PML). We calculate the solubility capacity and find that seasonal warming of the PML reduces the CH4 storage capacity and contributes to methane supersaturation and potential sea-air flux in summer. Cooling in autumn enhances the solubility capacity in the PML once again. The shifts in the solubility capacity indicate the buffering capacity for seasonal storage of atmospheric and marine methane in the PML. We discuss specific pathways for marine methane and the storage capacity of the PML on the ECS as a sink/source for atmospheric methane and methane sources from the Siberian shelf. The potential sea-air flux of methane is calculated and intrusions of methane plumes from the PML into the Cold Halocline Layer are described.</t>
  </si>
  <si>
    <t>[Vinogradova, Elena] Russian Acad Sci, Shirshov Inst Oceanol, Moscow, Russia; [Damm, Ellen] Alfred Wegener Inst Polar &amp; Marine Res, Permafrost Res Sect, Potsdam, Germany; [Pnyushkov, Andrey V.] Univ Alaska Fairbanks, Int Arctic Res Ctr, Fairbanks, AK USA; [Pnyushkov, Andrey V.] Hokkaido Univ, Global Inst Collaborat Res &amp; Educ, Sapporo, Hokkaido, Japan; [Krumpen, Thomas] Alfred Wegener Inst Polar &amp; Marine Res, Sea Ice Phys Res Sect, Bremerhaven, Germany; [Ivanov, Vladimir V.] Lomonosov Moscow State Univ, Fac Geog, Oceanol Dept, Moscow, Russia; [Ivanov, Vladimir V.] Arctic &amp; Antarctic Res Inst, St Petersburg, Russia</t>
  </si>
  <si>
    <t>Russian Academy of Sciences; Shirshov Institute of Oceanology; Helmholtz Association; Alfred Wegener Institute, Helmholtz Centre for Polar &amp; Marine Research; University of Alaska System; University of Alaska Fairbanks; Hokkaido University; Helmholtz Association; Alfred Wegener Institute, Helmholtz Centre for Polar &amp; Marine Research; Lomonosov Moscow State University; Arctic &amp; Antarctic Research Institute</t>
  </si>
  <si>
    <t>Vinogradova, E (corresponding author), Russian Acad Sci, Shirshov Inst Oceanol, Moscow, Russia.</t>
  </si>
  <si>
    <t>vinogradova@ocean.ru</t>
  </si>
  <si>
    <t>Krumpen, Thomas/D-5163-2011; Pnyushkov, Andrey/M-3156-2019; Ivanov, Vladimir/J-5979-2014</t>
  </si>
  <si>
    <t>Krumpen, Thomas/0000-0001-6234-8756; Pnyushkov, Andrey/0000-0001-9112-6458; Ivanov, Vladimir/0000-0003-2569-6027</t>
  </si>
  <si>
    <t>NSF [1203473]; IO RAS [0128-2021-0005]; Directorate For Geosciences; Office of Polar Programs (OPP) [1203473] Funding Source: National Science Foundation</t>
  </si>
  <si>
    <t>NSF(National Science Foundation (NSF)); IO RAS; Directorate For Geosciences; Office of Polar Programs (OPP)(National Science Foundation (NSF)NSF - Directorate for Geosciences (GEO))</t>
  </si>
  <si>
    <t>This study was performed in the framework of the state assignment of IO RAS (theme 0128-2021-0005); NSF funded IARC Program Nansen and Amundsen Basins Observational System (NABOS ll; grant #1203473).</t>
  </si>
  <si>
    <t>2296-665X</t>
  </si>
  <si>
    <t>FRONT ENV SCI-SWITZ</t>
  </si>
  <si>
    <t>Front. Environ. Sci.</t>
  </si>
  <si>
    <t>JAN 28</t>
  </si>
  <si>
    <t>10.3389/fenvs.2022.811375</t>
  </si>
  <si>
    <t>ZE2YI</t>
  </si>
  <si>
    <t>WOS:000758753900001</t>
  </si>
  <si>
    <t>Lee, Y; Jung, J; Kim, TW; Yang, EJ; Park, J</t>
  </si>
  <si>
    <t>Lee, Youngju; Jung, Jinyoung; Kim, Tae Wan; Yang, Eun Jin; Park, Jisoo</t>
  </si>
  <si>
    <t>Phytoplankton growth rates in the Amundsen Sea (Antarctica) during summer: The role of light</t>
  </si>
  <si>
    <t>ENVIRONMENTAL RESEARCH</t>
  </si>
  <si>
    <t>Phytoplankton; Growth rate; Phaeocystis antarctica; Diatoms; Amundsen Sea; Light limitation</t>
  </si>
  <si>
    <t>FRAGILARIOPSIS-CYLINDRUS BACILLARIOPHYCEAE; MELTING GLACIERS FUELS; SOUTHERN-OCEAN; PHAEOCYSTIS-ANTARCTICA; MARINE-PHYTOPLANKTON; COMMUNITY STRUCTURE; UNICELLULAR ALGAE; IRON LIMITATION; WATER COLUMN; ICE ZONE</t>
  </si>
  <si>
    <t>In the Amundsen Sea, significant global warming accelerates ice melt, and is consequently altering many ocean properties such as sea ice concentration, surface freshening, water column stratification, and underwater light properties. To examine the influence of light, which is one of the fundamental factors for phytoplankton growth, incubation experiments and field surveys were performed during the austral summer of 2016. In the incubation experiments, phytoplankton abundance and carbon biomass significantly increased with increasing light levels, probably indicating light limitation. Growth rates of the small pennates (mean 0.42 d-1) increased most rapidly with an increase in light, followed by those of Phaeocystis antarctica (0.31 d-1), and the large diatoms (0.16 d-1). A short-term study during the field survey showed that phytoplankton distribution in the surface layer was likely controlled by different responses to light and the sinking rate of each species. These results suggest that the approach adopted by previous studies of explaining phytoplankton ecology as a characteristic of two major taxa, namely diatoms and P. antarctica, in the coastal Antarctic waters might cause errors owing to oversimplification and misunderstanding, since diatoms comprise several species that have different ecophysiological characteristics.</t>
  </si>
  <si>
    <t>[Lee, Youngju; Jung, Jinyoung; Kim, Tae Wan; Yang, Eun Jin; Park, Jisoo] Korea Polar Res Inst, Div Ocean Sci, 26 Songdomirae Ro, Incheon 21990, South Korea</t>
  </si>
  <si>
    <t>Korea Polar Research Institute (KOPRI)</t>
  </si>
  <si>
    <t>Yang, EJ (corresponding author), Korea Polar Res Inst, Div Ocean Sci, 26 Songdomirae Ro, Incheon 21990, South Korea.</t>
  </si>
  <si>
    <t>ejyang@kopri.re.kr</t>
  </si>
  <si>
    <t>Kim, Tae-Wan/JGM-9981-2023</t>
  </si>
  <si>
    <t>Kim, Tae-Wan/0000-0001-5257-7256; Yang, Eun Jin/0000-0002-8639-5968</t>
  </si>
  <si>
    <t>Korea Polar Research Institute (KOPRI) [PE21110]</t>
  </si>
  <si>
    <t>Korea Polar Research Institute (KOPRI)(Korea Polar Research Institute of Marine Research Placement (KOPRI))</t>
  </si>
  <si>
    <t>Funding for this research was obtained from the Korea Polar Research Institute (KOPRI) (PE21110).</t>
  </si>
  <si>
    <t>0013-9351</t>
  </si>
  <si>
    <t>1096-0953</t>
  </si>
  <si>
    <t>ENVIRON RES</t>
  </si>
  <si>
    <t>Environ. Res.</t>
  </si>
  <si>
    <t>MAY 1</t>
  </si>
  <si>
    <t>10.1016/j.envres.2021.112165</t>
  </si>
  <si>
    <t>Environmental Sciences; Public, Environmental &amp; Occupational Health</t>
  </si>
  <si>
    <t>Environmental Sciences &amp; Ecology; Public, Environmental &amp; Occupational Health</t>
  </si>
  <si>
    <t>YU2SP</t>
  </si>
  <si>
    <t>WOS:000751897700002</t>
  </si>
  <si>
    <t>Liu, XQ; Luo, YM; Boudreau, BP</t>
  </si>
  <si>
    <t>Liu, Xiaoqing; Luo, Yiming; Boudreau, Bernard P.</t>
  </si>
  <si>
    <t>Effects of Deep Circulation on CaCO3 Dissolution and Accumulation in the Southwestern Atlantic Ocean</t>
  </si>
  <si>
    <t>benthic mass-transfer; CaCO3-depth profile; carbonate dissolution; Southwestern Atlantic; thermohaline currents</t>
  </si>
  <si>
    <t>ANTARCTIC BOTTOM WATER; CARBONATE DISSOLUTION; SEDIMENTS; FLOW; SEAWATER; CALCITE; SYSTEM; RATES</t>
  </si>
  <si>
    <t>Deep oceanic circulation regulates seafloor calcium carbonate (CaCO3) accumulation by transporting atmospheric carbon dioxide (CO2) to depth and then transferring it, with respired CO2, along the global ocean conveyor belt. This creates the shallowing trend of CaCO3 preservation from the Atlantic to the Pacific Oceans. The thermohaline flow can be, however, complex on a basin-wide scale; here, we use a state-of-the-art data compilation and a carbonate accumulation/dissolution model to explain the CaCO3 distribution within the basins of the Southwestern Atlantic Ocean. Our results demonstrate that different currents foster systematically dissimilar CaCO3 preservation within these connected ocean basins. The more undersaturated, faster moving, northward-flowing Antarctic bottom water readily dissolves more CaCO3 than the southward-flowing North Atlantic deep water. We are able to predict quantitatively these observations, based on benthic carbonate chemistry and mass-transfer rates. Our model and CaCO3 records in such basins have the potential to provide new understanding about deep-ocean circulation of the past.</t>
  </si>
  <si>
    <t>[Liu, Xiaoqing; Luo, Yiming] Sun Yat Sen Univ, Sch Marine Sci, Zhuhai, Peoples R China; [Liu, Xiaoqing; Luo, Yiming] Southern Marine Sci &amp; Engn Guangdong Lab Zhuhai, Zhuhai, Peoples R China; [Luo, Yiming] Guangdong Prov Key Lab Marine Resources &amp; Coastal, Guangzhou, Peoples R China; [Boudreau, Bernard P.] Dalhousie Univ, Dept Oceanog, Halifax, NS, Canada</t>
  </si>
  <si>
    <t>Sun Yat Sen University; Southern Marine Science &amp; Engineering Guangdong Laboratory; Southern Marine Science &amp; Engineering Guangdong Laboratory (Zhuhai); Sun Yat Sen University; Dalhousie University</t>
  </si>
  <si>
    <t>Luo, YM (corresponding author), Sun Yat Sen Univ, Sch Marine Sci, Zhuhai, Peoples R China.;Luo, YM (corresponding author), Southern Marine Sci &amp; Engn Guangdong Lab Zhuhai, Zhuhai, Peoples R China.;Luo, YM (corresponding author), Guangdong Prov Key Lab Marine Resources &amp; Coastal, Guangzhou, Peoples R China.</t>
  </si>
  <si>
    <t>luoyiming@mail.sysu.edu.cn</t>
  </si>
  <si>
    <t>Liu, Xiaoqing/0000-0001-7198-9635; luo, yiming/0000-0003-2792-0678</t>
  </si>
  <si>
    <t>National Key Research and Development Program of China [2019YFE0114800]; Guangdong Basic and Applied Basic Research Foundation [2021A1515011395]; Key Laboratory of Global Change and Marine-Atmospheric Chemistry, MNR [GCMAC1904]; Innovation Group Project of Southern Marine Science and Engineering Guangdong Laboratory (Zhuhai) [311020005]; Open Foundation of key laboratory of submarine geosciences, MNR China [KLSG1904]; [41976031]; [41976192]</t>
  </si>
  <si>
    <t>National Key Research and Development Program of China; Guangdong Basic and Applied Basic Research Foundation; Key Laboratory of Global Change and Marine-Atmospheric Chemistry, MNR; Innovation Group Project of Southern Marine Science and Engineering Guangdong Laboratory (Zhuhai); Open Foundation of key laboratory of submarine geosciences, MNR China; ;</t>
  </si>
  <si>
    <t>This research was supported by the National Key Research and Development Program of China (2019YFE0114800), the National (41976031, 41976192), the Guangdong Basic and Applied Basic Research Foundation (2021A1515011395), the Key Laboratory of Global Change and Marine-Atmospheric Chemistry, MNR (GCMAC1904), and the Innovation Group Project of Southern Marine Science and Engineering Guangdong Laboratory (Zhuhai) (No. 311020005). Y. Luo acknowledges grant from the Open Foundation of key laboratory of submarine geosciences, MNR China (KLSG1904).</t>
  </si>
  <si>
    <t>e2021GL095020</t>
  </si>
  <si>
    <t>10.1029/2021GL095020</t>
  </si>
  <si>
    <t>YT8ZL</t>
  </si>
  <si>
    <t>WOS:000751642800081</t>
  </si>
  <si>
    <t>Longman, J; Mills, BJW; Donnadieu, Y; Goddéris, Y</t>
  </si>
  <si>
    <t>Longman, Jack; Mills, Benjamin J. W.; Donnadieu, Yannick; Godderis, Yves</t>
  </si>
  <si>
    <t>Assessing Volcanic Controls on Miocene Climate Change</t>
  </si>
  <si>
    <t>Mid Miocene Climatic Optimum; biogeochemical modeling; SCION; volcanism; tectonic forcing; weathering feedbacks</t>
  </si>
  <si>
    <t>ORGANIC-CARBON PRESERVATION; BADENIAN SALINITY CRISIS; FLOOD-BASALT PROVINCE; ANTARCTIC ICE-SHEET; MONTEREY FORMATION; ATMOSPHERIC CO2; NAPLES-BEACH; IMPACT; CYCLE; OCEAN</t>
  </si>
  <si>
    <t>The Miocene period saw substantially warmer Earth surface temperatures than today, particularly during a period of global warming called the Mid Miocene Climatic Optimum (MMCO; similar to 17-15 Ma). However, the long-term drivers of Miocene climate remain poorly understood. By using a new continuous climate-biogeochemical model (SCION), we can investigate the interaction between volcanism, climate and biogeochemical cycles through the Miocene. We identify high tectonic CO2 degassing rates and further emissions associated with the emplacement of the Columbia River Basalt Group as the primary driver of the background warmth and the MMCO respectively. We also find that enhanced weathering of the basaltic terrane and input of explosive volcanic ash to the oceans are not sufficient to drive the immediate cooling following the MMCO and suggest that another mechanism, perhaps the change in ocean chemistry due to massive evaporite deposition, was responsible.</t>
  </si>
  <si>
    <t>[Longman, Jack] Carl von Ossietzky Univ Oldenburg, Inst Chem &amp; Biol Marine Environm ICBM, Marine Isotope Geochem, Oldenburg, Germany; [Mills, Benjamin J. W.] Univ Leeds, Sch Earth &amp; Environm, Leeds, W Yorkshire, England; [Donnadieu, Yannick] Aix Marseille Univ, Coll France, CEREGE, INRA,IRD,CNRS, Aix En Provence, France; [Godderis, Yves] Univ Toulouse III, Geosci Environm Toulouse, CNRS, Toulouse, France</t>
  </si>
  <si>
    <t>Carl von Ossietzky Universitat Oldenburg; University of Leeds; Universite PSL; College de France; Institut de Recherche pour le Developpement (IRD); Centre National de la Recherche Scientifique (CNRS); Aix-Marseille Universite; INRAE; Centre National de la Recherche Scientifique (CNRS); Universite de Toulouse; Universite Toulouse III - Paul Sabatier</t>
  </si>
  <si>
    <t>Longman, J (corresponding author), Carl von Ossietzky Univ Oldenburg, Inst Chem &amp; Biol Marine Environm ICBM, Marine Isotope Geochem, Oldenburg, Germany.;Mills, BJW (corresponding author), Univ Leeds, Sch Earth &amp; Environm, Leeds, W Yorkshire, England.</t>
  </si>
  <si>
    <t>jack.longman@uni-oldenburg.de; B.Mills@leeds.ac.uk</t>
  </si>
  <si>
    <t>Mills, Benjamin/0000-0002-9141-0931; Longman, Jack/0000-0002-2725-2617</t>
  </si>
  <si>
    <t>UK Natural Environment Research Council [NE/S009663/1]; French Research Agency (ANR) project AMOR [2016-CE31-020]; Projekt DEAL; NERC [NE/S009663/1] Funding Source: UKRI</t>
  </si>
  <si>
    <t>UK Natural Environment Research Council(UK Research &amp; Innovation (UKRI)Natural Environment Research Council (NERC)); French Research Agency (ANR) project AMOR(Agence Nationale de la Recherche (ANR)); Projekt DEAL; NERC(UK Research &amp; Innovation (UKRI)Natural Environment Research Council (NERC))</t>
  </si>
  <si>
    <t>The authors appreciate the comments and suggestions of two anonymous reviewers, who helped to improve the manuscript. Benjamin J. W. Mills was funded by the UK Natural Environment Research Council grant NE/S009663/1. Yannick Donnadieu acknowledges the support of the French Research Agency (ANR) project AMOR (2016-CE31-020). Open access funding enabled and organized by Projekt DEAL.</t>
  </si>
  <si>
    <t>e2021GL096519</t>
  </si>
  <si>
    <t>10.1029/2021GL096519</t>
  </si>
  <si>
    <t>WOS:000751642800017</t>
  </si>
  <si>
    <t>Zhou, L; Heuzé, C; Mohrmann, M</t>
  </si>
  <si>
    <t>Zhou, Lu; Heuze, Celine; Mohrmann, Martin</t>
  </si>
  <si>
    <t>Early Winter Triggering of the Maud Rise Polynya</t>
  </si>
  <si>
    <t>Maud Rise polynya; observational preconditioning; dynamic and thermodynamic</t>
  </si>
  <si>
    <t>ANTARCTIC SEA-ICE; OCEAN DEEP CONVECTION; WEDDELL POLYNYA; FREEBOARD RETRIEVAL; DRAG COEFFICIENT; SURFACE STRESS; MIXED-LAYER; LONG-TERM; BASE-LINE; CLIMATE</t>
  </si>
  <si>
    <t>What triggers Maud Rise polynya, a large opening in the winter Antarctic sea ice, is still debated. We show that the upcoming opening of all Maud Rise polynyas can be detected in early winter up to four months ahead, especially since the 2002 expansion in satellite observations. In all polynya years, continuous anomalous sea ice thinning begins in May, caused by atmospheric and oceanic forcings. Dynamically, an anomalous cyclonic circulation in the atmosphere and the ocean strengthens the Weddell Gyre and exerts anomalously intense stresses on the ice. Thermodynamically, the warm water advected by the intensified circulation, and most importantly entrained into the mixed layer, thins the ice from below at the beginning of the freezing season, preconditioning the region for a polynya event months later. This four-month-ahead pattern enables early predictions of the polynya, and improved expedition planning and sensor deployment.</t>
  </si>
  <si>
    <t>[Zhou, Lu; Heuze, Celine] Univ Gothenburg, Dept Earth Sci, Gothenburg, Sweden; [Mohrmann, Martin] Univ Gothenburg, Dept Marine Sci, Gothenburg, Sweden</t>
  </si>
  <si>
    <t>University of Gothenburg; University of Gothenburg</t>
  </si>
  <si>
    <t>Zhou, L (corresponding author), Univ Gothenburg, Dept Earth Sci, Gothenburg, Sweden.</t>
  </si>
  <si>
    <t>lu.zhou@gu.se</t>
  </si>
  <si>
    <t>Zhou, Lu/KAM-1449-2024; yang, liu/JXX-5043-2024; Heuzé, Céline/U-5058-2017</t>
  </si>
  <si>
    <t>Heuzé, Céline/0000-0002-8850-5868; Zhou, Lu/0000-0001-8520-937X; Mohrmann, Martin/0000-0001-8056-4866</t>
  </si>
  <si>
    <t>Swedish National Space Agency [164/18]</t>
  </si>
  <si>
    <t>Swedish National Space Agency(Swedish National Space Agency (SNSA))</t>
  </si>
  <si>
    <t>Funding for this work was provided by the Swedish National Space Agency, Grant No. 164/18 awarded to Celine Heuze. The authors would like to thank the four anonymous reviewers and the editor for their kind, useful and constructive suggestions.</t>
  </si>
  <si>
    <t>e2021GL096246</t>
  </si>
  <si>
    <t>10.1029/2021GL096246</t>
  </si>
  <si>
    <t>WOS:000751642800020</t>
  </si>
  <si>
    <t>Duan, M; Zhang, C; Liu, Y; Ye, ZJ; Yang, JL; Liu, CL; Tian, YJ</t>
  </si>
  <si>
    <t>Duan, Mi; Zhang, Chi; Liu, Yang; Ye, Zhenjiang; Yang, Jialiang; Liu, Chunlin; Tian, Yongjun</t>
  </si>
  <si>
    <t>Growth and early life stage of Antarctic silverfish (Pleuragramma antarctica) in the Amundsen Sea of the Southern Ocean: evidence for a potential new spawning/nursery ground</t>
  </si>
  <si>
    <t>Antarctic silverfish; Otolith; Age; Growth; Hatching dates; Spawning ground</t>
  </si>
  <si>
    <t>HISTORY CONNECTIVITY; SPATIAL-DISTRIBUTION; COMMUNITY STRUCTURE; LARVAL DISPERSAL; AGE; FISH; ICE; NOTOTHENIIDAE; PRECISION; ABUNDANCE</t>
  </si>
  <si>
    <t>Antarctic silverfish (Pleuragramma antarctica) is the dominant mesopelagic fish species in the high-Antarctic zone and plays a vital role in the food web of Antarctic marine ecosystems. Despite its ecological importance, no studies have been conducted on its age and growth or early life history in the Amundsen Sea thus far. In this study, based on 266 individuals of Antarctic silverfish collected in the Amundsen Sea polynya during January 2020, growth parameters were estimated for larvae and older individuals based on the age information from otoliths. For large individuals, age classes ranged from 1 to 11 years (standard length, SL, 32-167 mm), and the von Bertalanffy growth function (VBGF) was estimated as L-t = 203.97(1 - e(-0.135 (t+0.66))). The growth performance index (P) was estimated to be 1.75 and was at the lower limit of values observed in notothenioid fishes. For larval specimens, SL ranged from 13.8 mm to 20 mm, with a daily age of 25 to 54 days. The exponential growth model indicated that the growth rate at the mean size of 17.0 mm was 0.19 mm day(-1), corresponding to a daily percentage change in size of approximately 1.14% SL. The back-calculated hatching dates showed that the hatching season lasted from December to early January. The results suggested a potential new spawning/nursery ground for Antarctic silverfish in the Amundsen Sea. In comparison with age and growth data available in the literature for Antarctic silverfish, our results from the Amundsen Sea provided more insights into the early life history characteristics of this species across the Antarctic continental shelf.</t>
  </si>
  <si>
    <t>[Duan, Mi; Zhang, Chi; Liu, Yang; Ye, Zhenjiang; Liu, Chunlin; Tian, Yongjun] Ocean Univ China, Key Lab Mariculture, Minist Educ, Qingdao 266003, Peoples R China; [Liu, Yang; Tian, Yongjun] Ocean Univ China, Frontiers Sci Ctr Deep Ocean Multispheres &amp; Earth, Qingdao 266100, Peoples R China; [Liu, Yang; Tian, Yongjun] Qingdao Natl Lab Marine Sci &amp; Technol, Lab Marine Fisheries Sci &amp; Food Prod Proc, Qingdao 266071, Peoples R China; [Yang, Jialiang] East Sea Fisheries Res Inst, Shanghai 200090, Peoples R China</t>
  </si>
  <si>
    <t>Ocean University of China; Ocean University of China; Laoshan Laboratory</t>
  </si>
  <si>
    <t>Tian, YJ (corresponding author), Ocean Univ China, Key Lab Mariculture, Minist Educ, Qingdao 266003, Peoples R China.;Tian, YJ (corresponding author), Ocean Univ China, Frontiers Sci Ctr Deep Ocean Multispheres &amp; Earth, Qingdao 266100, Peoples R China.;Tian, YJ (corresponding author), Qingdao Natl Lab Marine Sci &amp; Technol, Lab Marine Fisheries Sci &amp; Food Prod Proc, Qingdao 266071, Peoples R China.</t>
  </si>
  <si>
    <t>yjtian@ouc.edu.cn</t>
  </si>
  <si>
    <t>Han, Yang/JVN-5921-2024; Liu, Yang/AAK-3617-2020</t>
  </si>
  <si>
    <t>Liu, Yang/0000-0001-8548-0223; Yang, Jialiang/0000-0002-2589-566X</t>
  </si>
  <si>
    <t>Ministry of Natural Resources of China [IRASCC2020-2022-No.01-02-05C]</t>
  </si>
  <si>
    <t>Ministry of Natural Resources of China</t>
  </si>
  <si>
    <t>We would like to thank all the scientific staff and crew members aboard of the 36th Chinese National Antarctic Research Expedition, for their valuable support during field sampling activities. We also thank Dr. Shijie Zhou of CSIRO Australia for revising and polishing the language of the manuscript. Great thanks to editor Dieter Piepenburg and three anonymous reviewers whose comments greatly improved the manuscript. Finally, we thank the professional editing service of American Journal Experts. This work was financially supported by the research project Impact and Response of Antarctic Seas to Climate Change, IRASCC2020-2022-No.01-02-05C) from Ministry of Natural Resources of China.</t>
  </si>
  <si>
    <t>10.1007/s00300-021-02994-2</t>
  </si>
  <si>
    <t>YT8TM</t>
  </si>
  <si>
    <t>WOS:000750375000004</t>
  </si>
  <si>
    <t>Fernandez, GC; Lecomte, K; Vignoni, P; Rueda, ES; Coria, SH; Lirio, JM; Mlewski, EC</t>
  </si>
  <si>
    <t>Cesar Fernandez, Guillermo; Lecomte, Karina; Vignoni, Paula; Soto Rueda, Eliana; Coria, Silvia H.; Lirio, Juan M.; Cecilia Mlewski, Estela</t>
  </si>
  <si>
    <t>Prokaryotic diversity and biogeochemical characteristics of benthic microbial ecosystems from James Ross Archipelago (West Antarctica)</t>
  </si>
  <si>
    <t>Antarctica; Microbial mats; Microbial diversity; 16S rRNA genes; James Ross Archipelago</t>
  </si>
  <si>
    <t>MCMURDO DRY VALLEYS; ARCHAEAL DIVERSITY; MAT COMMUNITIES; SP NOV.; LIVINGSTON ISLAND; MELTWATER PONDS; BYERS PENINSULA; SEDIMENTS; TEMPERATURE; BACTERIAL</t>
  </si>
  <si>
    <t>The James Ross archipelago houses numerous lakes and ponds. In this region, a vast diatom and cyanobacterial variety has been reported; however, the prokaryotic diversity in microbial mats from these lakes remains poorly explored. Here, a high-throughput sequencing of 16S rRNA gene in microbial mats from Lake Bart-Roja in James Ross Island and lakes Pan Negro and North Pan Negro located in Vega Island was performed. Combined with mineralogical and environmental characteristics, we analyzed the diversity and structure of the microbial communities. Sequences assigned to Archaea were extremely low, while Bacteria domain prevailed with the abundance of Proteobacteria (mostly Betaproteobacteriales) followed by Bacteroidetes, Verrucomicrobia, Firmicutes, and Cyanobacteria. Local environmental conditions, such as conductivity and Eh, provided differential microbial assemblages that might have implications in the oligotrophic status of the lakes. Consequently, a clear segregation at the family level was observed. In this sense, the assigned diversity was related to taxa recognized as denitrifiers and sulfur oxidizers. Particularly, in Lake Pan Negro sulfur-reducing and methanogenic representatives were also found and positively correlate with alkalinity and water depth. Moreover, Deinococcus-Thermus was observed in Lake Bart-Roja, while Melainabacteria (Cyanobacteria)-poorly reported in Antarctic mats-was detected in Lake Pan Negro. Epsilonbacteraeota was exclusively found in this lake, suggesting new potential phylotypes. This study contributes to the understanding of the diversity, composition, and structure of Antarctic benthic microbial ecosystems and provides highly valuable information, which can be used as a proxy to evaluate environmental changes affecting Antarctic microbiota.</t>
  </si>
  <si>
    <t>[Cesar Fernandez, Guillermo; Lecomte, Karina; Soto Rueda, Eliana] CONICET Univ Nacl Cordoba, Ctr Invest Ciencias Tierra, CICTERRA, Cordoba, Argentina; [Cecilia Mlewski, Estela] CONICET Univ Nacl Cordoba, Inst Multidisciplinario Biol Vegetal, IMBIV, Cordoba, Argentina; [Vignoni, Paula] Univ Potsdam, Inst Geosci, Potsdam, Germany; [Vignoni, Paula] German Res Ctr Geosci GFZ, Sect Climate Dynam &amp; Landscape Evolut 4 3, Potsdam, Germany; [Coria, Silvia H.; Lirio, Juan M.] Inst Antartico Argentino, Buenos Aires, DF, Argentina</t>
  </si>
  <si>
    <t>Consejo Nacional de Investigaciones Cientificas y Tecnicas (CONICET); National University of Cordoba; Consejo Nacional de Investigaciones Cientificas y Tecnicas (CONICET); National University of Cordoba; University of Potsdam; Helmholtz Association; Helmholtz-Center Potsdam GFZ German Research Center for Geosciences; Instituto Antartico Argentino</t>
  </si>
  <si>
    <t>Mlewski, EC (corresponding author), CONICET Univ Nacl Cordoba, Inst Multidisciplinario Biol Vegetal, IMBIV, Cordoba, Argentina.</t>
  </si>
  <si>
    <t>ecmlewski@imbiv.unc.edu.ar</t>
  </si>
  <si>
    <t>Lecomte, Karina/KHD-3796-2024</t>
  </si>
  <si>
    <t>SOTO-RUEDA, ELIANA MARCELA/0000-0001-7411-5191; Mlewski, estela cecilia/0000-0003-2630-518X; Fernandez, Guillermo/0000-0002-3582-9877; Vignoni, Paula/0000-0002-9681-4986</t>
  </si>
  <si>
    <t>Antarctic Science Ltd; Agencia Nacional de Promocion Cientifica y Tecnologica (ANPCYT) [PICT 2017-2026]; Consejo Nacional de Investigaciones Cientificas y Tecnicas (CONICET, Argentina) [PIP 11220170100088CO]; Universidad Nacional de Cordoba (SeCyT, UNC) [336-20180100385-CB]; Consejo Nacional de Investigaciones Cientificas y Tecnicas (CONICET, Argentina, PUE-CICTERRA 2016)</t>
  </si>
  <si>
    <t>Antarctic Science Ltd; Agencia Nacional de Promocion Cientifica y Tecnologica (ANPCYT)(ANPCyTSpanish Government); Consejo Nacional de Investigaciones Cientificas y Tecnicas (CONICET, Argentina)(Consejo Nacional de Investigaciones Cientificas y Tecnicas (CONICET)); Universidad Nacional de Cordoba (SeCyT, UNC)(Secretaria de Ciencia y Tecnologia (SECYT)); Consejo Nacional de Investigaciones Cientificas y Tecnicas (CONICET, Argentina, PUE-CICTERRA 2016)</t>
  </si>
  <si>
    <t>This work was supported by a bursary from Antarctic Science Ltd; by Agencia Nacional de Promocion Cientifica y Tecnologica (ANPCYT project PICT 2017-2026); by the Consejo Nacional de Investigaciones Cientificas y Tecnicas (CONICET, Argentina, projects PIP 11220170100088CO and PUE-CICTERRA 2016); and by the Universidad Nacional de Cordoba (SeCyT, UNC project 336-20180100385-CB).</t>
  </si>
  <si>
    <t>10.1007/s00300-021-02997-z</t>
  </si>
  <si>
    <t>WOS:000750375000001</t>
  </si>
  <si>
    <t>Shaughnessy, PD</t>
  </si>
  <si>
    <t>Shaughnessy, Peter D.</t>
  </si>
  <si>
    <t>Weights of some organs of crabeater seals, Lobodon carcinophaga</t>
  </si>
  <si>
    <t>East Antarctica; Internal organs; Sculp weight</t>
  </si>
  <si>
    <t>BODY CONDITION; SIZE</t>
  </si>
  <si>
    <t>Crabeater seals Lobodon carcinophaga breed on the Antarctic pack ice. The body composition of seven crabeater seals of various age classes was reported by Bryden and Erickson (J Zool 179:235-247, 1976); weights of internal organs and sculps (skin with blubber attached) are reported here for four animals from East Antarctica. They died under sedation, two in late April 1993 and one each in late September and early October of 1995. Sculp weights in this study averaged 32% of total body weight, 11.8% higher than the average from the previous study. The difference most likely results from the condition of seals. Those in the previous study were likely to have been in poor condition (moulting or recently moulted). In this study, the animals were likely to have been in good condition (pre-moult or post-moult). Weights of five internal organs are reported; stomach and kidneys expressed as a percentage of total body weight were about 20% lighter in the current study and data for the intestines and liver were about 20% heavier, with little difference for heart weight. This study provides estimates of sculp weight of four crabeater seals and extends the knowledge of weights of five of their visceral organs (stomach, intestines, liver, kidney and heart).</t>
  </si>
  <si>
    <t>[Shaughnessy, Peter D.] South Australian Museum, North Terrace, Adelaide, SA 5000, Australia; [Shaughnessy, Peter D.] CSIRO Sustainable Ecosyst, Canberra, ACT, Australia</t>
  </si>
  <si>
    <t>South Australian Museum; Commonwealth Scientific &amp; Industrial Research Organisation (CSIRO)</t>
  </si>
  <si>
    <t>Shaughnessy, PD (corresponding author), South Australian Museum, North Terrace, Adelaide, SA 5000, Australia.</t>
  </si>
  <si>
    <t>peter.shaughnessy@samuseum.sa.gov.au</t>
  </si>
  <si>
    <t>Antarctic Science Advisory Committee through the Australian Antarctic Division</t>
  </si>
  <si>
    <t>Funding for part of the project was provided by the Antarctic Science Advisory Committee through the Australian Antarctic Division.</t>
  </si>
  <si>
    <t>10.1007/s00300-021-03000-5</t>
  </si>
  <si>
    <t>WOS:000750375000003</t>
  </si>
  <si>
    <t>Bilgic, A</t>
  </si>
  <si>
    <t>Bilgic, Ali</t>
  </si>
  <si>
    <t>Turkey's Antarctic Quest Historical Legacies, Geopolitical Ambitions</t>
  </si>
  <si>
    <t>RUSI JOURNAL</t>
  </si>
  <si>
    <t>In the past five years, Turkey has become active in Antarctica, although these efforts have been overlooked in political and academic debates on Turkish foreign policy. In this article, Ali Bilgic explains the underlying reasons for Turkey's accelerated efforts in Antarctica as part of its status-seeking foreign policy with a global geopolitical scope. He argues that, while Ankara clearly wants to build influence around the world, including Antarctica, it is unlikely that Turkey is seeking significant changes in the Antarctic geopolitical balance. Nevertheless, the patterns in Ankara's behaviour suggest if the Antarctic Treaty System parties ignore or reject Turkey's status-seeking in the region, then there might be a change in Turkish strategy.</t>
  </si>
  <si>
    <t>[Bilgic, Ali] Loughborough Univ, Int Relat &amp; Secur, Loughborough, Leics, England; [Bilgic, Ali] Erasmus Univ, Int Inst Social Studies, Dev &amp; Equ, Rotterdam, Netherlands</t>
  </si>
  <si>
    <t>Loughborough University; Erasmus University Rotterdam - Excl Erasmus MC; Erasmus University Rotterdam</t>
  </si>
  <si>
    <t>Bilgic, A (corresponding author), Loughborough Univ, Int Relat &amp; Secur, Loughborough, Leics, England.</t>
  </si>
  <si>
    <t>Bilgic, Ali/G-9941-2011</t>
  </si>
  <si>
    <t>ROUTLEDGE JOURNALS, TAYLOR &amp; FRANCIS LTD</t>
  </si>
  <si>
    <t>2-4 PARK SQUARE, MILTON PARK, ABINGDON OX14 4RN, OXON, ENGLAND</t>
  </si>
  <si>
    <t>0307-1847</t>
  </si>
  <si>
    <t>1744-0378</t>
  </si>
  <si>
    <t>RUSI J</t>
  </si>
  <si>
    <t>RUSI J.</t>
  </si>
  <si>
    <t>MAY 26</t>
  </si>
  <si>
    <t>6-7</t>
  </si>
  <si>
    <t>10.1080/03071847.2022.2028576</t>
  </si>
  <si>
    <t>Political Science</t>
  </si>
  <si>
    <t>Government &amp; Law</t>
  </si>
  <si>
    <t>1T0PA</t>
  </si>
  <si>
    <t>WOS:000750149100001</t>
  </si>
  <si>
    <t>Wang, Y; Wang, P; Cao, HY; Ding, HT; Su, HN; Liu, SC; Liu, GF; Zhang, X; Li, CY; Peng, M; Li, FC; Li, SY; Chen, Y; Chen, XL; Zhang, YZ</t>
  </si>
  <si>
    <t>Wang, Yan; Wang, Peng; Cao, Hai-Yan; Ding, Hai-Tao; Su, Hai-Nan; Liu, Shi-Cheng; Liu, Guangfeng; Zhang, Xia; Li, Chun-Yang; Peng, Ming; Li, Fuchuan; Li, Shengying; Chen, Yin; Chen, Xiu-Lan; Zhang, Yu-Zhong</t>
  </si>
  <si>
    <t>Structure of Vibrio collagenase VhaC provides insight into the mechanism of bacterial collagenolysis</t>
  </si>
  <si>
    <t>MATRIX METALLOPROTEINASE-1; BINDING DOMAIN; I COLLAGEN; BIOLOGICAL MACROMOLECULES; CLOSTRIDIAL COLLAGENASE; SOLUTION SCATTERING; DESEASIN MCP-01; DATA REDUCTION; EXPRESSION; GENE</t>
  </si>
  <si>
    <t>The collagenolytic mechanism of Vibrio collagenase, a virulence factor, remains unclear. Here, the authors report the structure of Vibrio collagenase VhaC and propose the mechanism for collagen recognition and degradation, providing new insight into bacterial collagenolysis. The collagenases of Vibrio species, many of which are pathogens, have been regarded as an important virulence factor. However, there is little information on the structure and collagenolytic mechanism of Vibrio collagenase. Here, we report the crystal structure of the collagenase module (CM) of Vibrio collagenase VhaC and the conformation of VhaC in solution. Structural and biochemical analyses and molecular dynamics studies reveal that triple-helical collagen is initially recognized by the activator domain, followed by subsequent cleavage by the peptidase domain along with the closing movement of CM. This is different from the peptidolytic mode or the proposed collagenolysis of Clostridium collagenase. We propose a model for the integrated collagenolytic mechanism of VhaC, integrating the functions of VhaC accessory domains and its collagen degradation pattern. This study provides insight into the mechanism of bacterial collagenolysis and helps in structure-based drug design targeting of the Vibrio collagenase.</t>
  </si>
  <si>
    <t>[Wang, Yan; Cao, Hai-Yan; Su, Hai-Nan; Peng, Ming; Li, Shengying; Chen, Xiu-Lan] Shandong Univ, State Key Lab Microbial Technol, Qingdao 266237, Peoples R China; [Wang, Yan; Wang, Peng; Li, Chun-Yang; Chen, Yin; Zhang, Yu-Zhong] Ocean Univ China, Coll Marine Life Sci, Qingdao 266003, Peoples R China; [Wang, Yan; Wang, Peng; Li, Chun-Yang; Chen, Yin; Zhang, Yu-Zhong] Ocean Univ China, Frontiers Sci Ctr Deep Ocean Multispheres &amp; Earth, Qingdao 266003, Peoples R China; [Wang, Yan; Wang, Peng; Cao, Hai-Yan; Su, Hai-Nan; Li, Chun-Yang; Peng, Ming; Li, Shengying; Chen, Xiu-Lan; Zhang, Yu-Zhong] Pilot Natl Lab Marine Sci &amp; Technol, Lab Marine Biol &amp; Biotechnol, Qingdao 266237, Peoples R China; [Ding, Hai-Tao] Polar Res Inst China, Antarctic Great Wall Ecol Natl Observat &amp; Res Stn, Shanghai 200136, Peoples R China; [Liu, Shi-Cheng; Zhang, Xia] Qingdao Vland Biotech Inc, Dept Mol Biol, Qingdao, Peoples R China; [Liu, Guangfeng] Chinese Acad Sci, Natl Ctr Prot Sci Shanghai, Shanghai Adv Res Inst, Shanghai 201210, Peoples R China; [Li, Fuchuan] Shandong Univ, Natl Glycoengn Res Ctr, Qingdao, Peoples R China; [Li, Fuchuan] Shandong Univ, Shandong Key Lab Carbohydrate Chem &amp; Glycobiol, Qingdao, Peoples R China; [Chen, Yin] Univ Warwick, Sch Life Sci, Coventry, W Midlands, England; [Zhang, Yu-Zhong] Shandong Univ, Marine Biotechnol Res Ctr, State Key Lab Microbial Technol, Qingdao 266237, Peoples R China</t>
  </si>
  <si>
    <t>Shandong University; Ocean University of China; Ocean University of China; Laoshan Laboratory; Polar Research Institute of China; Chinese Academy of Sciences; Shanghai Advanced Research Institute, CAS; Shandong University; Shandong University; University of Warwick; Shandong University</t>
  </si>
  <si>
    <t>Chen, XL (corresponding author), Shandong Univ, State Key Lab Microbial Technol, Qingdao 266237, Peoples R China.;Zhang, YZ (corresponding author), Ocean Univ China, Coll Marine Life Sci, Qingdao 266003, Peoples R China.;Zhang, YZ (corresponding author), Ocean Univ China, Frontiers Sci Ctr Deep Ocean Multispheres &amp; Earth, Qingdao 266003, Peoples R China.;Chen, XL; Zhang, YZ (corresponding author), Pilot Natl Lab Marine Sci &amp; Technol, Lab Marine Biol &amp; Biotechnol, Qingdao 266237, Peoples R China.;Zhang, YZ (corresponding author), Shandong Univ, Marine Biotechnol Res Ctr, State Key Lab Microbial Technol, Qingdao 266237, Peoples R China.</t>
  </si>
  <si>
    <t>cxl0423@sdu.edu.cn; zhangyz@sdu.edu.cn</t>
  </si>
  <si>
    <t>Li, Chun-Yang/JBS-2194-2023</t>
  </si>
  <si>
    <t>Li, Chun-Yang/0000-0002-1151-4897; Wang, Peng/0000-0002-4983-9953; Chen, Yin/0000-0002-0367-4276</t>
  </si>
  <si>
    <t>National Key R&amp;D Program of China [2018YFC0310704, 2018YFC1406700]; National Science Foundation of China [U2006205, U1706207, 31670038, 32170127]; Major Scientific and Technological Innovation Project (MSTIP) of Shandong Province [2019JZZY010817]; Taishan Scholars Program of Shandong Province [tspd20181203]; Scientific Research Think Tank of Biological Manufacturing Industry in Qingdao [QDSWZK202002]</t>
  </si>
  <si>
    <t>National Key R&amp;D Program of China; National Science Foundation of China(National Natural Science Foundation of China (NSFC)); Major Scientific and Technological Innovation Project (MSTIP) of Shandong Province; Taishan Scholars Program of Shandong Province; Scientific Research Think Tank of Biological Manufacturing Industry in Qingdao</t>
  </si>
  <si>
    <t>We would like to thank Jingyao Qu, Jing Zhu, and Zhifeng Li from the State Key Laboratory of Microbial Technology of Shandong University for their help and guidance in LC-MS. We thank the staffs from BL18U1&amp;BL19U2 beamlines of National Facility for Protein Sciences Shanghai (NFPS) and Shanghai Synchrotron Radiation Facility, for assistance during data collection. We thank prof. Andrew McMinn from University of Tasmania, Australia for editing the article. This work was supported by the National Key R&amp;D Program of China (2018YFC0310704 and 2018YFC1406700 awarded to X.-L.C. and Y.-Z.Z., respectively), the National Science Foundation of China (grants U2006205, U1706207, 31670038 and 32170127, awarded to X.-L.C., Y.-Z.Z., X.-L.C., and P.W., respectively), the Major Scientific and Technological Innovation Project (MSTIP) of Shandong Province (2019JZZY010817 awarded to Y.-Z.Z.), Taishan Scholars Program of Shandong Province (tspd20181203, awarded to Y.-Z.Z.), and Scientific Research Think Tank of Biological Manufacturing Industry in Qingdao (QDSWZK202002, awarded to Y.-Z.Z.).</t>
  </si>
  <si>
    <t>10.1038/s41467-022-28264-1</t>
  </si>
  <si>
    <t>YQ4YA</t>
  </si>
  <si>
    <t>WOS:000749314100001</t>
  </si>
  <si>
    <t>Brenneis, G</t>
  </si>
  <si>
    <t>Brenneis, Georg</t>
  </si>
  <si>
    <t>The visual pathway in sea spiders (Pycnogonida) displays a simple serial layout with similarities to the median eye pathway in horseshoe crabs</t>
  </si>
  <si>
    <t>BMC BIOLOGY</t>
  </si>
  <si>
    <t>Evolution; Neuroanatomy; Nervous system; Visual system; Arcuate body; Micro-computed X-ray tomography; Histamine; Tyrosine hydroxylase; Orcokinin; Serotonin</t>
  </si>
  <si>
    <t>SEROTONIN-IMMUNOREACTIVE NEURONS; VENTRAL NERVE CORD; GENE-EXPRESSION; OPTIC NEUROPILS; ONE BRAIN; SYSTEM; CHELICERATA; LIMULUS; MORPHOLOGY; CRUSTACEAN</t>
  </si>
  <si>
    <t>Background Phylogenomic studies over the past two decades have consolidated the major branches of the arthropod tree of life. However, especially within the Chelicerata (spiders, scorpions, and kin), interrelationships of the constituent taxa remain controversial. While sea spiders (Pycnogonida) are firmly established as sister group of all other extant representatives (Euchelicerata), euchelicerate phylogeny itself is still contested. One key issue concerns the marine horseshoe crabs (Xiphosura), which recent studies recover either as sister group of terrestrial Arachnida or nested within the latter, with significant impact on postulated terrestrialization scenarios and long-standing paradigms of ancestral chelicerate traits. In potential support of a nested placement, previous neuroanatomical studies highlighted similarities in the visual pathway of xiphosurans and some arachnopulmonates (scorpions, whip scorpions, whip spiders). However, contradictory descriptions of the pycnogonid visual system hamper outgroup comparison and thus character polarization. Results To advance the understanding of the pycnogonid brain and its sense organs with the aim of elucidating chelicerate visual system evolution, a wide range of families were studied using a combination of micro-computed X-ray tomography, histology, dye tracing, and immunolabeling of tubulin, the neuropil marker synapsin, and several neuroactive substances (including histamine, serotonin, tyrosine hydroxylase, and orcokinin). Contrary to previous descriptions, the visual system displays a serial layout with only one first-order visual neuropil connected to a bilayered arcuate body by catecholaminergic interneurons. Fluorescent dye tracing reveals a previously reported second visual neuropil as the target of axons from the lateral sense organ instead of the eyes. Conclusions Ground pattern reconstruction reveals remarkable neuroanatomical stasis in the pycnogonid visual system since the Ordovician or even earlier. Its conserved layout exhibits similarities to the median eye pathway in euchelicerates, especially in xiphosurans, with which pycnogonids share two median eye pairs that differentiate consecutively during development and target one visual neuropil upstream of the arcuate body. Given multiple losses of median and/or lateral eyes in chelicerates, and the tightly linked reduction of visual processing centers, interconnections between median and lateral visual neuropils in xiphosurans and arachnopulmonates are critically discussed, representing a plausible ancestral condition of taxa that have retained both eye types.</t>
  </si>
  <si>
    <t>[Brenneis, Georg] Univ Greifswald, Zool Inst &amp; Museum, AG Cytol &amp; Evolutionsbiol, Soldmannstr 23, D-17489 Greifswald, Germany</t>
  </si>
  <si>
    <t>Universitat Greifswald</t>
  </si>
  <si>
    <t>Brenneis, G (corresponding author), Univ Greifswald, Zool Inst &amp; Museum, AG Cytol &amp; Evolutionsbiol, Soldmannstr 23, D-17489 Greifswald, Germany.</t>
  </si>
  <si>
    <t>georg.brenneis@posteo.de</t>
  </si>
  <si>
    <t>Brenneis, Georg/0000-0003-1202-1899</t>
  </si>
  <si>
    <t>Deutsche Forschungsgemeinschaft (DFG) [BR5039/3-1]; European Union [730984]; Alfred-Wegener-Institut Helmholtz-Zentrum fur Polar-und Meeresforschung [AWI_PS124_05, AWI_PS124_11]; Projekt DEAL</t>
  </si>
  <si>
    <t>Deutsche Forschungsgemeinschaft (DFG)(German Research Foundation (DFG)); European Union(European Union (EU)); Alfred-Wegener-Institut Helmholtz-Zentrum fur Polar-und Meeresforschung; Projekt DEAL</t>
  </si>
  <si>
    <t>The project was funded by the Deutsche Forschungsgemeinschaft (DFG; grant-no. BR5039/3-1). Animal collection at Station Biologique de Roscoff (Sorbonne Universite) and Rothera Research Station (British Antarctic Survey) was funded by Assemble Plus grants to GB as part of the European Union's Horizon 2020 research and innovation program under grant agreement no. 730984. GB's participation at the Antarctic RV Polarstern cruise PS124 was funded by the Alfred-Wegener-Institut Helmholtz-Zentrum fur Polar-und Meeresforschung (grant nos. AWI_PS124_05 and AWI_PS124_11). Open Access funding enabled and organized by Projekt DEAL.</t>
  </si>
  <si>
    <t>BMC</t>
  </si>
  <si>
    <t>CAMPUS, 4 CRINAN ST, LONDON N1 9XW, ENGLAND</t>
  </si>
  <si>
    <t>1741-7007</t>
  </si>
  <si>
    <t>BMC BIOL</t>
  </si>
  <si>
    <t>BMC Biol.</t>
  </si>
  <si>
    <t>10.1186/s12915-021-01212-z</t>
  </si>
  <si>
    <t>YQ3YT</t>
  </si>
  <si>
    <t>WOS:000749248300002</t>
  </si>
  <si>
    <t>Ade, PAR; Ahmed, Z; Amiri, M; Barkats, D; Thakur, RB; Bischoff, CA; Beck, D; Bock, JJ; Boenish, H; Bullock, E; Buza, V; Cheshire, JR; Connors, J; Cornelison, J; Crumrine, M; Cukierman, A; Denison, EV; Dierickx, M; Duband, L; Eiben, M; Fatigoni, S; Filippini, JP; Fliescher, S; Goeckner-Wald, N; Goldfinger, DC; Grayson, J; Grimes, P; Hall, G; Halal, G; Halpern, M; Hand, E; Harrison, S; Henderson, S; Hildebrandt, SR; Hilton, GC; Hubmayr, J; Hui, H; Irwin, KD; Kang, J; Karkare, KS; Karpel, E; Kefeli, S; Kernasovskiy, SA; Kovac, JM; Kuo, CL; Lau, K; Leitch, EM; Lennox, A; Megerian, KG; Minutolo, L; Moncelsi, L; Nakato, Y; Namikawa, T; Nguyen, HT; O'Brient, R; Ogburn, RW; Palladino, S; Prouve, T; Pryke, C; Racine, B; Reintsema, CD; Richter, S; Schillaci, A; Schwarz, R; Schmitt, BL; Sheehy, CD; Soliman, A; St Germaine, T; Steinbach, B; Sudiwala, RV; Teply, GP; Thompson, KL; Tolan, JE; Tucker, C; Turner, AD; Umiltà, C; Vergès, C; Vieregg, AG; Wandui, A; Weber, AC; Wiebe, DV; Willmert, J; Wong, CL; Wu, WLK; Yang, H; Yoon, KW; Young, E; Yu, C; Zeng, L; Zhang, C; Zhang, S</t>
  </si>
  <si>
    <t>Ade, P. A. R.; Ahmed, Z.; Amiri, M.; Barkats, D.; Thakur, R. Basu; Bischoff, C. A.; Beck, D.; Bock, J. J.; Boenish, H.; Bullock, E.; Buza, V; Cheshire, J. R.; Connors, J.; Cornelison, J.; Crumrine, M.; Cukierman, A.; Denison, E., V; Dierickx, M.; Duband, L.; Eiben, M.; Fatigoni, S.; Filippini, J. P.; Fliescher, S.; Goeckner-Wald, N.; Goldfinger, D. C.; Grayson, J.; Grimes, P.; Hall, G.; Halal, G.; Halpern, M.; Hand, E.; Harrison, S.; Henderson, S.; Hildebrandt, S. R.; Hilton, G. C.; Hubmayr, J.; Hui, H.; Irwin, K. D.; Kang, J.; Karkare, K. S.; Karpel, E.; Kefeli, S.; Kernasovskiy, S. A.; Kovac, J. M.; Kuo, C. L.; Lau, K.; Leitch, E. M.; Lennox, A.; Megerian, K. G.; Minutolo, L.; Moncelsi, L.; Nakato, Y.; Namikawa, T.; Nguyen, H. T.; O'Brient, R.; Ogburn, R. W.; Palladino, S.; Prouve, T.; Pryke, C.; Racine, B.; Reintsema, C. D.; Richter, S.; Schillaci, A.; Schwarz, R.; Schmitt, B. L.; Sheehy, C. D.; Soliman, A.; St Germaine, T.; Steinbach, B.; Sudiwala, R., V; Teply, G. P.; Thompson, K. L.; Tolan, J. E.; Tucker, C.; Turner, A. D.; Umilta, C.; Verges, C.; Vieregg, A. G.; Wandui, A.; Weber, A. C.; Wiebe, D., V; Willmert, J.; Wong, C. L.; Wu, W. L. K.; Yang, H.; Yoon, K. W.; Young, E.; Yu, C.; Zeng, L.; Zhang, C.; Zhang, S.</t>
  </si>
  <si>
    <t>BICEP/Keck XIV: Improved constraints on axionlike polarization oscillations in the cosmic microwave background</t>
  </si>
  <si>
    <t>CP CONSERVATION; GRAVITY-WAVES</t>
  </si>
  <si>
    <t>We present an improved search for axionlike polarization oscillations in the cosmic microwave background (CMB) with observations from the Keck Array. An all-sky, temporally sinusoidal rotation of CMB polarization, equivalent to a time-variable cosmic birefringence, is an observable manifestation of a local axion field and potentially allows a CMB polarimeter to detect axionlike dark matter directly. We describe improvements to the method presented in previous work, and we demonstrate the updated method with an expanded dataset consisting of the 2012-2015 observing seasons. We set limits on the axion-photon coupling constant for mass m in the range 10(-23)-10(-18) eV, which corresponds to oscillation periods on the order of hours to years. Our results are consistent with the background model. For periods between 1 and 30 d (1.6 x 10(-21) &lt;= m &lt;= 4.8 x 10(-20) eV), the 95%-confidence upper limits on rotation amplitude arc approximately constant with a median of 0.27 degrees, which constrains the axion-photon coupling constant to g(phi gamma )&lt; (4.5 x 10(-12) GeV-1)m/(10(-21) eV), if axionlike particles constitute all of the dark matter. More than half of the collected BICEP dataset has yet to be analyzed, and several current and future CMB polarimetry experiments can apply the methods presented here to achieve comparable or superior constraints. In the coming years, oscillation measurements can achieve the sensitivity to rule out unexplored regions of the axion parameter space.</t>
  </si>
  <si>
    <t>[Ade, P. A. R.; Sudiwala, R., V; Tucker, C.] Cardiff Univ, Sch Phys &amp; Astron, Cardiff CF24 3AA, Wales; [Ahmed, Z.; Beck, D.; Cheshire, J. R.; Cukierman, A.; Henderson, S.; Irwin, K. D.; Kuo, C. L.; Ogburn, R. W.; Thompson, K. L.; Wu, W. L. K.; Yoon, K. W.; Young, E.] SLAC Natl Accelerator Lab, Kavli Inst Particle Astrophys &amp; Cosmol, 2575 Sand Hill Rd, Menlo Pk, CA 94025 USA; [Amiri, M.; Fatigoni, S.; Halpern, M.; Wiebe, D., V] Univ British Columbia, Dept Phys &amp; Astron, Vancouver, BC V6T 1Z1, Canada; [Barkats, D.; Boenish, H.; Connors, J.; Cornelison, J.; Dierickx, M.; Eiben, M.; Goldfinger, D. C.; Grimes, P.; Harrison, S.; Karkare, K. S.; Kovac, J. M.; Racine, B.; Richter, S.; Schmitt, B. L.; St Germaine, T.; Verges, C.; Wong, C. L.; Zeng, L.] Harvard &amp; Smithsonian, Ctr Astrophys, Cambridge, MA 02138 USA; [Thakur, R. Basu; Bock, J. J.; Hildebrandt, S. R.; Hui, H.; Kang, J.; Kefeli, S.; Minutolo, L.; Moncelsi, L.; O'Brient, R.; Schillaci, A.; Soliman, A.; Steinbach, B.; Teply, G. P.; Wandui, A.; Zhang, C.; Zhang, S.] CALTECH, Dept Phys, Pasadena, CA 91125 USA; [Bischoff, C. A.; Hand, E.; Palladino, S.] Univ Cincinnati, Dept Phys, Cincinnati, OH 45221 USA; [Beck, D.; Cheshire, J. R.; Cukierman, A.; Goeckner-Wald, N.; Grayson, J.; Halal, G.; Irwin, K. D.; Karpel, E.; Kernasovskiy, S. A.; Kuo, C. L.; Nakato, Y.; Ogburn, R. W.; Thompson, K. L.; Tolan, J. E.; Yang, H.; Yoon, K. W.; Young, E.; Yu, C.] Stanford Univ, Dept Phys, Stanford, CA 94305 USA; [Bock, J. J.; Hildebrandt, S. R.; Megerian, K. G.; Nguyen, H. T.; O'Brient, R.; Turner, A. D.; Weber, A. C.] Jet Prop Lab, Pasadena, CA 91109 USA; [Bullock, E.; Cheshire, J. R.; Pryke, C.] Univ Minnesota, Minnesota Inst Astrophys, Minneapolis, MN 55455 USA; [Buza, V; Karkare, K. S.; Leitch, E. M.; Vieregg, A. G.] Univ Chicago, Kavli Inst Cosmol Phys, Chicago, IL 60637 USA; [Crumrine, M.; Fliescher, S.; Hall, G.; Lau, K.; Pryke, C.; Schwarz, R.; Willmert, J.] Univ Minnesota, Sch Phys &amp; Astron, Minneapolis, MN 55455 USA; [Denison, E., V; Hilton, G. C.; Hubmayr, J.; Irwin, K. D.; Reintsema, C. D.] NIST, Boulder, CO 80305 USA; [Duband, L.; Prouve, T.] Commissariat Energie Atom, Serv Basses Temp, F-38054 Grenoble, France; [Filippini, J. P.; Lennox, A.; Umilta, C.] Univ Illinois, Dept Phys, Urbana, IL 61801 USA; [Filippini, J. P.] Univ Illinois, Dept Astron, Urbana, IL 61801 USA; [Kovac, J. M.; St Germaine, T.; Wong, C. L.] Harvard Univ, Dept Phys, Cambridge, MA 02138 USA; [Namikawa, T.] Univ Tokyo, Kavli Inst Phys &amp; Math Universe WPI, UTIAS, Kashiwa, Chiba 2778583, Japan; [Racine, B.] Aix Marseille Univ, CPPM, CNRS, IN2P3, Marseille, France; [Sheehy, C. D.] Brookhaven Natl Lab, Phys Dept, Upton, NY 11973 USA; [Vieregg, A. G.] Univ Chicago, Enrico Fermi Inst, Dept Phys, Chicago, IL 60637 USA</t>
  </si>
  <si>
    <t>Cardiff University; Stanford University; United States Department of Energy (DOE); SLAC National Accelerator Laboratory; University of British Columbia; Smithsonian Institution; California Institute of Technology; University System of Ohio; University of Cincinnati; Stanford University; National Aeronautics &amp; Space Administration (NASA); NASA Jet Propulsion Laboratory (JPL); University of Minnesota System; University of Minnesota Twin Cities; University of Chicago; University of Minnesota System; University of Minnesota Twin Cities; National Institute of Standards &amp; Technology (NIST) - USA; CEA; Communaute Universite Grenoble Alpes; Universite Grenoble Alpes (UGA); University of Illinois System; University of Illinois Urbana-Champaign; University of Illinois System; University of Illinois Urbana-Champaign; Harvard University; University of Tokyo; Aix-Marseille Universite; Centre National de la Recherche Scientifique (CNRS); CNRS - National Institute of Nuclear and Particle Physics (IN2P3); United States Department of Energy (DOE); Brookhaven National Laboratory; University of Chicago</t>
  </si>
  <si>
    <t>Cukierman, A (corresponding author), SLAC Natl Accelerator Lab, Kavli Inst Particle Astrophys &amp; Cosmol, 2575 Sand Hill Rd, Menlo Pk, CA 94025 USA.;Cukierman, A (corresponding author), Stanford Univ, Dept Phys, Stanford, CA 94305 USA.</t>
  </si>
  <si>
    <t>ajcukier@stanford.edu</t>
  </si>
  <si>
    <t>sun, huan/JEO-7152-2023; Chen, Shuo/JEO-6350-2023; Moncelsi, Lorenzo/AAU-1009-2020; Nguyen, H.T/AAG-1974-2021; Nguyễn, Hương/JUV-6128-2023; Zeng, Lingzhen/V-4602-2019</t>
  </si>
  <si>
    <t>Moncelsi, Lorenzo/0000-0002-4242-3015; Nguyen, H.T/0000-0001-5580-2877; Zeng, Lingzhen/0000-0001-6924-9072; Kovac, John/0009-0003-5432-7180; Cheshire, James/0000-0002-1630-7854; Lau, King/0000-0002-6445-2407; Racine, Benjamin/0000-0001-8861-3052; Halal, George/0000-0003-2221-3018; Dierickx, Marion/0000-0002-3519-8593; Kang, Jae Hwan/0000-0002-3470-2954; Tucker, Carole/0000-0002-1851-3918; Willmert, Justin/0000-0002-6452-4693; Ahmed, Zeeshan/0000-0002-9957-448X; Namikawa, Toshiya/0000-0003-3070-9240; Irwin, Kent/0000-0002-2998-9743; Grimes, Paul/0000-0001-9292-6297; Bischoff, Colin/0000-0001-9185-6514</t>
  </si>
  <si>
    <t>National Science Foundation [0742818, 0742592, 1044978, 1110087, 1145172, 1145143, 1145248, 1639040, 1638957, 1638978, 1638970, 1836010]; Keck Foundation; JPL Research and Technology Development Fund from the NASA APRA program [06-ARPA206-0040, 10-SAT10-0017]; Gordon and Betty Moore Foundation at Caltech; Canada Foundation for Innovation grant; Department of Energy [DE-AC02-76SF00515]; JPL Research and Technology Development Fund from the NASA SAT program [06-ARPA206-0040, 10-SAT10-0017]; FAS Science Division Research Computing Group at Harvard University; Direct For Mathematical &amp; Physical Scien; Division Of Astronomical Sciences [1836010] Funding Source: National Science Foundation; Division Of Polar Programs; Directorate For Geosciences [1110087] Funding Source: National Science Foundation</t>
  </si>
  <si>
    <t>National Science Foundation(National Science Foundation (NSF)); Keck Foundation(W.M. Keck Foundation); JPL Research and Technology Development Fund from the NASA APRA program; Gordon and Betty Moore Foundation at Caltech(Gordon and Betty Moore Foundation); Canada Foundation for Innovation grant(Canada Foundation for Innovation); Department of Energy(United States Department of Energy (DOE)); JPL Research and Technology Development Fund from the NASA SAT program; FAS Science Division Research Computing Group at Harvard University; Direct For Mathematical &amp; Physical Scien; Division Of Astronomical Sciences(National Science Foundation (NSF)NSF - Directorate for Mathematical &amp; Physical Sciences (MPS)); Division Of Polar Programs; Directorate For Geosciences(National Science Foundation (NSF)NSF - Directorate for Geosciences (GEO))</t>
  </si>
  <si>
    <t>The BICEP/Keck Array projects have been made pos-sible through a series of grants from the National Science Foundation including Grants No. 0742818, No. 0742592, No. 1044978, No. 1110087, No. 1145172, No. 1145143, No. 1145248, No. 1639040, No. 1638957, No. 1638978, No. 1638970, and No. 1836010 and by the Keck Foundation. The development of antenna-coupled detector technology was supported by the JPL Research and Technology Development Fund and Grants No. 06-ARPA206-0040 and No. 10-SAT10-0017 from the NASA APRA and SAT programs.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 L. A. C. was partially supported by the Department of Energy, Contract No. DE-AC02-76SF00515. We thank the staff of the U.S. Antarctic Program and in particular the South Pole Station without whose help this research would not have been possible. Most special thanks go to our heroic winter-overs Robert Schwarz and Steffen Richter. We thank all those who have contributed past efforts to the BICEP/Keck Array series of experiments.</t>
  </si>
  <si>
    <t>10.1103/PhysRevD.105.022006</t>
  </si>
  <si>
    <t>YQ8VK</t>
  </si>
  <si>
    <t>Green Accepted, Green Submitted</t>
  </si>
  <si>
    <t>WOS:000749582300001</t>
  </si>
  <si>
    <t>Quiroga, MV; Valverde, A; Mataloni, G; Casa, V; Stegen, JC; Cowan, D</t>
  </si>
  <si>
    <t>Quiroga, Maria, V; Valverde, Angel; Mataloni, Gabriela; Casa, Valeria; Stegen, James C.; Cowan, Don</t>
  </si>
  <si>
    <t>The ecological assembly of bacterial communities in Antarctic wetlands varies across levels of phylogenetic resolution</t>
  </si>
  <si>
    <t>CIERVA POINT; TEMPERATURES; PATTERNS</t>
  </si>
  <si>
    <t>As functional traits are conserved at different phylogenetic depths, the ability to detect community assembly processes can be conditional on the phylogenetic resolution; yet most previous work quantifying their influence has focused on a single level of phylogenetic resolution. Here, we have studied the ecological assembly of bacterial communities from an Antarctic wetland complex, applying null models across different levels of phylogenetic resolution (i.e. clustering ASVs into OTUs with decreasing sequence identity thresholds). We found that the relative influence of the community assembly processes varies with phylogenetic resolution. More specifically, selection processes seem to impose stronger influence at finer (100% sequence similarity ASV) than at coarser (99%-97% sequence similarity OTUs) resolution. We identified environmental features related with the ecological processes and propose a conceptual model for the bacterial community assembly in this Antarctic ecosystem. Briefly, eco-evolutionary processes appear to be leading to different but very closely related ASVs in lotic, lentic and terrestrial environments. In all, this study shows that assessing community assembly processes at different phylogenetic resolutions is key to improve our understanding of microbial ecology. More importantly, a failure to detect selection processes at coarser phylogenetic resolution does not imply the absence of such processes at finer resolutions.</t>
  </si>
  <si>
    <t>[Quiroga, Maria, V] UNSAM, INTECH, Inst Tecnol Chascomus, CONICET, Chascomus, Argentina; [Valverde, Angel] CSIC, Inst Recursos Nat &amp; Agrobiol Salamanca IRNASA CSI, Salamanca, Spain; [Mataloni, Gabriela; Casa, Valeria] UNSAM CONICET, Inst Invest &amp; Ingn Ambiental IIIA, Buenos Aires, DF, Argentina; [Stegen, James C.] Pacific Northwest Natl Lab, Ecosyst Sci Team, Richland, WA 99352 USA; [Cowan, Don] Univ Pretoria, Ctr Microbial Ecol &amp; Genom CMEG, Dept Biochem Genet &amp; Microbiol, Pretoria, South Africa</t>
  </si>
  <si>
    <t>Consejo Nacional de Investigaciones Cientificas y Tecnicas (CONICET); Consejo Superior de Investigaciones Cientificas (CSIC); CSIC - Instituto de Recursos Naturales y Agrobiologia de Salamanca (IRNASA); Consejo Nacional de Investigaciones Cientificas y Tecnicas (CONICET); United States Department of Energy (DOE); Pacific Northwest National Laboratory; University of Pretoria</t>
  </si>
  <si>
    <t>Quiroga, MV (corresponding author), UNSAM, INTECH, Inst Tecnol Chascomus, CONICET, Chascomus, Argentina.;Valverde, A (corresponding author), CSIC, Inst Recursos Nat &amp; Agrobiol Salamanca IRNASA CSI, Salamanca, Spain.</t>
  </si>
  <si>
    <t>mvquiroga@iib.unsam.edu.ar; angel.valverde@csic.es</t>
  </si>
  <si>
    <t>Quiroga, Maria Victoria/JUV-5976-2023; Stegen, James/Q-3078-2016; Valverde, Angel/C-1308-2009</t>
  </si>
  <si>
    <t>Quiroga, Maria Victoria/0000-0002-6223-334X; Stegen, James/0000-0001-9135-7424; Mataloni, Gabriela/0000-0002-6852-6143; Valverde, Angel/0000-0003-0439-9605</t>
  </si>
  <si>
    <t>ANPCyT - Argentina [PICT 2016-2517, 2016-1554]; NRF - South Africa; Junta de Castilla y Leon [CLU-2019-05]; European Union (ERDF 'Europe drives our growth'); U.S. Department of Energy-BER program [DE-AC05-76RL01830]</t>
  </si>
  <si>
    <t>ANPCyT - Argentina(ANPCyT); NRF - South Africa(National Research Foundation - South Africa); Junta de Castilla y Leon(Junta de Castilla y Leon); European Union (ERDF 'Europe drives our growth')(Marie Curie ActionsEuropean Union (EU)); U.S. Department of Energy-BER program(United States Department of Energy (DOE))</t>
  </si>
  <si>
    <t>This research contributes to the Ant-ICON (Integrated Science to Inform Antarctic and Southern Ocean Conservation) SCAR Scientific Research Programme and was jointly supported by ANPCyT -Argentina (grants PICT 2016-2517, 2016-1554) and NRF -South Africa. We thank two anonymous reviewers for their valuable comments on the manuscript. We thank for their help to P. H. Lebre, S. Metz, Y. Sica, P. Fermani, D. Gonzalez, S. Ramos Marin, M. Libertelli, the crew of Base Primavera and the Instituto Ant~artico Argentino -Direccion Nacional del Antartico. A.V. was supported by the project `CLU-2019-05 IRNASA/CSIC Unit of Excellence', funded by the Junta de Castilla y Leon and co-financed by the European Union (ERDF `Europe drives our growth'). J.C.S. was supported by the U.S. Department of Energy-BER program, as part of an Early Career Award to J.C.S. at Pacific Northwest National Laboratory, a multi-program national laboratory operated by Battelle for the US Department of Energy under Contract DE-AC05-76RL01830.</t>
  </si>
  <si>
    <t>10.1111/1462-2920.15912</t>
  </si>
  <si>
    <t>3Y3WY</t>
  </si>
  <si>
    <t>Green Submitted, Green Published</t>
  </si>
  <si>
    <t>WOS:000748113600001</t>
  </si>
  <si>
    <t>Scheidt, S; Lenz, M; Egli, R; Brill, D; Klug, M; Fabian, K; Lenz, MM; Gromig, R; Rethemeyer, J; Wagner, B; Federov, G; Melles, M</t>
  </si>
  <si>
    <t>Scheidt, Stephanie; Lenz, Matthias; Egli, Ramon; Brill, Dominik; Klug, Martin; Fabian, Karl; Lenz, Marlene M.; Gromig, Raphael; Rethemeyer, Janet; Wagner, Bernd; Federov, Grigory; Melles, Martin</t>
  </si>
  <si>
    <t>A 62 kyr geomagnetic palaeointensity record from the Taymyr Peninsula,Russian Arctic</t>
  </si>
  <si>
    <t>GEOCHRONOLOGY</t>
  </si>
  <si>
    <t>PALEOMAGNETIC SECULAR VARIATION; LOCK-IN DEPTH; RELATIVE PALEOINTENSITY; REMANENT MAGNETIZATION; MONO LAKE; LATE PLEISTOCENE; SEDIMENT RECORD; FIELD; KA; LASCHAMP</t>
  </si>
  <si>
    <t>This work presents unprecedented, high-resolution palaeomagnetic data from the sedimentary record of Lake Levinson-Lessing, the deepest lake in northern central Siberia. Palaeomagnetic analyses were carried out on 730 discrete samples from the upper 38 m of the 46 m long core Co1401, which was recovered from the central part of the lake. Alternating field demagnetization experiments were carried out to obtain the characteristic remanent demagnetization. The relative palaeointensity is determined using the magnetic susceptibility, the anhysteretic remanent magnetization, and the isothermal remanent magnetization for normalization of the partial natural remanent magnetization. The chronology of Co1401 derives from correlation of the relative palaeointensity of 642 discrete samples with the GLOPIS-75 reference curve, accelerated mass spectrometer radiocarbon ages, and optically stimulated luminescence dating. This study focuses on the part &gt; 10 ka but also presents preliminary results for the younger part of the core. The record includes the geomagnetic excursions Laschamps and Mono Lake and resolves sufficient geomagnetic features to establish a chronology that continuously covers the last similar to 62 kyr. The results reveal continuous sedimentation at high rates between 45 and 95 cm kyr(-1). The low variability of the magnetic record compared to datasets of reference records with lower sedimentation rates may be due to a smoothing effect associated with the lock-in depths. Because Co1401 was cored without core segment overlap the horizontal component of the characteristic remanent magnetization can only be used with caution. Nevertheless, the magnetic record of Co1401 is exceptional as it is the only high-resolution record of relative palaeointensity and palaeosecular variations from the Arctic tangent cylinder going back to similar to 62 ka.</t>
  </si>
  <si>
    <t>[Scheidt, Stephanie; Lenz, Matthias; Lenz, Marlene M.; Gromig, Raphael; Rethemeyer, Janet; Wagner, Bernd; Melles, Martin] Univ Cologne, Inst Geol &amp; Mineral, D-50674 Cologne, Germany; [Egli, Ramon] Cent Inst Meteorol &amp; Geodynam ZAMG, A-1190 Vienna, Austria; [Brill, Dominik] Univ Cologne, Inst Geog, D-50674 Cologne, Germany; [Klug, Martin; Fabian, Karl] Geol Survey Norway NGU, N-7040 Trondheim, Norway; [Fabian, Karl] Norwegian Univ Sci &amp; Technol, Dept Geosci &amp; Petr, N-7040 Trondheim, Norway; [Federov, Grigory] St Petersburg State Univ, Inst Earth Sci, St Petersburg 199034, Russia; [Federov, Grigory] Arctic &amp; Antarctic Res Inst, St Petersburg 199397, Russia</t>
  </si>
  <si>
    <t>University of Cologne; University of Cologne; Geological Survey of Norway; Norwegian University of Science &amp; Technology (NTNU); Saint Petersburg State University; Arctic &amp; Antarctic Research Institute</t>
  </si>
  <si>
    <t>Scheidt, S (corresponding author), Univ Cologne, Inst Geol &amp; Mineral, D-50674 Cologne, Germany.</t>
  </si>
  <si>
    <t>stephanie.scheidt@uni-koeln.de</t>
  </si>
  <si>
    <t>Wagner, Bernd/J-4682-2012; Melles, Martin/J-4070-2012; Rethemeyer, Janet/G-4019-2013; Egli, Ramon/B-1389-2016</t>
  </si>
  <si>
    <t>Wagner, Bernd/0000-0002-1369-7893; Melles, Martin/0000-0003-0977-9463; Scheidt, Stephanie/0000-0002-9370-2700; Egli, Ramon/0000-0001-6825-4742</t>
  </si>
  <si>
    <t>German Federal Ministry for Education and Research (BMBF)</t>
  </si>
  <si>
    <t>German Federal Ministry for Education and Research (BMBF)(Federal Ministry of Education &amp; Research (BMBF))</t>
  </si>
  <si>
    <t>This study was funded by the German Federal Ministry for Education and Research (BMBF) within the scope of the project PLOT (Paleolimnological Transect). Special thanks are due to Richard Niederreiter, Sverre Aksnes, Andrej Andreev, Anna Cherezova, and Maxim V. Rukhkin for their competent help in retrieving core Co1401. We are also very indebted to Carlo Laj and Cathrin Kissel for providing the current GLOPIS-75 data and the data of the individual GLOPIS-75 records.</t>
  </si>
  <si>
    <t>2628-3719</t>
  </si>
  <si>
    <t>Geochronology</t>
  </si>
  <si>
    <t>10.5194/gchron-4-87-2022</t>
  </si>
  <si>
    <t>Geochemistry &amp; Geophysics; Geosciences, Multidisciplinary</t>
  </si>
  <si>
    <t>HV7S4</t>
  </si>
  <si>
    <t>WOS:001162354500001</t>
  </si>
  <si>
    <t>Cordone, A; D'Errico, G; Magliulo, M; Bolinesi, F; Selci, M; Basili, M; de Marco, R; Saggiomo, M; Rivaro, P; Giovannelli, D; Mangoni, O</t>
  </si>
  <si>
    <t>Cordone, Angelina; D'Errico, Giuseppe; Magliulo, Maria; Bolinesi, Francesco; Selci, Matteo; Basili, Marco; de Marco, Rocco; Saggiomo, Maria; Rivaro, Paola; Giovannelli, Donato; Mangoni, Olga</t>
  </si>
  <si>
    <t>Bacterioplankton Diversity and Distribution in Relation to Phytoplankton Community Structure in the Ross Sea Surface Waters</t>
  </si>
  <si>
    <t>FRONTIERS IN MICROBIOLOGY</t>
  </si>
  <si>
    <t>bacterial diversity; bacterioplankton; phytoplankton; Ross Sea; Antarctica</t>
  </si>
  <si>
    <t>GEN. NOV.; HALOMONAS-EURIHALINA; PHAEOCYSTIS-ANTARCTICA; BACTERIAL COMMUNITIES; MICROBIAL COMMUNITIES; MARINE-BACTERIA; ORGANIC-MATTER; RIBOSOMAL-RNA; SP. NOV.; IRON</t>
  </si>
  <si>
    <t>Primary productivity in the Ross Sea region is characterized by intense phytoplankton blooms whose temporal and spatial distribution are driven by changes in environmental conditions as well as interactions with the bacterioplankton community. However, the number of studies reporting the simultaneous diversity of the phytoplankton and bacterioplankton in Antarctic waters are limited. Here, we report data on the bacterial diversity in relation to phytoplankton community structure in the surface waters of the Ross Sea during the Austral summer 2017. Our results show partially overlapping bacterioplankton communities between the stations located in the Terra Nova Bay (TNB) coastal waters and the Ross Sea Open Waters (RSOWs), with a dominance of members belonging to the bacterial phyla Bacteroidetes and Proteobacteria. In the TNB coastal area, microbial communities were characterized by a higher abundance of sequences related to heterotrophic bacterial genera such as Polaribacter spp., together with higher phytoplankton biomass and higher relative abundance of diatoms. On the contrary, the phytoplankton biomass in the RSOW were lower, with relatively higher contribution of haptophytes and a higher abundance of sequences related to oligotrophic and mixothrophic bacterial groups like the Oligotrophic Marine Gammaproteobacteria (OMG) group and SAR11. We show that the rate of diversity change between the two locations is influenced by both abiotic (salinity and the nitrogen to phosphorus ratio) and biotic (phytoplankton community structure) factors. Our data provide new insight into the coexistence of the bacterioplankton and phytoplankton in Antarctic waters, suggesting that specific rather than random interaction contribute to the organic matter cycling in the Southern Ocean.</t>
  </si>
  <si>
    <t>[Cordone, Angelina; Magliulo, Maria; Bolinesi, Francesco; Selci, Matteo; Giovannelli, Donato; Mangoni, Olga] Univ Naples Federico II, Dept Biol, Naples, Italy; [D'Errico, Giuseppe; Giovannelli, Donato] Polytech Univ Marche, Dept Life Sci, DISVA, Ancona, Italy; [Basili, Marco; de Marco, Rocco; Giovannelli, Donato] Inst Marine Biol Resources &amp; Biotechnol CNR IRBIM, Natl Res Council, Ancona, Italy; [Saggiomo, Maria] Stn Zool Anton Dohrn, Naples, Italy; [Rivaro, Paola] Univ Genoa, Dept Chem &amp; Ind Chem, Genoa, Italy; [Giovannelli, Donato] Rutgers State Univ, Dept Marine &amp; Coastal Sci, New Brunswick, NJ 08901 USA; [Giovannelli, Donato] Woods Hole Oceanog Inst, Dept Marine Chem &amp; Geochem, Woods Hole, MA 02543 USA; [Giovannelli, Donato] Tokyo Inst Technol, Earth Life Sci Inst, Tokyo, Japan; Consorzio Nazl Interuniv Sci Mare CoNISMa, Rome, Italy; [Magliulo, Maria] Univ Essex, Colchester, Essex, England</t>
  </si>
  <si>
    <t>University of Naples Federico II; Marche Polytechnic University; Consiglio Nazionale delle Ricerche (CNR); Istituto per le Risorse Biologiche Biotecnologie Marine (IRBIM-CNR); Stazione Zoologica Anton Dohrn di Napoli; University of Genoa; Rutgers University System; Rutgers University New Brunswick; Woods Hole Oceanographic Institution; Tokyo Institute of Technology; CoNISMa; University of Essex</t>
  </si>
  <si>
    <t>Bolinesi, F; Giovannelli, D (corresponding author), Univ Naples Federico II, Dept Biol, Naples, Italy.;Giovannelli, D (corresponding author), Polytech Univ Marche, Dept Life Sci, DISVA, Ancona, Italy.;Giovannelli, D (corresponding author), Inst Marine Biol Resources &amp; Biotechnol CNR IRBIM, Natl Res Council, Ancona, Italy.;Giovannelli, D (corresponding author), Rutgers State Univ, Dept Marine &amp; Coastal Sci, New Brunswick, NJ 08901 USA.;Giovannelli, D (corresponding author), Woods Hole Oceanog Inst, Dept Marine Chem &amp; Geochem, Woods Hole, MA 02543 USA.;Giovannelli, D (corresponding author), Tokyo Inst Technol, Earth Life Sci Inst, Tokyo, Japan.</t>
  </si>
  <si>
    <t>francesco.bolinesi@unina.it; donato.giovannelli@unina.it</t>
  </si>
  <si>
    <t>Basili, Marco/JVM-9837-2024; Cordone, Angelina/GLV-6283-2022; Cordone, Angelina/ACF-5367-2022</t>
  </si>
  <si>
    <t>Basili, Marco/0000-0002-9936-9507; Cordone, Angelina/0000-0002-6131-3145; De Marco, Rocco/0000-0002-9438-4791</t>
  </si>
  <si>
    <t>1664-302X</t>
  </si>
  <si>
    <t>FRONT MICROBIOL</t>
  </si>
  <si>
    <t>Front. Microbiol.</t>
  </si>
  <si>
    <t>JAN 27</t>
  </si>
  <si>
    <t>10.3389/fmicb.2022.722900</t>
  </si>
  <si>
    <t>YW1OK</t>
  </si>
  <si>
    <t>gold, Green Published, Green Submitted</t>
  </si>
  <si>
    <t>WOS:000753189400001</t>
  </si>
  <si>
    <t>Lagos, PF; Curtsdotter, A; Agueera, A; Sabadel, AJM; Burrit, DJ; Lamare, MD</t>
  </si>
  <si>
    <t>Lagos, Paulo F.; Curtsdotter, Alva; Agueera, Antonio; Sabadel, Amandine J. M.; Burrit, David J.; Lamare, Miles D.</t>
  </si>
  <si>
    <t>Fast Changes in the Bioenergetic Balance of Krill in Response to Environmental Stress</t>
  </si>
  <si>
    <t>DEB model; environmental variability; fatty acids; amino acid; ultraviolet radiation (UVR); bioenergetics; temperature; light</t>
  </si>
  <si>
    <t>ULTRAVIOLET-RADIATION; ANTARCTIC KRILL; UV-RADIATION; MEGANYCTIPHANES-NORVEGICA; METABOLIC-RESPONSES; EUPHAUSIA-SUPERBA; NORTHERN KRILL; CLIMATE-CHANGE; TEMPERATURE; RESPIRATION</t>
  </si>
  <si>
    <t>A Dynamic Energy Budget (DEB) model is applied to predict rapid metabolic shifts in an ecologically important krill, Nyctiphanes australis, in response to temperature and ultraviolet radiation (UVR). Specifically, we predict changes in fatty acids, amino acids and respiration rate in response to several light and temperature treatments. Environmental variability can alter the metabolic equilibrium and the mechanisms marine ectotherms used to obtain energy, which is a topical point given the current level of environmental change. Environmental variability also includes multiple stressors, which can have additive, antagonistic or synergistic effects on metabolism. In consequence, disentangling and quantifying the effects of multiple stressors on metabolism and the energy balance of ecthothermal species, such as krill, can be challenging. Here we apply a DEB model to direct measurements of fatty acids, amino acids and respiration rate of krill experimentally exposed simultaneously to several doses of UVR and temperatures. We found that on average light escalates metabolic rates by a factor of two, and temperature has an effect 1.35 times greater than the effect of light over respiration rates at temperatures from 9 to 19 degrees C. The DEB model predicted shifts in metabolic function and indicated that the combined effect of light and elevated temperatures decrease the total of fatty acid concentrations at a higher rate than amino acids when krill are exposed to environmentally relevant temperatures and light treatments. Our results demonstrate that, when krill experience warmer conditions and higher levels of solar radiation, the mobilization of energy-relevant metabolites from the reserves increases by up to 36% and increase the total energetic cost by up to 45%. These findings suggest that ectothermal species with a fast metabolism, such as krill, quickly deplete energy reserves to compensate for changes in the environment. This renders krill susceptible to the effects of climate variability if the current climatic trend for the region continues to show temperature increases, even if solar radiation levels remain unchanged.</t>
  </si>
  <si>
    <t>[Lagos, Paulo F.; Lamare, Miles D.] Univ Otago, Dept Marine Sci, Dunedin, New Zealand; [Curtsdotter, Alva] Univ New England, Sch Environm &amp; Rural Sci, Armidale, NSW, Australia; [Agueera, Antonio] Norwegian Inst Marine Res, Austevoll Res Stn, Austevoll, Norway; [Sabadel, Amandine J. M.] Univ Otago, Dept Zool, Dunedin, New Zealand; [Burrit, David J.] Univ Otago, Dept Bot, Dunedin, New Zealand</t>
  </si>
  <si>
    <t>University of Otago; University of New England; University of Otago; University of Otago</t>
  </si>
  <si>
    <t>Lagos, PF (corresponding author), Univ Otago, Dept Marine Sci, Dunedin, New Zealand.</t>
  </si>
  <si>
    <t>pau.lagosj@gmail.com</t>
  </si>
  <si>
    <t>Sabadel, Amandine/GXG-9878-2022; Lagos, Paulo F/C-8879-2014; Agüera, Antonio/O-5498-2017</t>
  </si>
  <si>
    <t>Agüera, Antonio/0000-0003-0076-1849; Sabadel, Amandine/0000-0002-1080-8842; Lagos, Paulo/0000-0002-1560-4718</t>
  </si>
  <si>
    <t>10.3389/fmars.2021.782524</t>
  </si>
  <si>
    <t>YW1FT</t>
  </si>
  <si>
    <t>WOS:000753166700001</t>
  </si>
  <si>
    <t>Toyos, MH; Winckler, G; Arz, HW; Lembke-Jene, L; Lange, CB; Kuhn, G; Lamy, F</t>
  </si>
  <si>
    <t>Toyos, Maria H.; Winckler, Gisela; Arz, Helge W.; Lembke-Jene, Lester; Lange, Carina B.; Kuhn, Gerhard; Lamy, Frank</t>
  </si>
  <si>
    <t>Variations in export production, lithogenic sediment transport and iron fertilization in The Pacific sector of the Drake Passage over the pest 400 kyr</t>
  </si>
  <si>
    <t>LATE CENOZOIC GLACIATIONS; SOUTHERN-OCEAN SURFACE; ANTARCTIC POLAR FRONT; DEEP SEA-EVIDENCE; ATLANTIC SECTOR; BIOLOGICAL PUMP; SILICIC-ACID; EQUATORIAL PACIFIC; DUST DEPOSITION; VARIABILITY</t>
  </si>
  <si>
    <t>Changes in Southern Ocean export production have broad biogeochemical and climatic implications. Specifically, iron fertilization likely increased subantarctic nutrient utilization and enhanced the efficiency of the biological pump during glacials. However, past export production in the subantarctic southeastern Pacific is poorly documented, and its connection to Fe fertilization, potentially related to Patagonian Ice Sheet dynamics, is unknown. We report biological productivity changes over the past 400 kyr, based on a combination of Th-230(xs)-normalized and stratigraphy-based mass accumulation rates of biogenic barium, organic carbon, biogenic opal and calcium carbonate as indicators of paleo-export production in a sediment core upstream of the Drake Passage (57.5 degrees S, 70.3 degrees W). In addition, we use fluxes of iron and lithogenic material as proxies for terrigenous input, and thus potential micronutrient supply. Stratigraphy-based mass accumulation rates are strongly influenced by bottom-current dynamics, which result in variable sediment focussing or winnowing at our site. Carbonate is virtually absent in the core, except during peak interglacial intervals of the Holocene, and Marine Isotope Stages (MIS) 5 and 11, likely caused by transient decreases in carbonate dissolution. All other proxies suggest that export production increased during most glacial periods, coinciding with high iron fluxes. Such augmented glacial iron fluxes at the core site were most likely derived from glaciogenic input from the Patagonian Ice Sheet promoting the growth of phytoplankton. Additionally, glacial export production peaks are also consistent with northward shifts of the Subantarctic and Polar Fronts, which positioned our site south of the Subantarctic Front and closer to silicic acid-rich waters of the Polar Frontal Zone. However, glacial export production near the Drake Passage was lower than in the Atlantic and Indian sectors of the Southern Ocean, which may relate to complete consumption of silicic acid in the study area. Our results underline the importance of micro-nutrient fertilization through lateral terrigenous input from South America rather than eolian transport and exemplify the role of frontal shifts and nutrient limitation for past productivity changes in the Pacific entrance to the Drake Passage.</t>
  </si>
  <si>
    <t>[Toyos, Maria H.] Univ Concepcion, Fac Ciencias Nat &amp; Oceanog, Dept Oceanog, Programa Postgrad Oceanog, Concepcion, Chile; [Toyos, Maria H.; Lange, Carina B.] Univ Austral Chile, Ctr Invest Dinam Ecosistemas Marinos Altas Latitu, Valdivia, Chile; [Toyos, Maria H.; Lembke-Jene, Lester; Kuhn, Gerhard; Lamy, Frank] Helmholtz Zentrum Polar &amp; Meeresforsch, Alfred Wegener Inst, Bremerhaven, Germany; [Winckler, Gisela] Columbia Univ, Lamont Doherty Earth Observ, Palisades, NY 10964 USA; [Winckler, Gisela] Columbia Univ, Dept Earth &amp; Environm Sci, New York, NY 10027 USA; [Arz, Helge W.] Leibniz Inst Ostseeforsch Warnemunde IOW, Rostock, Germany; [Lange, Carina B.] Univ Concepcion, Dept Oceanog, Concepcion, Chile; [Lange, Carina B.] Univ Concepcion, Ctr Oceanog COPAS Sur Austral, Concepcion, Chile; [Lange, Carina B.] Scripps Inst Oceanog, La Jolla, CA 92037 USA</t>
  </si>
  <si>
    <t>Universidad de Concepcion; Universidad Austral de Chile; Helmholtz Association; Alfred Wegener Institute, Helmholtz Centre for Polar &amp; Marine Research; Columbia University; Columbia University; Leibniz Institut fur Ostseeforschung Warnemunde; Universidad de Concepcion; Universidad de Concepcion; University of California System; University of California San Diego; Scripps Institution of Oceanography</t>
  </si>
  <si>
    <t>Toyos, MH (corresponding author), Univ Concepcion, Fac Ciencias Nat &amp; Oceanog, Dept Oceanog, Programa Postgrad Oceanog, Concepcion, Chile.;Toyos, MH (corresponding author), Univ Austral Chile, Ctr Invest Dinam Ecosistemas Marinos Altas Latitu, Valdivia, Chile.;Toyos, MH (corresponding author), Helmholtz Zentrum Polar &amp; Meeresforsch, Alfred Wegener Inst, Bremerhaven, Germany.</t>
  </si>
  <si>
    <t>mtoyos@udec.cl</t>
  </si>
  <si>
    <t>Lange, Carina/AHC-2015-2022; Arz, Helge W/A-6659-2013; Lembke-Jene, Lester/ABC-6275-2020; Lembke-Jene, Lester/F-5084-2013</t>
  </si>
  <si>
    <t>Lange, Carina/0000-0002-2916-4207; Toyos, Maria H/0000-0001-5827-6753; Kuhn, Gerhard/0000-0001-6069-7485; Lembke-Jene, Lester/0000-0002-6873-8533</t>
  </si>
  <si>
    <t>Alfred Wegener Institute Helmholtz Centre fur Polar- und Meeresforschung (Changing Earth-Sustaining our Future grant); Alfred Wegener Institute Helmholtz Centre fur Polar- und Meeresforschung (PACES-II grant); Chilean oceanographic center FONDAP-IDEAL [FONDAP-IDEAL1500003]; Chilean oceanographic center COPAS Sur-Austral [AFB170006]; scholarship CONICYT-PCHA/Doctorado Nacional [2016-21160454]; Postgraduate Office of Universidad de Concepcion; Red Clima Red [LPR163]; Doctorado MaReA</t>
  </si>
  <si>
    <t>Alfred Wegener Institute Helmholtz Centre fur Polar- und Meeresforschung (Changing Earth-Sustaining our Future grant); Alfred Wegener Institute Helmholtz Centre fur Polar- und Meeresforschung (PACES-II grant); Chilean oceanographic center FONDAP-IDEAL; Chilean oceanographic center COPAS Sur-Austral; scholarship CONICYT-PCHA/Doctorado Nacional; Postgraduate Office of Universidad de Concepcion; Red Clima Red; Doctorado MaReA</t>
  </si>
  <si>
    <t>This research has been supported by the Alfred Wegener Institute Helmholtz Centre fur Polar- und Meeresforschung (Changing Earth-Sustaining our Future and PACES-II grants). Additional financial support was provided by the Chilean oceanographic centers FONDAP-IDEAL (project no. FONDAP-IDEAL1500003) and COPAS Sur-Austral (grant no. AFB170006) to Carina B. Lange and Maria H. Toyos, and Lamont-Doherty Earth Observatory. Maria H. Toyos acknowledges support from the scholarship CONICYT-PCHA/Doctorado Nacional/2016-21160454, Postgraduate Office of Universidad de Concepcion, Red Clima Red (project number LPR163) and Doctorado MaReA.; We acknowledge the comments and suggestions by Giuseppe Cortese and Louisa Bradtmiller, which helped us to improve the revised version of this paper. We thank the captain, crew and scientific party of R/V Polarstern for a successful PS97 cruise. We acknowledge Alejandro avila for technical support at the Paleoceanography lab of Universidad de Concepcion; Roseanne Schwartz, Martin Fleisher and Jordan Abell for assistance at Lamont-Doherty Earth Observatory; and Susanne Wiebe, Rita Frohlking and Valea Schumacher for technical support at AWI.</t>
  </si>
  <si>
    <t>10.5194/cp-18-147-2022</t>
  </si>
  <si>
    <t>YT0QC</t>
  </si>
  <si>
    <t>WOS:000751073300001</t>
  </si>
  <si>
    <t>Gehring, J; Vignon, É; Billault-Roux, AC; Ferrone, A; Protat, A; Alexander, SP; Berne, A</t>
  </si>
  <si>
    <t>Gehring, Josue; Vignon, Etienne; Billault-Roux, Anne-Claire; Ferrone, Alfonso; Protat, Alain; Alexander, Simon P.; Berne, Alexis</t>
  </si>
  <si>
    <t>Orographic Flow Influence on Precipitation During an Atmospheric River Event at Davis, Antarctica</t>
  </si>
  <si>
    <t>snowfall microphysics; sublimation; orographic gravity waves; foehn; atmospheric river; Antarctica</t>
  </si>
  <si>
    <t>SECONDARY ICE PARTICLES; VERTICAL PROFILES; PART I; EXTREME PRECIPITATION; SOUTHERN-OCEAN; GRAVITY-WAVES; RADAR; MODEL; SNOWFALL; CLOUDS</t>
  </si>
  <si>
    <t>Intense snowfall sublimation was observed during a precipitation event over Davis in the Vestfold Hills, East Antarctica, from 08 to 10 January 2019. Radar observations and simulations from the Weather Research and Forecasting model revealed that orographic gravity waves (OGWs), generated by a north-easterly flow impinging on the ice ridge upstream of Davis, were responsible for snowfall sublimation through a foehn effect. Despite the strong meridional moisture advection associated with an atmospheric river (AR) during this event, almost no precipitation reached the ground at Davis. We found that the direction of the synoptic flow with respect to the orography determined the intensity of OGWs over Davis, which in turn directly influenced the snowfall microphysics. We hypothesize that turbulence induced by the OGWs likely enhanced the aggregation process, as identified thanks to dual-polarization and dual-frequency radar observations. This study suggests that despite the intense AR, the precipitation distribution was determined by local processes tied to the orography. The mechanisms found in this case study could contribute to the extremely dry climate of the Vestfold Hills, one of the main Antarctic oases.</t>
  </si>
  <si>
    <t>[Gehring, Josue; Vignon, Etienne; Billault-Roux, Anne-Claire; Ferrone, Alfonso; Berne, Alexis] Ecole Polytech Fed Lausanne EPFL, Environm Remote Sensing Lab LTE, Lausanne, Switzerland; [Vignon, Etienne] Sorbone Univ, Lab Meteorol Dynam, IPSL, CNRS,UMR, Paris, France; [Protat, Alain] Bur Meteorol, Melbourne, Vic, Australia; [Protat, Alain; Alexander, Simon P.] Univ Tasmania, Australian Antarctic Program Partnership, Inst Marine &amp; Antarctic Sci, Hobart, Tas, Australia; [Alexander, Simon P.] Australian Antarctic Div, Kingston, Tas, Australia</t>
  </si>
  <si>
    <t>Swiss Federal Institutes of Technology Domain; Ecole Polytechnique Federale de Lausanne; Sorbonne Universite; Universite Paris Cite; Centre National de la Recherche Scientifique (CNRS); Bureau of Meteorology - Australia; University of Tasmania; Australian Antarctic Division</t>
  </si>
  <si>
    <t>Berne, A (corresponding author), Ecole Polytech Fed Lausanne EPFL, Environm Remote Sensing Lab LTE, Lausanne, Switzerland.</t>
  </si>
  <si>
    <t>alexis.berne@epfl.ch</t>
  </si>
  <si>
    <t>Ferrone, Alfonso/JQI-6190-2023</t>
  </si>
  <si>
    <t>Ferrone, Alfonso/0000-0003-1441-7184; Berne, Alexis/0000-0003-4977-1204; Alexander, Simon/0000-0001-6823-8857; Gehring, Josue/0000-0001-8485-7973; Billault-Roux, Anne-Claire/0000-0003-3673-8683; VIGNON, Etienne/0000-0003-3801-9367</t>
  </si>
  <si>
    <t>Swiss National Science Foundation [175700/1]; EPFL-LOSUMEA project; National Environmental Science Program (NESP); Australian Antarctic Partnership Program (AAPP); Australian Antarctic Division through Australian Antarctic Science Projects [4292, 4387, 4445]</t>
  </si>
  <si>
    <t>Swiss National Science Foundation(Swiss National Science Foundation (SNSF)); EPFL-LOSUMEA project; National Environmental Science Program (NESP); Australian Antarctic Partnership Program (AAPP); Australian Antarctic Division through Australian Antarctic Science Projects</t>
  </si>
  <si>
    <t>The authors thank J. Grazioli for his insightful comments on our study. The authors thank J.D. Wille for checking that our event qualifies as an AR. J. Gehring and A. Ferrone received financial support from the Swiss National Science Foundation (grant no. 175700/1). E. Vignon received financial support from the EPFL-LOSUMEA project. The contribution of A. Protat to this project was supported by the National Environmental Science Program (NESP) and the Australian Antarctic Partnership Program (AAPP). Deployment of the instrumentation to Davis, and the contribution of S.P. Alexander to this project, was supported by the Australian Antarctic Division through Australian Antarctic Science Projects 4292 and 4387. The VHF radar is supported by Australian Antarctic Science Project 4445. The authors thank Ken Barrett, Chris Young, Derryn Harvie, Mike Hyde, Andrew Klekociuk and Angus Davis for their assistance in preparation, installation and commissioning of the instruments at Davis.</t>
  </si>
  <si>
    <t>e2021JD035210</t>
  </si>
  <si>
    <t>10.1029/2021JD035210</t>
  </si>
  <si>
    <t>YT2WR</t>
  </si>
  <si>
    <t>WOS:000751226300010</t>
  </si>
  <si>
    <t>Badaro, VCS; Petri, S</t>
  </si>
  <si>
    <t>Badaro, Victor C. S.; Petri, Setembrino</t>
  </si>
  <si>
    <t>A deep-sea foraminiferal assemblage scattered through the late Cenozoic of Antarctic Peninsula and its biostratigraphic and biogeographic implications</t>
  </si>
  <si>
    <t>JOURNAL OF PALEONTOLOGY</t>
  </si>
  <si>
    <t>MARAMBIO SEYMOUR ISLAND; AGGLUTINATED FORAMINIFERA; MESETA FORMATION; MIOCENE; PALEOCENE; STRATIGRAPHY; DEPOSITS; EVOLUTION; OLIGOCENE; TITANIUM</t>
  </si>
  <si>
    <t>Our knowledge of the foraminiferal fossil record of Antarctica is notoriously patchy but still offers us an overview of its Cenozoic faunas. Few occurrences have been reported for the continent, with deep-sea assemblages described mainly for its eastern portion. Here we describe 21 taxa of large agglutinated foraminifers from the Miocene Hobbs Glacier Formation and the Plio-Pleistocene Weddell Sea Formation on Seymour Island, West Antarctica, including the gigantic Ammodiscus vastus new species. Most of them consist of genera or species typical of deep-sea agglutinated assemblages. All specimens are completely filled and partially covered by lithified micrite. This, along with the postfill fragmentation of some tests, indicates their re-elaboration from older deposits. Because all of these foraminifers share the same taphonomic features and most of them represent taxa associated with deep-sea settings, they probably represent a flysch-type assemblage from an unknown deposit that was eroded and had its microfossils scattered through post-Paleogene sediments. A Paleocene age for this putative assemblage is indicated by the presence of Reticulophragmiun garcilassoi (Frizzell, 1943), a Paleocene index fossil, and by its association with the Cretaceous-Paleocene Ammodiscus pennyi Cushman and Jarvis, 1928. If taken as a coherent foraminiferal assemblage, it represents one of the few deep-sea assemblages known for West Antarctica, and the first flysch-type assemblage recognized for the Antarctic Cenozoic. In addition, it would show that the Paleocene foraminiferal communities of the West Antarctica's deep-sea floor were more like their Pacific counterparts than their Atlantic equivalents.</t>
  </si>
  <si>
    <t>[Badaro, Victor C. S.; Petri, Setembrino] Univ Sao Paulo, Inst Geociencias, Rua Lago 562, BR-05508080 Sao Paulo, Brazil</t>
  </si>
  <si>
    <t>Universidade de Sao Paulo</t>
  </si>
  <si>
    <t>Badaro, VCS (corresponding author), Univ Sao Paulo, Inst Geociencias, Rua Lago 562, BR-05508080 Sao Paulo, Brazil.</t>
  </si>
  <si>
    <t>vcsbadaro@gmail.com; spetri@usp.br</t>
  </si>
  <si>
    <t>Soficier Badaro, Victor Cezar/0000-0003-4200-0482</t>
  </si>
  <si>
    <t>CNPq [5570362009-7]; CAPES [1267397]</t>
  </si>
  <si>
    <t>CNPq(Conselho Nacional de Desenvolvimento Cientifico e Tecnologico (CNPQ)); CAPES(Coordenacao de Aperfeicoamento de Pessoal de Nivel Superior (CAPES))</t>
  </si>
  <si>
    <t>Samples were made available by the late A. C. Rocha Campos, who supervised their collecting on Seymour Island, and by W. Duleba, who was responsible for them during the time that they were stored in her laboratory. Two anonymous reviewers provided valuable suggestions and important corrections for an earlier version of our manuscript. Funding was provided by CNPq (grant no. 5570362009-7) and CAPES (grant no. 1267397).</t>
  </si>
  <si>
    <t>0022-3360</t>
  </si>
  <si>
    <t>1937-2337</t>
  </si>
  <si>
    <t>J PALEONTOL</t>
  </si>
  <si>
    <t>J. Paleontol.</t>
  </si>
  <si>
    <t>10.1017/jpa.2021.120</t>
  </si>
  <si>
    <t>1C0MR</t>
  </si>
  <si>
    <t>WOS:000748881600001</t>
  </si>
  <si>
    <t>Morales, NA; Coghlan, AR; Easton, EE; Friedlander, AM; Herlan, J; Gaymer, CF</t>
  </si>
  <si>
    <t>Morales, Naiti A.; Coghlan, Amy Rose; Easton, Erin E.; Friedlander, Alan M.; Herlan, James; Gaymer, Carlos F.</t>
  </si>
  <si>
    <t>Now you see me: first records of the greater amberjack Seriola dumerili at Rapa Nui range extension or increased scientific effort?</t>
  </si>
  <si>
    <t>JOURNAL OF FISH BIOLOGY</t>
  </si>
  <si>
    <t>Almaco jack; historical range limits; ocean warming; species redistributions; traditional ecological knowledge; understudied areas</t>
  </si>
  <si>
    <t>TRADITIONAL ECOLOGICAL KNOWLEDGE; NINO SOUTHERN-OSCILLATION; EASTER-ISLAND; EL-NINO; FISH FAUNA; CLIMATE-CHANGE; MARINE; SHIFTS; MANAGEMENT; CONSERVATION</t>
  </si>
  <si>
    <t>We report new records of the fisheries-harvested subtropical greater amberjack Seriola dumerili for the south-east Pacific Ocean. Despite local fishers' asserting that three Seriola morphotypes exist in the region, only one species (the yellowtail amberjack Seriola lalandi) was previously scientifically recorded for Rapa Nui (also known as Easter Island). Whilst we present the first scientific record, S. dumerili, traditional ecological knowledge suggests that this is likely a pre-existing (albeit transient) species of the Rapa Nui ecoregion. Establishing the existing/historic distributional limits of commercially and ecologically valuable species is key for observing climate-driven distribution shifts, and the inclusion of traditional ecological knowledge is particularly important in areas with relatively lower scientific effort.</t>
  </si>
  <si>
    <t>[Morales, Naiti A.; Easton, Erin E.; Friedlander, Alan M.; Herlan, James; Gaymer, Carlos F.] Millennium Nucleus Ecol &amp; Sustainable Management, Coquimbo 1780000, Chile; [Morales, Naiti A.; Gaymer, Carlos F.] Univ Catolica Norte, Dept Biol Marina, Coquimbo, Chile; [Morales, Naiti A.] Univ Valparaiso, Lab Biol &amp; Conservac Condrictios, Chondrolab, Valparaiso, Chile; [Coghlan, Amy Rose] Univ Tasmania, Inst Marine &amp; Antarctic Studies, Hobart, Tas, Australia; [Easton, Erin E.] Univ Texas Rio Grande Valley, Sch Earth Environm &amp; Marine Sci, Brownsville, TX USA; [Friedlander, Alan M.] Univ Hawaii, Hawaii Inst Marine Biol, Kaneohe, HI USA; [Friedlander, Alan M.] Natl Geog Soc, Pristine Seas, Washington, DC USA; [Herlan, James] CUNY, Coll Staten Isl, Dept Biol, New York, NY 10021 USA; [Gaymer, Carlos F.] Ctr Estudios Avanzados Zonas Aridas CEAZA, Coquimbo, Chile</t>
  </si>
  <si>
    <t>Universidad Catolica del Norte; Universidad de Valparaiso; University of Tasmania; University of Texas System; University of Texas Rio Grande Valley; University of Hawaii System; National Geographic Society; City University of New York (CUNY) System; College of Staten Island (CUNY)</t>
  </si>
  <si>
    <t>Morales, NA (corresponding author), Millennium Nucleus Ecol &amp; Sustainable Management, Coquimbo 1780000, Chile.</t>
  </si>
  <si>
    <t>naiti.morales@gmail.com</t>
  </si>
  <si>
    <t>Morales, Naiti/KEH-1169-2024</t>
  </si>
  <si>
    <t>Gaymer, Carlos F./0000-0003-4395-9505; Coghlan, Amy Rose/0000-0001-7485-885X; Morales, Naiti/0000-0003-1348-2056</t>
  </si>
  <si>
    <t>Chilean Millenium Iniciative (ESMOI); CONICYT Ph.D Schoolarship [21151143]</t>
  </si>
  <si>
    <t>Chilean Millenium Iniciative (ESMOI); CONICYT Ph.D Schoolarship</t>
  </si>
  <si>
    <t>Chilean Millenium Iniciative (ESMOI); CONICYT Ph.D Schoolarship, Grant/Award Number: 21151143</t>
  </si>
  <si>
    <t>0022-1112</t>
  </si>
  <si>
    <t>1095-8649</t>
  </si>
  <si>
    <t>J FISH BIOL</t>
  </si>
  <si>
    <t>J. Fish Biol.</t>
  </si>
  <si>
    <t>10.1111/jfb.14983</t>
  </si>
  <si>
    <t>Fisheries; Marine &amp; Freshwater Biology</t>
  </si>
  <si>
    <t>ZZ0QT</t>
  </si>
  <si>
    <t>WOS:000747303500001</t>
  </si>
  <si>
    <t>Dodds, KC; Schaefer, N; Bishop, MJ; Nakagawa, S; Brooks, PR; Knights, AM; Strain, EMA</t>
  </si>
  <si>
    <t>Dodds, Kate C.; Schaefer, Nina; Bishop, Melanie J.; Nakagawa, Shinichi; Brooks, Paul R.; Knights, Antony M.; Strain, Elisabeth M. A.</t>
  </si>
  <si>
    <t>Material type influences the abundance but not richness of colonising organisms on marine structures</t>
  </si>
  <si>
    <t>Artificial structures; Colonisation; Eco-engineering; Marine construction; Meta-analysis; Multifunctional design</t>
  </si>
  <si>
    <t>INTERTIDAL BIODIVERSITY; COASTAL INFRASTRUCTURE; INVERTEBRATE LARVAE; OCEAN SPRAWL; SETTLEMENT; RECRUITMENT; ESTABLISHMENT; OPPORTUNITIES; FACILITATION; METAANALYSIS</t>
  </si>
  <si>
    <t>Urbanisation of coastal areas and growth in the blue economy drive the proliferation of artificial structures in marine environments. These structures support distinct ecological communities compared to natural hard substrates, potentially reflecting differences in the materials from which they are constructed. We undertook a meta-analysis of 46 studies to compare the effects of different material types (natural or eco-friendly vs. artificial) on the colonising biota on built structures. Neither the abundance nor richness of colonists displayed consistent patterns of difference between artificial and natural substrates or between eco-friendly and standard concrete. Instead, there were differences in the abundance of organisms (but not richness) between artificial and natural materials, that varied according to material type and by functional group. When compared to biogenic materials and rock, polymer and metal supported significantly lower abundances of total benthic species (in studies assessing sessile and mobile species together), sessile invertebrates and corals (in studies assessing these groups individually). In contrast, non-indigenous species were significantly more abundant on wood than metal. Concrete supported greater abundances of the general community, including habitat-forming species, compared to wood. Our results suggest that the ecological requirements of the biological community, alongside economic, logistic and engineering factors should be considered in material selection for multifunctional marine structures that deliver both engineering and ecological (enhanced abundance and diversity) benefits.</t>
  </si>
  <si>
    <t>[Dodds, Kate C.; Bishop, Melanie J.] Macquarie Univ, Dept Biol Sci, N Ryde, NSW 2109, Australia; [Schaefer, Nina] Sydney Inst Marine Sci, Bldg 19 Chowder Bay Rd, Mosman, NSW 2088, Australia; [Schaefer, Nina] Macquarie Univ, Dept Earth &amp; Environm Sci, N Ryde, NSW 2109, Australia; [Nakagawa, Shinichi] Univ New South Wales, Sch Biol Earth &amp; Environm Sci, Sydney, NSW 2052, Australia; [Brooks, Paul R.] Univ Coll Dublin, Earth Inst, Dublin, Ireland; [Brooks, Paul R.] Univ Coll Dublin, Sch Biol &amp; Environm Sci, Dublin, Ireland; [Knights, Antony M.] Univ Plymouth, Sch Biol &amp; Marine Sci, Plymouth PL4 8AA, Devon, England; [Strain, Elisabeth M. A.] Univ Tasmania, Inst Marine &amp; Antarctic Studies, Hobart, Tas 7001, Australia; [Strain, Elisabeth M. A.] Univ Tasmania, Ctr Marine Socioecol, Hobart, Tas 7053, Australia</t>
  </si>
  <si>
    <t>Macquarie University; Sydney Institute of Marine Science; Macquarie University; University of New South Wales Sydney; University College Dublin; University College Dublin; University of Plymouth; University of Tasmania; University of Tasmania</t>
  </si>
  <si>
    <t>Dodds, KC (corresponding author), Macquarie Univ, Dept Biol Sci, N Ryde, NSW 2109, Australia.</t>
  </si>
  <si>
    <t>kate.dodds@mq.edu.au</t>
  </si>
  <si>
    <t>Schaefer, Nina/AAK-4010-2020; Strain, Elisabeth/U-3520-2017; Nakagawa, Shinichi/B-5571-2011</t>
  </si>
  <si>
    <t>Schaefer, Nina/0000-0001-6761-841X; Nakagawa, Shinichi/0000-0002-7765-5182; Knights, Antony/0000-0002-0916-3469; Bishop, Melanie/0000-0001-8210-6500; Dodds, Kate/0000-0003-4150-5593</t>
  </si>
  <si>
    <t>iMQRES PhD Scholarship through the Department of Biological Sciences Macquarie University; Department of Agriculture, Water and Environment's Biosecurity Innovation Program; Ian Potter Foundation; Harding Miller Foundation; New South Wales Government Office of Science and Research; UK Natural Environment Research Council (NERC) INSITE Programme Grant DREAMS [NE/T010835/1]; NERC [NE/T010835/1] Funding Source: UKRI</t>
  </si>
  <si>
    <t>iMQRES PhD Scholarship through the Department of Biological Sciences Macquarie University; Department of Agriculture, Water and Environment's Biosecurity Innovation Program; Ian Potter Foundation; Harding Miller Foundation; New South Wales Government Office of Science and Research; UK Natural Environment Research Council (NERC) INSITE Programme Grant DREAMS(UK Research &amp; Innovation (UKRI)Natural Environment Research Council (NERC)); NERC(UK Research &amp; Innovation (UKRI)Natural Environment Research Council (NERC))</t>
  </si>
  <si>
    <t>Ido Sella for useful comments on earlier drafts. Shimrit Perkol-Finkel and Karen Raubenheimer assisted with the initial literature search and data extraction. Liam Agnew, Maddy Whitton, Lucie Maillet, Albertine Guiton, Jennifer Coughlan and Elisa Biaggi assisted with subsequent data extraction and curation. KD was supported by an iMQRES PhD Scholarship awarded through the Department of Biological Sciences Macquarie University. NS was supported by the Department of Agriculture, Water and Environment's Biosecurity Innovation Program. ES was supported by The Ian Potter Foundation, Harding Miller Foundation, and The New South Wales Government Office of Science and Research. This work was in part financed by the UK Natural Environment Research Council (NERC) INSITE Programme Grant DREAMS (Grant reference NE/T010835/1) awarded to AK.</t>
  </si>
  <si>
    <t>APR 1</t>
  </si>
  <si>
    <t>10.1016/j.jenvman.2022.114549</t>
  </si>
  <si>
    <t>0P8RQ</t>
  </si>
  <si>
    <t>WOS:000784496500004</t>
  </si>
  <si>
    <t>Yick, JL; Travers, T</t>
  </si>
  <si>
    <t>Yick, Jonah L.; Travers, Toby</t>
  </si>
  <si>
    <t>The ingestion of large plastics by recreationally caught southern bluefin tuna Thunnus maccoyii off southern Australia</t>
  </si>
  <si>
    <t>Tasmania; Plastic; Pollution; Marine litter; Southern bluefin tuna; Victoria</t>
  </si>
  <si>
    <t>DEBRIS; FISH; SEA</t>
  </si>
  <si>
    <t>The occurrence of plastic ingestion by fish is increasing around the world, however there are currently very few studies focusing on the ingestion of macro (&gt;20 mm) and mega (&gt;100 mm) plastics in pelagic predatory fish, particularly in Australian waters. Further to this, information on plastic ingestion in recreationally caught fish is deficient. We report on two cases of macroplastic ingestion and another case of megaplastic ingestion by southern bluefin tuna Thunnus maccoyii (Castelnau, 1872), caught recreationally in Tasmania and Victoria. The plastics ingested ranged from 62 to 283 mm. Despite the large obstructive shapes of the pieces of plastic, all three specimens possessed a healthy body mass, with one actively feeding at the time of capture. These preliminary records contribute to the limited information on the effects of plastic pollution on high value recreationally and commercially important pelagic fish in Australia.</t>
  </si>
  <si>
    <t>[Yick, Jonah L.] Inland Fisheries Serv, POB 575, New Norfolk, Tas 7140, Australia; [Travers, Toby] Univ Tasmania, Inst Marine &amp; Antarctic Studies, Private Bag 49, Hobart, Tas 7001, Australia; [Travers, Toby] Australian Antarctic Div, 203 Channel Highway, Kingston, Tas 7050, Australia</t>
  </si>
  <si>
    <t>University of Tasmania; Australian Antarctic Division</t>
  </si>
  <si>
    <t>Yick, JL (corresponding author), Inland Fisheries Serv, POB 575, New Norfolk, Tas 7140, Australia.</t>
  </si>
  <si>
    <t>jonah.yick@ifs.tas.gov.au; toby.travers@utas.edu.au</t>
  </si>
  <si>
    <t>Yick, Jonah/0000-0001-5464-0458</t>
  </si>
  <si>
    <t>10.1016/j.marpolbul.2022.113332</t>
  </si>
  <si>
    <t>YQ0ET</t>
  </si>
  <si>
    <t>WOS:000748992700009</t>
  </si>
  <si>
    <t>Richter, O; Gwyther, DE; Galton-Fenzi, BK; Naughten, KA</t>
  </si>
  <si>
    <t>Richter, Ole; Gwyther, David E.; Galton-Fenzi, Benjamin K.; Naughten, Kaitlin A.</t>
  </si>
  <si>
    <t>The Whole Antarctic Ocean Model (WAOM v1.0): development and evaluation</t>
  </si>
  <si>
    <t>CIRCUMPOLAR DEEP-WATER; PINE ISLAND GLACIER; ICE SHELF CAVITY; BASAL MELT RATES; AMUNDSEN SEA EMBAYMENT; CONTINENTAL-SHELF; SOUTHERN-OCEAN; HEAT-TRANSPORT; SYSTEM ROMS; WEDDELL SEA</t>
  </si>
  <si>
    <t>The Regional Ocean Modeling System (ROMS), including an ice shelf component, has been applied on a circum-Antarctic domain to derive estimates of ice shelf basal melting. Significant improvements made compared to previous models of this scale are the inclusion of tides and a horizontal spatial resolution of 2 km, which is sufficient to resolve on-shelf heat transport by bathymetric troughs and eddy-scale circulation. We run the model with ocean-atmosphere-sea ice conditions from the year 2007 to represent nominal present-day climate. We force the ocean surface with buoyancy fluxes derived from sea ice concentration observations and wind stress from ERA-Interim atmospheric reanalysis. Boundary conditions are derived from the ECCO2 ocean state estimate; tides are incorporated as sea surface height and barotropic currents at the open boundary. We evaluate model results using satellite-derived estimates of ice shelf melting and established compilations of ocean hydrography. The Whole Antarctic Ocean Model (WAOM v1.0) qualitatively captures the broad scale difference between warm and cold regimes as well as many of the known characteristics of regional ice-ocean interaction. We identify a cold bias for some warm-water ice shelves and a lack of high-salinity shelf water (HSSW) formation. We conclude that further calibration and development of our approach are justified. At its current state, the model is ideal for addressing specific, process-oriented questions, e.g. related to tide-driven ice shelf melting at large scales.</t>
  </si>
  <si>
    <t>[Richter, Ole; Gwyther, David E.] Univ Tasmania, Inst Marine &amp; Antarctic Studies, Private Bag 129, Hobart, Tas 7001, Australia; [Richter, Ole] Univ Tasmania, Sch Technol Environm &amp; Design, Geog &amp; Spatial Sci, Hobart, Tas 7001, Australia; [Gwyther, David E.] Univ New South Wales, Sch Math &amp; Stat, Coastal &amp; Reg Oceanog Lab, Sydney, NSW 2052, Australia; [Galton-Fenzi, Benjamin K.] Australian Antarctic Div, Kingston, Tas 7050, Australia; [Naughten, Kaitlin A.] British Antarctic Survey, Madingley Rd, Cambridge CB3 0ET, England; [Galton-Fenzi, Benjamin K.] Univ Tasmania, Inst Marine &amp; Antarctic Studies, Australian Antarctic Program Partnership, Hobart, Tas, Australia; [Galton-Fenzi, Benjamin K.] Univ Tasmania, Australian Ctr Excellence Antarctic Sci, Hobart, Tas, Australia; [Richter, Ole] Alfred Wegener Inst, POB 120161, D-27515 Bremerhaven, Germany</t>
  </si>
  <si>
    <t>University of Tasmania; University of Tasmania; University of New South Wales Sydney; Australian Antarctic Division; UK Research &amp; Innovation (UKRI); Natural Environment Research Council (NERC); NERC British Antarctic Survey; University of Tasmania; University of Tasmania; Helmholtz Association; Alfred Wegener Institute, Helmholtz Centre for Polar &amp; Marine Research</t>
  </si>
  <si>
    <t>Richter, O (corresponding author), Univ Tasmania, Inst Marine &amp; Antarctic Studies, Private Bag 129, Hobart, Tas 7001, Australia.;Richter, O (corresponding author), Univ Tasmania, Sch Technol Environm &amp; Design, Geog &amp; Spatial Sci, Hobart, Tas 7001, Australia.;Richter, O (corresponding author), Alfred Wegener Inst, POB 120161, D-27515 Bremerhaven, Germany.</t>
  </si>
  <si>
    <t>ole.richter@utas.edu.au</t>
  </si>
  <si>
    <t>Gwyther, David E/Q-2987-2018</t>
  </si>
  <si>
    <t>Gwyther, David E/0000-0002-7218-2785; Naughten, Kaitlin/0000-0001-9475-9162; Galton-Fenzi, Benjamin Keith/0000-0003-1404-4103</t>
  </si>
  <si>
    <t>Australian Government; Australian Research Council's Special Research Initiative for the Antarctic Gateway Partnership [SRI40300001]; Australian Research Council's Special Research Initiative for Antarctic Gateway Partnership [SR140300001]; NERC [bas0100033] Funding Source: UKRI</t>
  </si>
  <si>
    <t>Australian Government(Australian Government); Australian Research Council's Special Research Initiative for the Antarctic Gateway Partnership(Australian Research Council); Australian Research Council's Special Research Initiative for Antarctic Gateway Partnership(Australian Research Council); NERC(UK Research &amp; Innovation (UKRI)Natural Environment Research Council (NERC))</t>
  </si>
  <si>
    <t>This research was supported by scholarships from the Australian Government and the Australian Research Council's Special Research Initiative for the Antarctic Gateway Partnership SRI40300001. Computational resources were provided by the NCI National Facility at the Australian National University through awards under the Merit Allocation Scheme. This research has been supported by scholarships from the Australian Government and the Australian Research Council's Special Research Initiative for Antarctic Gateway Partnership (project ID SR140300001). Computational resources were provided by the NCI National Facility at the Australian National University through awards under the Merit Allocation Scheme.</t>
  </si>
  <si>
    <t>JAN 26</t>
  </si>
  <si>
    <t>10.5194/gmd-15-617-2022</t>
  </si>
  <si>
    <t>YT2DK</t>
  </si>
  <si>
    <t>WOS:000751175900001</t>
  </si>
  <si>
    <t>Arce, F; Hindell, MA; McMahon, CR; Wotherspoon, SJ; Guinet, C; Harcourt, RG; Bestley, S</t>
  </si>
  <si>
    <t>Arce, Fernando; Hindell, Mark A.; McMahon, Clive R.; Wotherspoon, Simon J.; Guinet, Christophe; Harcourt, Robert G.; Bestley, Sophie</t>
  </si>
  <si>
    <t>Elephant seal foraging success is enhanced in Antarctic coastal polynyas</t>
  </si>
  <si>
    <t>PROCEEDINGS OF THE ROYAL SOCIETY B-BIOLOGICAL SCIENCES</t>
  </si>
  <si>
    <t>Mirounga leonina; body condition; drift rates; Southern Ocean; post-polynyas; foraging behaviour</t>
  </si>
  <si>
    <t>MIROUNGA-LEONINA; SOUTHERN-OCEAN; ICE PRODUCTION; WINTER; BUOYANCY; BEHAVIOR; PRODUCTIVITY; VARIABILITY; VALIDATION; TILETAMINE</t>
  </si>
  <si>
    <t>Antarctic polynyas are persistent open water areas which enable early and large seasonal phytoplankton blooms. This high primary productivity, boosted by iron supply from coastal glaciers, attracts organisms from all trophic levels to form a rich and diverse community. How the ecological benefit of polynya productivity is translated to the highest trophic levels remains poorly resolved. We studied 119 southern elephant seals feeding over the Antarctic shelf and demonstrated that: (i) 96% of seals foraging here used polynyas, with individuals spending on average 62% of their time there; (ii) the seals exhibited more area-restricted search behaviour when in polynyas; and (iii) these seals gained more energy (indicated by increased buoyancy from greater fat stores) when inside polynyas. This higher-quality foraging existed even when ice was not present in the study area, indicating that these are important and predictable foraging grounds year-round. Despite these energetic advantages from using polynyas, not all the seals used them extensively. Factors other than food supply may influence an individual's choice in their use of feeding grounds, such as exposure to predation or the probability of being able to return to distant sub-Antarctic breeding sites.</t>
  </si>
  <si>
    <t>[Arce, Fernando; Hindell, Mark A.; McMahon, Clive R.; Wotherspoon, Simon J.; Bestley, Sophie] Univ Tasmania, Inst Marine &amp; Antarctic Studies, Private Bag 129, Hobart, Tas 7001, Australia; [Arce, Fernando; Wotherspoon, Simon J.] Australian Antarctic Div, 203 Channel Highway, Kingston, Tas 7050, Australia; [McMahon, Clive R.] Sydney Inst Marine Sci, IMOS Anim Tagging, Mosman, NSW 2088, Australia; [Guinet, Christophe] CNRS, Ctr Etud Biol Chize, F-79360 Villiers En Bois, France; [McMahon, Clive R.; Harcourt, Robert G.] Macquarie Univ, Dept Biol Sci, N Ryde, NSW 2113, Australia</t>
  </si>
  <si>
    <t>University of Tasmania; Australian Antarctic Division; Sydney Institute of Marine Science; Centre National de la Recherche Scientifique (CNRS); Macquarie University</t>
  </si>
  <si>
    <t>Bestley, S (corresponding author), Univ Tasmania, Inst Marine &amp; Antarctic Studies, Private Bag 129, Hobart, Tas 7001, Australia.</t>
  </si>
  <si>
    <t>sophie.bestley@utas.edu.au</t>
  </si>
  <si>
    <t>McMahon, Clive R/D-5713-2013; Hindell, Mark A/K-1131-2013; Bestley, Sophie/E-9521-2013</t>
  </si>
  <si>
    <t>McMahon, Clive R/0000-0001-5241-8917; Wotherspoon, Simon/0000-0002-6947-4445; Arce, Fernando/0000-0002-7622-3791; Hindell, Mark/0000-0002-7823-7185; Bestley, Sophie/0000-0001-9342-669X; Harcourt, Robert/0000-0003-4666-2934; GUINET, Christophe/0000-0003-2481-6947</t>
  </si>
  <si>
    <t>IPEV programme [109, 1201]; SNO-MEMO (PI C. Guinet); Australian Integrated Marine Observing System (IMOS); CNES-TOSCA; IMOS; Australian Government; University of Tasmania; Australian Research Council Discovery Project [DP180101667]; Australian Antarctic Division; Australian Research Council Discovery Early Career Researcher Award (DECRA) [DE180100828]; Comite d'ethique Anses/ENVA/UPEC [APAFiS: 21375]; Australian Antarctic Animal Ethics Committee [AAS 2265, AAS 2794]</t>
  </si>
  <si>
    <t>IPEV programme; SNO-MEMO (PI C. Guinet); Australian Integrated Marine Observing System (IMOS); CNES-TOSCA; IMOS; Australian Government(Australian Government); University of Tasmania; Australian Research Council Discovery Project(Australian Research Council); Australian Antarctic Division; Australian Research Council Discovery Early Career Researcher Award (DECRA)(Australian Research Council); Comite d'ethique Anses/ENVA/UPEC; Australian Antarctic Animal Ethics Committee</t>
  </si>
  <si>
    <t>Fieldwork at Iles Kerguelen was conducted as part of the IPEV programme no. 109 (PI H. Weimerskirch) and 1201 (CycleEleph, PI C. Gilbert) and of the SNO-MEMO (PI C. Guinet) in collaboration with the Australian Integrated Marine Observing System (IMOS). CTD tags were funded by CNES-TOSCA and IMOS. IMOS is a national collaborative research infrastructure, supported by the Australian Government and operated by a consortium of institutions as an unincorporated joint venture, with the University of Tasmania as Lead Agent. This research contributes to the Australian Research Council Discovery Project. DP180101667. F.A. is recipient of a Tasmania Graduate Research Scholarship provided by the University of Tasmania, and an Elite Research Top-up co-funded under the Quantitative Antarctic Science program by the University of Tasmania and the Australian Antarctic Division. S.B. was supported by an Australian Research Council Discovery Early Career Researcher Award (DECRA, project number DE180100828) funded by the Australian Government. All tagging procedures approved and executed under University of Tasmania Animal Ethics Committee guidelines and the Comite d'ethique Anses/ENVA/UPEC (no. APAFiS: 21375). The Australian Antarctic Division supported the Antarctic field research under ethics approval from the Australian Antarctic Animal Ethics Committee (grant nos. AAS 2265 and AAS 2794).</t>
  </si>
  <si>
    <t>0962-8452</t>
  </si>
  <si>
    <t>1471-2954</t>
  </si>
  <si>
    <t>P ROY SOC B-BIOL SCI</t>
  </si>
  <si>
    <t>Proc. R. Soc. B-Biol. Sci.</t>
  </si>
  <si>
    <t>10.1098/rspb.2021.2452</t>
  </si>
  <si>
    <t>Biology; Ecology; Evolutionary Biology</t>
  </si>
  <si>
    <t>Life Sciences &amp; Biomedicine - Other Topics; Environmental Sciences &amp; Ecology; Evolutionary Biology</t>
  </si>
  <si>
    <t>YM8GE</t>
  </si>
  <si>
    <t>WOS:000746806400015</t>
  </si>
  <si>
    <t>Dornan, T; Fielding, S; Saunders, RA; Genner, MJ</t>
  </si>
  <si>
    <t>Dornan, Tracey; Fielding, Sophie; Saunders, Ryan A.; Genner, Martin J.</t>
  </si>
  <si>
    <t>Large mesopelagic fish biomass in the Southern Ocean resolved by acoustic properties</t>
  </si>
  <si>
    <t>mesopelagic fish; Southern Ocean; biomass; acoustics; target strength</t>
  </si>
  <si>
    <t>TARGET-STRENGTH; KING PENGUINS; ANTARCTIC KRILL; IN-SITU; HABITAT; SCATTERING; SWIMBLADDER; TEMPERATURE; RESONANCE; PATTERNS</t>
  </si>
  <si>
    <t>The oceanic mesopelagic zone, 200-1000 m below sea level, holds abundant small fishes that play central roles in ecosystem function. Global mesopelagic fish biomass estimates are increasingly derived using active acoustics, where echosounder-generated signals are emitted, reflected by pelagic organisms and detected by transducers on vessels. Previous studies have interpreted a ubiquitous decline in acoustic reflectance towards the Antarctic continent as a reduction in mesopelagic fish biomass. Here, we use empirical data to estimate species-specific acoustic target strength for the dominant mesopelagic fish of the Scotia Sea in the Southern Ocean. We use these data, alongside estimates of fish relative abundance from net surveys, to interpret signals received in acoustic surveys and calculate mesopelagic biomass of the broader Southern Ocean. We estimate the Southern Ocean mesopelagic fish biomass to be approximately 274 million tonnes if Antarctic krill contribute to the acoustic signal, or 570 million tonnes if mesopelagic fish alone are responsible. These quantities are approximately 1.8 and 3.8 times greater than previous net-based biomass estimates. We also show a peak in fish biomass towards the seasonal ice-edge, corresponding to the preferred feeding grounds of penguins and seals, which may be at risk under future climate change scenarios. Our study provides new insights into the abundance and distributions of ecologically significant mesopelagic fish stocks across the Southern Ocean ecosystem.</t>
  </si>
  <si>
    <t>[Dornan, Tracey; Fielding, Sophie; Saunders, Ryan A.] British Antarctic Survey, Madingley Rd, Cambridge CB3 0ET, England; [Dornan, Tracey; Genner, Martin J.] Univ Bristol, Sch Biol Sci, Life Sci Bldg,24 Tyndall Ave, Bristol BS8 1TQ, Avon, England</t>
  </si>
  <si>
    <t>UK Research &amp; Innovation (UKRI); Natural Environment Research Council (NERC); NERC British Antarctic Survey; University of Bristol</t>
  </si>
  <si>
    <t>Dornan, T (corresponding author), British Antarctic Survey, Madingley Rd, Cambridge CB3 0ET, England.;Dornan, T (corresponding author), Univ Bristol, Sch Biol Sci, Life Sci Bldg,24 Tyndall Ave, Bristol BS8 1TQ, Avon, England.</t>
  </si>
  <si>
    <t>tarna70@bas.ac.uk</t>
  </si>
  <si>
    <t>Fielding, Sophie/E-5137-2012</t>
  </si>
  <si>
    <t>Dornan, Tracey/0000-0001-8265-286X</t>
  </si>
  <si>
    <t>Ecosystems Programme at the British Antarctic Survey, Natural Environment Research Council, a part of UK Research and Innovation; NERC GW4+ Doctoral Training Partnership award [NE/L002434/1]; European H2020 International Cooperation project MESOPP (Mesopelagic Southern Ocean Prey and Predators)</t>
  </si>
  <si>
    <t>Ecosystems Programme at the British Antarctic Survey, Natural Environment Research Council, a part of UK Research and Innovation; NERC GW4+ Doctoral Training Partnership award; European H2020 International Cooperation project MESOPP (Mesopelagic Southern Ocean Prey and Predators)</t>
  </si>
  <si>
    <t>The scientific cruises (the Polar Ocean Ecosystem Time Series-Western Core Box), T.D., R.A.S. and S.F. are funded as part of the Ecosystems Programme at the British Antarctic Survey, Natural Environment Research Council, a part of UK Research and Innovation. T.D. was also supported by a NERC GW4+ Doctoral Training Partnership award NE/L002434/1. Stewardship of the acoustic data received support from the European H2020 International Cooperation project MESOPP (Mesopelagic Southern Ocean Prey and Predators, www.mesopp.eu).</t>
  </si>
  <si>
    <t>10.1098/rspb.2021.1781</t>
  </si>
  <si>
    <t>WOS:000746806400001</t>
  </si>
  <si>
    <t>Schächinger, PM; Schrödl, M; Wilson, NG; Moles, J</t>
  </si>
  <si>
    <t>Schaechinger, Peter M.; Schroedl, Michael; Wilson, Nerida G.; Moles, Juan</t>
  </si>
  <si>
    <t>Crossing the polar front-Antarctic species discovery in the nudibranch genus Tritoniella (Gastropoda)</t>
  </si>
  <si>
    <t>ORGANISMS DIVERSITY &amp; EVOLUTION</t>
  </si>
  <si>
    <t>Mollusca; Scotia Arc; Southern Ocean; Species discovery; Taxonomy; Tritoniidae</t>
  </si>
  <si>
    <t>CRYPTIC SPECIATION; OCEAN BARRIERS; SOUTHERN-OCEAN; SEA; LINEAGES; HETEROBRANCHIA; BIODIVERSITY; DIVERSITY; ORIGIN; SNAILS</t>
  </si>
  <si>
    <t>Tritoniella belli is the only valid species of a nudibranch genus endemic to the Southern Ocean. Recent exhaustive sampling and molecular analyses led to the discovery of several new lineages. A total of 69 specimens were collected from 25 sites across the Weddell and Scotia Seas, from 5 to 751 m depth. In this study, we provide morphological and anatomical characters to describe five new Tritoniella species, namely T. gnocchi n. sp., T. prinzess n. sp., T. gnathodentata n. sp., T. schoriesi n. sp., T. heideae n. sp. Detailed descriptions of colouration, external morphology, digestive and reproductive organs, distribution, and ecology are presented in a systematic context. These are compared to the type material from the Ross Sea of T. belli and its synonym T. sinuata, whose status requires additional sampling to be solved. Discrete differences in external characters, including the shape of dorsal notum ridge and mantle edges, support the species hypotheses delimited by Moles, Berning et al. (2021). Moreover, detailed scanning electron microscopy images of the masticatory border of the jaws, radula teeth, and penial papilla were provided and their differences discussed. The gut content of all species revealed sclerites of Primnoidae gorgonians as their preferred prey. Pseudo-cryptic radiations along the Scotia Arc, explained by the combination of distribution reduction due to glacial cycles and the existence of refugia, and enhanced by their direct development, could explain the allopatric speciation events in Tritoniella species.</t>
  </si>
  <si>
    <t>[Schaechinger, Peter M.; Schroedl, Michael; Moles, Juan] SNSB Bavarian State Collect Zool, Sect Mollusca, Munchhausenstr 21, D-81247 Munich, Germany; [Schaechinger, Peter M.; Schroedl, Michael] Ludwig Maximilians Univ Munchen, Dept Biol 2, Grosshaderner Str 2, D-82152 Planegg Martinsried, Germany; [Schroedl, Michael] Ludwig Maximilians Univ Munchen, GeoBio Ctr, Richard Wagner Str 10, D-80333 Munich, Germany; [Wilson, Nerida G.] Western Australian Museum, Collect &amp; Res, 49 Kew St, Perth, WA 6106, Australia; [Wilson, Nerida G.] Univ Western Australia, Sch Biol Sci, 35 Stirling Hwy, Crawley, WA 6009, Australia; [Schaechinger, Peter M.] Univ Greifswald, Zool Inst &amp; Museum, AG Vogelwarte, Soldmannstr 23, D-17489 Greifswald, Germany; [Moles, Juan] Univ Barcelona, Fac Biol, Dept Evolutionary Biol Ecol &amp; Environm Sci, IRBio, Av Diagonal 643, Barcelona 08029, Spain</t>
  </si>
  <si>
    <t>University of Munich; University of Munich; Western Australian Museum; University of Western Australia; Universitat Greifswald; University of Barcelona</t>
  </si>
  <si>
    <t>Schächinger, PM (corresponding author), SNSB Bavarian State Collect Zool, Sect Mollusca, Munchhausenstr 21, D-81247 Munich, Germany.;Schächinger, PM (corresponding author), Ludwig Maximilians Univ Munchen, Dept Biol 2, Grosshaderner Str 2, D-82152 Planegg Martinsried, Germany.;Schächinger, PM (corresponding author), Univ Greifswald, Zool Inst &amp; Museum, AG Vogelwarte, Soldmannstr 23, D-17489 Greifswald, Germany.</t>
  </si>
  <si>
    <t>schaechinger_peter@hotmail.com</t>
  </si>
  <si>
    <t>Moles, Juan/H-4786-2018; Schächinger, Peter/ISS-7163-2023; Wilson, Nerida/G-8433-2011</t>
  </si>
  <si>
    <t>Moles, Juan/0000-0003-4511-4055; Schächinger, Peter/0000-0001-9811-9672; Wilson, Nerida/0000-0002-0784-0200</t>
  </si>
  <si>
    <t>Alexander von Humboldt Foundation (Germany); German Research Foundation [DFG SCHR667/3,4,15]; National Science Foundation, USA [ANT-1043749]</t>
  </si>
  <si>
    <t>Alexander von Humboldt Foundation (Germany)(Alexander von Humboldt Foundation); German Research Foundation(German Research Foundation (DFG)); National Science Foundation, USA(National Science Foundation (NSF))</t>
  </si>
  <si>
    <t>JM postdoctoral fellowship and microscopy analyses were supported by the Alexander von Humboldt Foundation (Germany). Funds for field research were provided by the German Research Foundation (DFG SCHR667/3,4,15 to MS) and National Science Foundation, USA (ANT-1043749 to NGW).</t>
  </si>
  <si>
    <t>1439-6092</t>
  </si>
  <si>
    <t>1618-1077</t>
  </si>
  <si>
    <t>ORG DIVERS EVOL</t>
  </si>
  <si>
    <t>Org. Divers. Evol.</t>
  </si>
  <si>
    <t>10.1007/s13127-022-00541-3</t>
  </si>
  <si>
    <t>Evolutionary Biology; Zoology</t>
  </si>
  <si>
    <t>1K9QF</t>
  </si>
  <si>
    <t>WOS:000747082800002</t>
  </si>
  <si>
    <t>Daponte, MC; Thompson, GA</t>
  </si>
  <si>
    <t>Daponte, Maria C.; Thompson, Gustavo A.</t>
  </si>
  <si>
    <t>Thalia longicauda (Quoy and Gaimard) from the south-western Atlantic Ocean (31°S-38°S): distribution and population structure</t>
  </si>
  <si>
    <t>JOURNAL OF PLANKTON RESEARCH</t>
  </si>
  <si>
    <t>maturity stages; Salpidae; Thalia longicauda; zooplankton</t>
  </si>
  <si>
    <t>SALPA-THOMPSONI; VERTICAL MIGRATION; IHLEA-RACOVITZAI; GROWTH-RATES; DEMOCRATICA; TUNICATA; SEA; ECOLOGY; BIOMASS; DEMOGRAPHY</t>
  </si>
  <si>
    <t>Although the salp Thalia longicauda is common in the southern hemisphere, there is little information on its biology and ecology. Our study aimed to describe the morphology of the development of solitaries and aggregates and to determine the developmental stages, length distribution and population structure of this species. Plankton samples were collected by the R/V ARA Puerto Deseado from 31 degrees 55 ' S to 38 degrees 08 ' S (October 2013). Thalia longicauda was present at 50% of the stations, ranging between 1.21 and 2970 ind. 1000 m(-3). Solitaries and aggregates represented 53.76 and 46.24%, respectively. We described the growth of the blastogenic stolon and the formation of blocks of aggregates buds. Each solitary may produce at least three blocks with a total of 36-86 aggregate buds. The relationship between total number of aggregate buds (y) and total length of the solitary (x) was y = 3.321x - 13.489. We characterized six developmental stages for solitaries and four for aggregates. The juvenile/mature ratio of solitaries and aggregates suggested that the population was actively reproducing both sexually and asexually. Based on seawater temperature and salinity data, T. longicauda may be considered as a temperate species inhabiting the southern range of subtropical waters and the northern range of sub-Antarctic waters.</t>
  </si>
  <si>
    <t>[Daponte, Maria C.] Univ Buenos Aires, Dept Biodiversidad &amp; Biol Expt, Fac Ciencias Exactas &amp; Nat, Pab 2,4To Piso,C1428EGA, Buenos Aires, Argentina; [Thompson, Gustavo A.] Univ Buenos Aires, CONICET, Inst Invest Prod Anim INPA, AV Chorroarin 280,C1427CWO,C1428EGA, Buenos Aires, DF, Argentina</t>
  </si>
  <si>
    <t>University of Buenos Aires; University of Buenos Aires; Consejo Nacional de Investigaciones Cientificas y Tecnicas (CONICET)</t>
  </si>
  <si>
    <t>Daponte, MC (corresponding author), Univ Buenos Aires, Dept Biodiversidad &amp; Biol Expt, Fac Ciencias Exactas &amp; Nat, Pab 2,4To Piso,C1428EGA, Buenos Aires, Argentina.</t>
  </si>
  <si>
    <t>daponte@bg.fcen.uba.ar</t>
  </si>
  <si>
    <t>Thompson, Gustavo/0000-0002-5511-3673</t>
  </si>
  <si>
    <t>[X073]; [01/Q617]</t>
  </si>
  <si>
    <t>;</t>
  </si>
  <si>
    <t>Universidad de buenos Aires (grants X073 and 01/Q617).</t>
  </si>
  <si>
    <t>0142-7873</t>
  </si>
  <si>
    <t>1464-3774</t>
  </si>
  <si>
    <t>J PLANKTON RES</t>
  </si>
  <si>
    <t>J. Plankton Res.</t>
  </si>
  <si>
    <t>JAN 25</t>
  </si>
  <si>
    <t>10.1093/plankt/fbab082</t>
  </si>
  <si>
    <t>ZI2NC</t>
  </si>
  <si>
    <t>WOS:000761462500010</t>
  </si>
  <si>
    <t>Pelletier, C; Fichefet, T; Goosse, H; Haubner, K; Helsen, S; Huot, PV; Kittel, C; Klein, F; Le Clec'h, S; van Lipzig, NPM; Marchi, S; Massonnet, F; Mathiot, P; Moravveji, E; Moreno-Chamarro, E; Ortega, P; Pattyn, F; Souverijns, N; Van Achter, G; Vanden Broucke, S; Vanhulle, A; Verfaillie, D; Zipf, L</t>
  </si>
  <si>
    <t>Pelletier, Charles; Fichefet, Thierry; Goosse, Hugues; Haubner, Konstanze; Helsen, Samuel; Huot, Pierre-Vincent; Kittel, Christoph; Klein, Francois; Le Clec'h, Sebastien; van Lipzig, Nicole P. M.; Marchi, Sylvain; Massonnet, Francois; Mathiot, Pierre; Moravveji, Ehsan; Moreno-Chamarro, Eduardo; Ortega, Pablo; Pattyn, Frank; Souverijns, Niels; Van Achter, Guillian; Vanden Broucke, Sam; Vanhulle, Alexander; Verfaillie, Deborah; Zipf, Lars</t>
  </si>
  <si>
    <t>PARASO, a circum-Antarctic fully coupled ice-sheet-ocean-sea-ice-atmosphere-land model involving f.ETISh1.7, NEMO3.6, LIM3.6, COSM05.0 and CLM4.5</t>
  </si>
  <si>
    <t>REGIONAL CLIMATE MODEL; FRESH-WATER DISCHARGE; PINE ISLAND GLACIER; EARTH SYSTEM MODEL; SHELF MELT RATES; SOUTHERN-OCEAN; THICKNESS DISTRIBUTION; BOUNDARY-LAYER; INTERCOMPARISON PROJECT; EXPERIMENTAL-DESIGN</t>
  </si>
  <si>
    <t>We introduce PARASO, a novel five-component fully coupled regional climate model over an Antarctic circumpolar domain covering the full Southern Ocean. The state-of-the-art models used are the fast Elementary Thermomechanical Ice Sheet model (f.ETISh) v1.7 (ice sheet), the Nucleus for European Modelling of the Ocean (NEMO) v3.6 (ocean), the Louvain-la-Neuve sea-ice model (LIM) v3.6 (sea ice), the COnsortium for Small-scale MOdeling (COSMO) model v5.0 (atmosphere) and its CLimate Mode (CLM) v4.5 (land), which are here run at a horizontal resolution close to 1/4 degrees. One key feature of this tool resides in a novel two-way coupling interface for representing ocean- ice-sheet interactions, through explicitly resolved ice-shelf cavities. The impact of atmospheric processes on the Antarctic ice sheet is also conveyed through computed COSMO-CLM-f.ETISh surface mass exchange. In this technical paper, we briefly introduce each model's configuration and document the developments that were carried out in order to establish PARASO. The new offline-based NEMO-f.ETISh coupling interface is thoroughly described. Our developments also include a new surface tiling approach to combine open-ocean and sea-ice-covered cells within COSMO, which was required to make this model relevant in the context of coupled simulations in polar regions. We present results from a 2000-2001 coupled 2-year experiment. PARASO is numerically stable and fully operational. The 2-year simulation conducted without fine tuning of the model reproduced the main expected features, although remaining systematic biases provide perspectives for further adjustment and development.</t>
  </si>
  <si>
    <t>[Pelletier, Charles; Fichefet, Thierry; Goosse, Hugues; Huot, Pierre-Vincent; Klein, Francois; Massonnet, Francois; Van Achter, Guillian; Verfaillie, Deborah] UCLouvain, Earth &amp; Life Inst ELI, Louvain La Neuve, Belgium; [Haubner, Konstanze; Pattyn, Frank; Zipf, Lars] Univ Libre Bruxelles, Lab Glaciol, Brussels, Belgium; [Helsen, Samuel; van Lipzig, Nicole P. M.; Marchi, Sylvain; Moravveji, Ehsan; Souverijns, Niels; Vanden Broucke, Sam] Katholieke Univ Leuven, Dept Earth &amp; Environm Sci, Leuven, Belgium; [Kittel, Christoph] Univ Liege, Dept Geog, Lab Climatol, SPHERES, Liege, Belgium; [Le Clec'h, Sebastien; Vanhulle, Alexander] Vrije Univ Brussel, Earth Syst Sci, Brussels, Belgium; [Le Clec'h, Sebastien; Vanhulle, Alexander] Vrije Univ Brussel, Dept Geog, Brussels, Belgium; [Mathiot, Pierre] Met Off, Exeter, Devon, England; [Mathiot, Pierre] Univ Grenoble Alpes, CNRS, IRD, IGE,G INP, Grenoble, France; [Moravveji, Ehsan] Katholieke Univ Leuven, ICTS, Leuven, Belgium; [Moreno-Chamarro, Eduardo; Ortega, Pablo] Barcelona Supercomp Ctr BSC, Barcelona, Spain; [Souverijns, Niels] Flemish Inst Technol Res VITO, Environm Modelling Unit, Mol, Belgium</t>
  </si>
  <si>
    <t>Universite Catholique Louvain; Universite Libre de Bruxelles; KU Leuven; University of Liege; Vrije Universiteit Brussel; Vrije Universiteit Brussel; Met Office - UK; Communaute Universite Grenoble Alpes; Universite Grenoble Alpes (UGA); Centre National de la Recherche Scientifique (CNRS); Institut de Recherche pour le Developpement (IRD); KU Leuven; Universitat Politecnica de Catalunya; Barcelona Supercomputer Center (BSC-CNS); VITO</t>
  </si>
  <si>
    <t>Pelletier, C (corresponding author), UCLouvain, Earth &amp; Life Inst ELI, Louvain La Neuve, Belgium.</t>
  </si>
  <si>
    <t>chrles.pelletier@protonmail.com</t>
  </si>
  <si>
    <t>Ortega, Pablo/ABE-7884-2020; van Lipzig, Nicole/ABF-2964-2021; Pattyn, Frank/AAA-9640-2019; Haubner, Konstanze/G-3627-2018</t>
  </si>
  <si>
    <t>Ortega, Pablo/0000-0002-4135-9621; van Lipzig, Nicole/0000-0003-2899-4046; Pattyn, Frank/0000-0003-4805-5636; Souverijns, Niels/0000-0003-4695-9754; Pelletier, Charles/0000-0003-2177-2694; Haubner, Konstanze/0000-0002-6243-9268</t>
  </si>
  <si>
    <t>PARAMOUR project, Decadal predictability and variability of polarclimate: the role of atmosphere-ocean-cryosphere multiscale interactions; Fonds de la Recherche Scientifique - FNRS; FWO under the Excellence of Science (EOS) program [O0100718F, 30454083]; Research Foundation - Flanders (FWO); Flemish Government; Fond de la Recherche Scientifique de Belgique (F.R.S.-FNRS) [2.5020.11]; Walloon region; JWCRP Joint Marine Modelling Programme</t>
  </si>
  <si>
    <t>PARAMOUR project, Decadal predictability and variability of polarclimate: the role of atmosphere-ocean-cryosphere multiscale interactions; Fonds de la Recherche Scientifique - FNRS(Fonds de la Recherche Scientifique - FNRS); FWO under the Excellence of Science (EOS) program; Research Foundation - Flanders (FWO)(FWO); Flemish Government; Fond de la Recherche Scientifique de Belgique (F.R.S.-FNRS)(Fonds de la Recherche Scientifique - FNRS); Walloon region; JWCRP Joint Marine Modelling Programme</t>
  </si>
  <si>
    <t>This work was supported by the PARAMOUR project, Decadal predictability and variability of polarclimate: the role of atmosphere-ocean-cryosphere multiscale interactions, supported by the Fonds de la Recherche Scientifique - FNRS and the FWO under the Excellence of Science (EOS) program (grant no. O0100718F, EOS ID no. 30454083).; The computational resources and services used in this work were provided by the VSC (Flemish Supercomputer Center), funded by the Research Foundation - Flanders (FWO) and the Flemish Government, the supercomputing facilities of the Universite catholique de Louvain (CISM/UCL) and the Consortium des Equipements de Calcul Intensif en Federation Wallonie Bruxelles (CECI), funded by the Fond de la Recherche Scientifique de Belgique (F.R.S.-FNRS) under convention 2.5020.11 and by the Walloon region.; Furthermore, the authors would like to thank Nicolas C. Jourdain (CNRS/IGE, France) for fostering fruitful discussions and providing the iceberg melt rate dataset; the JWCRP Joint Marine Modelling Programme for providing support and access to GO7 model configuration and output; Ulrich Blahak (German Meteorological Service) for his help with tuning COSMO; Pierre-Yves Barriat and Francois Damien (CISM/UCL, Belgium) for their help with Coral; and Olivier Marti for editing this paper, as well as the two anonymous referees who provided insightful comments.; The ERA5 data (Hersbach et al., 2018) were downloaded on 1 September 2019 from the Copernicus Climate Change Service (C3S) Climate Data Store. The results contain modified Copernicus Climate Change Service information from 2020. Neither the European Commission nor ECMWF is responsible for any use that may be made of the Copernicus information or data it contains. The BedMachine Antarctica data (Morlighem et al., 2020) were downloaded on 1 February 2020 from the National Snow &amp; Ice Data Center.</t>
  </si>
  <si>
    <t>10.5194/gmd-15-553-2022</t>
  </si>
  <si>
    <t>YT2CQ</t>
  </si>
  <si>
    <t>WOS:000751173900001</t>
  </si>
  <si>
    <t>Zanetta, PM; Le Guillou, C; Leroux, H; Zanda, B; Hewins, R; Bellino, G</t>
  </si>
  <si>
    <t>Zanetta, P-M; Le Guillou, C.; Leroux, H.; Zanda, B.; Hewins, R.; Bellino, G.</t>
  </si>
  <si>
    <t>Processes and temperatures of FGR formation in chondrites</t>
  </si>
  <si>
    <t>GEOCHIMICA ET COSMOCHIMICA ACTA</t>
  </si>
  <si>
    <t>Primitive chondrites; Fine-grained rims; Matrix; Amorphous silicate; Modal abundances; ACADEMY; Chondrule formation episode</t>
  </si>
  <si>
    <t>FINE-GRAINED RIMS; PROGRESSIVE AQUEOUS ALTERATION; ACCRETIONARY DUST MANTLES; PARENT BODY; CARBONACEOUS CHONDRITES; AMORPHOUS SILICATES; CHONDRULE FORMATION; MODAL MINERALOGY; SOLAR NEBULA; FAYALITIC OLIVINE</t>
  </si>
  <si>
    <t>In order to understand the nature of the dust that accreted onto chondrules in the nebula and to unravel the conditions of formation of fine grained rims (FGRs), we studied three of the least altered chondrites from different chondrite groups (LL3.00 Semarkona, CO3.0 DOM 08006, CR2.8 QUE 99177) and compared the results with our previous work on the Paris CM chondrite (Zanetta et al., 2021). For each sample, we selected representative rimmed chondrules showing minimal traces of aqueous alteration. We performed high-resolution SEM X-ray chemical mapping to obtain relevant phase abundances and grain size distributions. Four FIB sections were then extracted from each meteorite, two in the rims and two in their adjacent matrix for quantitative TEM analysis. At the microscale, texture, modal abundances and grain size differ depending on the chondrite but also between FGRs and their adjacent matrix. At the nanoscale (i.e. TEM observations), matrices of the four chondrites consist mostly of domains of amorphous silicate associated with Fe-sulfides, Fe-Ni metal, Mg-rich anhydrous silicates and an abundant porosity. The related FGRs in Semarkona (LL) and DOM 08006 (CO) exhibit more compact textures with a lower porosity while FGRs in QUE99177 (CR) are similar to the matrix in terms of porosity. In the three chondrites, FGRs are made of smooth and chemically homogeneous amorphous (or nanocrystalline) silicate with no porosity that encloses domains of porous amorphous silicate bearing Mg-rich anhydrous silicates, Fe-sulfides, Fe-oxides and sometimes metal and Fe-rich olivines. The average compositions in major elements of the amorphous regions are similar for the FGRs and the matrix within a given chondrite (but differ between chondrites). The texture and the chemical homogeneity of the smooth silicate and the fact that it encloses domains of porous amorphous silicate bearing other mineral phases similar to matrix-like material suggests a formation by condensation. Areas that are enclosed in this smooth silicate exhibit Fe-rich olivine formed through Fe interdiffusion that also suggest a thermal modification of the dust accreted to form FGRs. These characteristics indicate a transformation process for the modification of the FGR material similar to the one proposed in our previous work on Paris. We conclude that matrix and FGRs accreted a similar type of dust but FGR material was affected by thermal modification and compaction contemporary with their accretion. For each chondrite, dust accreted onto chondrules under different conditions (dust density, temperature) which led to diverse degrees of compaction/thermal modification of the sub-domains and explain the textural differences observed in FGRs. They accreted on chondrules in a warm environment related to the chondrule formation episode, whereas matrix accreted later in a cooler environment. (C) 2021 Elsevier Ltd. All rights reserved.</t>
  </si>
  <si>
    <t>[Zanetta, P-M; Le Guillou, C.; Leroux, H.; Bellino, G.] Univ Lille, UMET Unite Mat &amp; Transformat, Cent Lille, INRAE,UMR 8207,CNRS, F-59000 Lille, France; [Zanetta, P-M; Zanda, B.; Hewins, R.] Sorbonne Univ, UPMC Paris, MNHN, IMPMC,UMR CNRS 7590, F-75005 Paris, France; [Zanda, B.; Hewins, R.] Rutgers State Univ, EPS, Piscataway, NJ 08854 USA; [Zanda, B.] Observ Paris, IMCCE, F-75014 Paris, France; [Zanetta, P-M] Univ Arizona, Lunar &amp; Planetary Lab, Tucson, AZ 85721 USA</t>
  </si>
  <si>
    <t>Universite de Lille; INRAE; Centrale Lille; Centre National de la Recherche Scientifique (CNRS); CNRS - Institute of Chemistry (INC); Centre National de la Recherche Scientifique (CNRS); Institut de Recherche pour le Developpement (IRD); Sorbonne Universite; Museum National d'Histoire Naturelle (MNHN); Universite Paris Cite; Rutgers University System; Rutgers University New Brunswick; Sorbonne Universite; Universite PSL; Observatoire de Paris; University of Arizona</t>
  </si>
  <si>
    <t>Zanetta, PM (corresponding author), Univ Lille, UMET Unite Mat &amp; Transformat, Cent Lille, INRAE,UMR 8207,CNRS, F-59000 Lille, France.;Zanetta, PM (corresponding author), Sorbonne Univ, UPMC Paris, MNHN, IMPMC,UMR CNRS 7590, F-75005 Paris, France.;Zanetta, PM (corresponding author), Univ Arizona, Lunar &amp; Planetary Lab, Tucson, AZ 85721 USA.</t>
  </si>
  <si>
    <t>pierre.marie.zanetta@gmail.com</t>
  </si>
  <si>
    <t>Zanda, Brigitte/D-6787-2015; IMPMC, ROCKS @/U-8478-2017; Le Guillou, Corentin/D-4982-2013</t>
  </si>
  <si>
    <t>Zanda, Brigitte/0000-0002-4210-7151;</t>
  </si>
  <si>
    <t>Programme National de Planetologie (PNP) of CNRS/INSU; CNES; TEM-Aster project - I-SITE ULNE; MEL; Chevreul Institute; European FEDER; Region Hauts-de-France</t>
  </si>
  <si>
    <t>Programme National de Planetologie (PNP) of CNRS/INSU; CNES(Centre National D'etudes Spatiales); TEM-Aster project - I-SITE ULNE; MEL; Chevreul Institute; European FEDER(European Union (EU)); Region Hauts-de-France(Region Hauts-de-France)</t>
  </si>
  <si>
    <t>We thank the three anonymous reviewers for their constructive comments which helped to improve the manuscript as well as the associate editor Hope A. Ishii and the executive editor Jeffrey G. Catalano. This work was supported by the Programme National de Planetologie (PNP) of CNRS/INSU, co-funded by CNES and by the TEM-Aster project funded by I-SITE ULNE and the MEL. The SEM and EPMA works were done at the electron microscope facility at the University of Lille with the support of the Chevreul Institute, the European FEDER and Region Hautsde-France. We thank the Museum National d'Histoire Naturelle (Paris) for providing the section of the Semarkona (LL) meteorite. We thank the Antarctic Meteorite Working Group at NASA Johnson Space Center for providing us with the DOM 08006 (CO) and QUE 99177 (CR) sections. We thank David Troadec for the FIB sections, prepared at IEMN, University of Lille. Microbeam analyses were possible thanks to numerous mounted standards. For that we thank the Department of Mineral Sciences of the Smithsonian institution for providing us with microbeam reference standards (catalog number: 117733-85276-111356-115900-114887-R2460). We also thank the SARM (Service d'Analyse des Roches et des Mineraux) for providing us the biotite reference standard. PM Zanetta thanks Ahmed Addad, Maya Marinova and Se ' verine Bellayer for their assistance with the electron microscope instruments.</t>
  </si>
  <si>
    <t>0016-7037</t>
  </si>
  <si>
    <t>1872-9533</t>
  </si>
  <si>
    <t>GEOCHIM COSMOCHIM AC</t>
  </si>
  <si>
    <t>Geochim. Cosmochim. Acta</t>
  </si>
  <si>
    <t>10.1016/j.gca.2021.11.019</t>
  </si>
  <si>
    <t>2P9RJ</t>
  </si>
  <si>
    <t>WOS:000820068400001</t>
  </si>
  <si>
    <t>Santos-González, J; González-Gutiérrez, RB; Redondo-Vega, JM; Gómez-Villar, A; Jomelli, V; Fernández-Fernández, JM; Andrés, N; García-Ruiz, JM; Peña-Pérez, SA; Melón-Nava, A; Oliva, M; Alvarez-Martínez, J; Charton, J; Palacios, D</t>
  </si>
  <si>
    <t>Santos-Gonzalez, Javier; Gonzalez-Gutierrez, Rosa Blanca; Redondo-Vega, Jose Maria; Gomez-Villar, Amelia; Jomelli, Vincent; Fernandez-Fernandez, Jose M.; Andres, Nuria; Garcia-Ruiz, Jose M.; Pena-Perez, Sergio Alberto; Melon-Nava, Adrian; Oliva, Marc; Alvarez-Martinez, Javier; Charton, Joanna; Palacios, David</t>
  </si>
  <si>
    <t>The origin and collapse of rock glaciers during the Bolling-Allerod interstadial: A new study case from the Cantabrian Mountains (Spain)</t>
  </si>
  <si>
    <t>Rock glacier; Deglaciation; Paraglacial processes; Cosmic-Ray Exposure dating; Bolling-Allerod interstadial; Cantabrian Mountains</t>
  </si>
  <si>
    <t>DEBRIS-COVERED GLACIERS; WESTERN MEDITERRANEAN SEA; SCHMIDT-HAMMER; LAST DEGLACIATION; EXPOSURE AGES; SIERRA-NEVADA; SURFACE TEMPERATURE; COSMOGENIC NUCLIDES; IBERIAN PENINSULA; ORIENTATION DATA</t>
  </si>
  <si>
    <t>During the Late Pleistocene, the main mountain ranges of the Iberian Peninsula were covered by small icefields and cirque and alpine glaciers. The deglaciation triggered paraglacial processes that generated land forms, mostly within the ice-free glacial cirques. In this research we analyse the deglaciation process in the Muxiven Cirque (42 degrees 15'N - 6 degrees 16W), in the upper Sil River Basin, which includes some of the largest relict rock glaciers of the Cantabrian Mountains. We addressed this objective by means of accurate geomorphological reconstructions, sedimentological analysis, Schmidt-hammer surface weathering measurements and a dataset of 10 Be-10 Cosmic-Ray Exposure ages. Results reveal that after similar to 16 ka, glaciers retreated to the bottom of the cirques at the headwaters of the valley, leaving the walls free of ice and triggering rock avalanches onto the remnants of these glaciers. This paraglacial process supplied debris to a small glacier within Muxiven Cirque, which transformed in two rock glaciers. These debris isolated the ice inside the rock glaciers only for a very short period of time and ended up melting completely before the Younger Dryas. The lower sector of the largest one stabilized at 14.5 +/- 1.5 ka, while the upper sector remained active until 13.5 +/- 0.8 ka. Previous to the stabilization of the lower sector of the northern rock glacier, at its margin a high-energy debris avalanche occurred at similar to 14.0 +/- 0.9 ka. These data agree with previous research, corroborating the paraglacial origin of most Iberian rock glaciers during the Belling-Allered interstadial. (C) 2022 The Author(s). Published by Elsevier B.V.</t>
  </si>
  <si>
    <t>[Santos-Gonzalez, Javier; Gonzalez-Gutierrez, Rosa Blanca; Redondo-Vega, Jose Maria; Gomez-Villar, Amelia; Pena-Perez, Sergio Alberto; Melon-Nava, Adrian] Univ Leon, Dept Geog &amp; Geol, Campus Vegazana S-N, Leon 24071, Spain; [Jomelli, Vincent; Charton, Joanna; ASTER Team] Aix Marseille Univ, Coll France, CNRS, IRD,INRAE,UM 34 CEREGE, F-13545 Aix En Provence, France; [Fernandez-Fernandez, Jose M.] Univ Lisbon, IGOT, P-1600276 Lisbon, Portugal; [Fernandez-Fernandez, Jose M.; Andres, Nuria; Palacios, David] Univ Complutense Madrid, Dept Geog, High Mt Phys Geog Res Grp, Madrid 28040, Spain; [Garcia-Ruiz, Jose M.] CSIC, IPE, Campus Aula Dei,POB 13-034, Zaragoza 50080, Spain; [Oliva, Marc] Univ Barcelona, Dept Geog, C Montalegre 6-8, Barcelona 08001, Spain; [Alvarez-Martinez, Javier] Univ Valladolid, Dept Agr &amp; Forest Engn, Campus Yutera, Palencia 34071, Spain</t>
  </si>
  <si>
    <t>Universidad de Leon; Institut de Recherche pour le Developpement (IRD); Aix-Marseille Universite; Universite PSL; College de France; INRAE; Centre National de la Recherche Scientifique (CNRS); Universidade de Lisboa; Complutense University of Madrid; Consejo Superior de Investigaciones Cientificas (CSIC); CSIC - Instituto Pirenaico de Ecologia (IPE); University of Barcelona; Universidad de Valladolid</t>
  </si>
  <si>
    <t>Santos-González, J (corresponding author), Univ Leon, Dept Geog &amp; Geol, Campus Vegazana S-N, Leon 24071, Spain.</t>
  </si>
  <si>
    <t>jsango@unileon.es</t>
  </si>
  <si>
    <t>Melón-Nava, Adrián/JKI-0490-2023; García-Ruiz, José M./D-4535-2012; Fernández-Fernández, Jose M./H-5801-2017; Redondo-Vega, José María/F-4201-2016; Alvarez-Martinez, Javier/JZE-3372-2024; González-Gutiérrez, Rosa Blanca/G-6297-2016; PALACIOS, DAVID/H-3737-2015; Oliva, Marc/K-5423-2014; Villar, Amelia Gómez/K-3695-2014; Santos-Gonzalez, Javier/F-4092-2016; Andres, Nuria/C-7146-2015</t>
  </si>
  <si>
    <t>Melón-Nava, Adrián/0000-0002-4796-7214; García-Ruiz, José M./0000-0002-8535-817X; Alvarez-Martinez, Javier/0000-0002-0861-2840; Santos-Gonzalez, Javier/0000-0002-5567-653X; Andres, Nuria/0000-0002-4362-1195; Gomez Villar, Amelia/0000-0002-0061-8017</t>
  </si>
  <si>
    <t>Santander Bank-UCM Projects [PR108/20-20]; NUNANTAR project - Fundacao para a Ciencia e Tecnologia of Portugal [PTDC/CTA-GFI/32002/2017]; Ramon y Cajal Program [RYC-201517597]; Research Group ANTALP (Antarctic, Arctic, Alpine Environments) - Government of Catalonia [2017-SGR-1102]; FPU programfrom the Spanish Ministerio de Universidades [FPU20/01220]; Fundação para a Ciência e a Tecnologia [PTDC/CTA-GFI/32002/2017] Funding Source: FCT</t>
  </si>
  <si>
    <t>Santander Bank-UCM Projects; NUNANTAR project - Fundacao para a Ciencia e Tecnologia of Portugal; Ramon y Cajal Program(Spanish Government); Research Group ANTALP (Antarctic, Arctic, Alpine Environments) - Government of Catalonia; FPU programfrom the Spanish Ministerio de Universidades; Fundação para a Ciência e a Tecnologia(Fundacao para a Ciencia e a Tecnologia (FCT))</t>
  </si>
  <si>
    <t>This research was supported by the project LE080G19 (Paleoenvironmental significance and relationship with the global change of the CantabrianMountains rock glaciers: relative age dating and analysis of the internal structure using electrical tomography), founded by the Junta de Castilla y Leon and PR108/20-20 (Santander Bank-UCM Projects). Jose M. Fernandez-Fernandez is supported by a postdoctoral grant within the NUNANTAR project, funded by the Fundacao para a Ciencia e Tecnologia of Portugal (PTDC/CTA-GFI/32002/2017). Marc Oliva is supported by the Ramon y Cajal Program (RYC-201517597) and by the Research Group ANTALP (Antarctic, Arctic, Alpine Environments; 2017-SGR-1102) funded by the Government of Catalonia. AdrianMelon-Nava was supported by the FPU programfrom the Spanish Ministerio de Universidades (FPU20/01220). We thank the comments and suggestionsmade by Dr. StefanWinkler and Dr. Philip D. Hughes, which have considerably improved the quality of an earlier version of the manuscript.</t>
  </si>
  <si>
    <t>10.1016/j.geomorph.2022.108112</t>
  </si>
  <si>
    <t>WOS:000784307000006</t>
  </si>
  <si>
    <t>Barker, PA; Allen, G; Pitt, JR; Bauguitte, SJB; Pasternak, D; Cliff, S; France, JL; Fisher, RE; Lee, JD; Bower, KN; Nisbet, EG</t>
  </si>
  <si>
    <t>Barker, Patrick A.; Allen, Grant; Pitt, Joseph R.; Bauguitte, Stephane J-B; Pasternak, Dominika; Cliff, Samuel; France, James L.; Fisher, Rebecca E.; Lee, James D.; Bower, Keith N.; Nisbet, Euan G.</t>
  </si>
  <si>
    <t>Airborne quantification of net methane and carbon dioxide fluxes from European Arctic wetlands in Summer 2019</t>
  </si>
  <si>
    <t>PHILOSOPHICAL TRANSACTIONS OF THE ROYAL SOCIETY A-MATHEMATICAL PHYSICAL AND ENGINEERING SCIENCES</t>
  </si>
  <si>
    <t>methane; carbon dioxide; wetland; Arctic; aircraft; flux</t>
  </si>
  <si>
    <t>ABSORPTION SPECTROMETER; WATER-VAPOR; EMISSIONS; CH4; CO2; EXCHANGE; PROJECT; GROWTH; MODEL</t>
  </si>
  <si>
    <t>Arctic wetlands and surrounding ecosystems are both a significant source of methane (CH4) and a sink of carbon dioxide (CO2) during summer months. However, precise quantification of this regional CH4 source and CO2 sink remains poorly characterized. A research flight using the UK Facility for Airborne Atmospheric Measurement was conducted in July 2019 over an area (approx. 78 000 km(2)) of mixed peatland and forest in northern Sweden and Finland. Area-averaged fluxes of CH4 and carbon dioxide were calculated using an aircraft mass balance approach. Net CH4 fluxes normalized to wetland area ranged between 5.93 +/- 1.87 mg m(-2) h(-1) and 4.44 +/- 0.64 mg m(-2) h(-1) (largest to smallest) over the region with a meridional gradient across three discrete areas enclosed by the flight survey. From largest to smallest, net CO2 sinks ranged between -513 +/- 74 mg m(-2) h(-1) and -284 +/- 89 mg m(-2) h(-1) and result from net uptake of CO2 by vegetation and soils in the biosphere. A clear gradient of decreasing bulk and area-averaged CH4 flux was identified from north to south across the study region, correlated with decreasing peat bog land area from north to south identified from CORINE land cover classifications. While N2O mole fraction was measured, no discernible gradient was measured over the flight track, but a minimum flux threshold using this mass balance method was calculated. Bulk (total area) CH4 fluxes determined via mass balance were compared with area-weighted upscaled chamber fluxes from the same study area and were found to agree well within measurement uncertainty. The mass balance CH4 fluxes were found to be significantly higher than the CH4 fluxes reported by many land-surface process models compiled as part of the Global Carbon Project. There was high variability in both flux distribution and magnitude between the individualmodels. This further supports previous studies that suggest that land-surface models are currently ill-equipped to accurately capture carbon fluxes in the region.</t>
  </si>
  <si>
    <t>[Barker, Patrick A.; Allen, Grant; Bower, Keith N.] Univ Manchester, Sch Earth &amp; Environm Sci, Manchester M13 9PL, Lancs, England; [Pitt, Joseph R.] SUNY Stony Brook, Sch Marine &amp; Atmospher Sci, 145 Endeavour Hall, Stony Brook, NY 11794 USA; [Bauguitte, Stephane J-B] Natl Ctr Atmospher Sci, FAAM Airborne Lab, Bldg 146,Coll Rd, Cranfield MK43 0AL, Beds, England; [Pasternak, Dominika; Cliff, Samuel; Lee, James D.] Univ York, Wolfson Atmospher Chem Labs, Dept Chem, York Y010 5DD, N Yorkshire, England; [France, James L.; Fisher, Rebecca E.; Nisbet, Euan G.] Royal Holloway Univ London, Dept Earth Sci, Egham TW20 0EX, Surrey, England; [France, James L.] NERC, British Antarctic Survey, Cambridge CB3 0ET, England</t>
  </si>
  <si>
    <t>University of Manchester; State University of New York (SUNY) System; State University of New York (SUNY) Stony Brook; University of York - UK; University of London; Royal Holloway University London; UK Research &amp; Innovation (UKRI); Natural Environment Research Council (NERC); NERC British Antarctic Survey</t>
  </si>
  <si>
    <t>Barker, PA (corresponding author), Univ Manchester, Sch Earth &amp; Environm Sci, Manchester M13 9PL, Lancs, England.</t>
  </si>
  <si>
    <t>patrick.barker@manchester.ac.uk</t>
  </si>
  <si>
    <t>Pitt, Joseph/GWM-5007-2022; lee, sooyoon/JEP-0415-2023; Allen, Grant/A-7737-2013; France, James/L-9719-2015</t>
  </si>
  <si>
    <t>Pitt, Joseph/0000-0002-8660-5136; Allen, Grant/0000-0002-7070-3620; Barker, Patrick/0000-0001-8754-4278; France, James/0000-0002-8785-1240; Fisher, Rebecca/0000-0002-9262-5467; Lee, James D/0000-0001-5397-2872; Cliff, Samuel/0000-0002-1078-3972; Pasternak, Dominika/0000-0001-6446-6297; Bower, Keith/0000-0002-9802-3264</t>
  </si>
  <si>
    <t>Natural Environment Research Council (NERC) [NE/N015835/1, NE/N016211/1, NE/L002469/1]</t>
  </si>
  <si>
    <t>Natural Environment Research Council (NERC)(UK Research &amp; Innovation (UKRI)Natural Environment Research Council (NERC))</t>
  </si>
  <si>
    <t>The data used in this publication have been collected as part of the MOYA project funded by the Natural Environment Research Council (NERC) (The Global Methane Budget, University of Manchester reference no. NE/N015835/1 Royal Holloway, University of London reference no. NE/N016211/1). P.A.B. is in receipt of a PhD studentship as part of the NERC Earth, Atmosphere and Ocean Doctoral Training Partnership (EAO DTP) (NERC grant reference no. NE/L002469/1)</t>
  </si>
  <si>
    <t>1364-503X</t>
  </si>
  <si>
    <t>1471-2962</t>
  </si>
  <si>
    <t>PHILOS T R SOC A</t>
  </si>
  <si>
    <t>Philos. Trans. R. Soc. A-Math. Phys. Eng. Sci.</t>
  </si>
  <si>
    <t>JAN 24</t>
  </si>
  <si>
    <t>10.1098/rsta.2021.0192</t>
  </si>
  <si>
    <t>0P2XX</t>
  </si>
  <si>
    <t>WOS:000784085600009</t>
  </si>
  <si>
    <t>France, JL; Fisher, RE; Lowry, D; Allen, G; Andrade, MF; Bauguitte, SJB; Bower, K; Broderick, TJ; Daly, MC; Forster, G; Gondwe, M; Helfter, C; Hoyt, AM; Jones, AE; Lanoisellé, M; Moreno, I; Nisbet-Jones, PBR; Oram, D; Pasternak, D; Pitt, JR; Skiba, U; Stephens, M; Wilde, SE; Nisbet, EG</t>
  </si>
  <si>
    <t>France, James L.; Fisher, Rebecca E.; Lowry, David; Allen, Grant; Andrade, Marcos F.; Bauguitte, Stephane J-B; Bower, Keith; Broderick, Timothy J.; Daly, Michael C.; Forster, Grant; Gondwe, Mangaliso; Helfter, Carole; Hoyt, Alison M.; Jones, Anna E.; Lanoiselle, Mathias; Moreno, Isabel; Nisbet-Jones, Peter B. R.; Oram, David; Pasternak, Dominika; Pitt, Joseph R.; Skiba, Ute; Stephens, Mark; Wilde, Shona E.; Nisbet, Euan G.</t>
  </si>
  <si>
    <t>δ13C methane source signatures from tropical wetland and rice field emissions</t>
  </si>
  <si>
    <t>methane; tropical wetlands; climate; greenhouse gas</t>
  </si>
  <si>
    <t>CARBON-ISOTOPE COMPOSITION; ATMOSPHERIC METHANE; SEASONAL-VARIATIONS; STABLE HYDROGEN; FOSSIL-FUEL; PADDIES; CH4; OXIDATION; FRACTIONATION; FLOODPLAIN</t>
  </si>
  <si>
    <t>The atmospheric methane (CH4) burden is rising sharply, but the causes are still not well understood. One factor of uncertainty is the importance of tropical CH4 emissions into the global mix. Isotopic signatures of major sources remain poorly constrained, despite their usefulness in constraining the global methane budget. Here, a collection of new delta C-13(CH4) signatures is presented for a range of tropical wetlands and rice fields determined from air samples collected during campaigns from 2016 to 2020. Long-term monitoring of delta C-13(CH4) in ambient air has been conducted at the Chacaltaya observatory, Bolivia and Southern Botswana. Both long-term records are dominated by biogenic CH4 sources, with isotopic signatures expected from wetland sources. From the longer-term Bolivian record, a seasonal isotopic shift is observed corresponding to wetland extent suggesting that there is input of relatively isotopically light CH4 to the atmosphere during periods of reduced wetland extent. This new data expands the geographical extent and range of measurements of tropical wetland and rice delta C-13(CH4) sources and hints at significant seasonal variation in tropical wetland delta C-13(CH4) signatures which may be important to capture in future global and regional models.</t>
  </si>
  <si>
    <t>[France, James L.; Fisher, Rebecca E.; Lowry, David; Lanoiselle, Mathias; Nisbet-Jones, Peter B. R.; Nisbet, Euan G.] Royal Holloway Univ London, Dept Earth Sci, Egham, Surrey, England; [France, James L.; Jones, Anna E.] NERC, British Antarctic Survey, Cambridge, England; [Allen, Grant; Bower, Keith; Pitt, Joseph R.] Univ Manchester, Ctr Atmospher Sci, Dept Earth &amp; Environm Sci, Manchester, Lancs, England; [Andrade, Marcos F.; Moreno, Isabel] Univ Mayor San Andres, Inst Phys Res, Lab Atmospher Phys, Campus Univ,Cota Cota Calle 27, La Paz, Bolivia; [Andrade, Marcos F.] Univ Maryland, Dept Atmospher &amp; Ocean Sci, College Pk, MD 20742 USA; [Bauguitte, Stephane J-B; Skiba, Ute] Natl Ctr Atmospher Sci, FAAM Airborne Lab, Cranfield, Beds, England; [Broderick, Timothy J.] 19 Jenkinson Rd, Harare, Zimbabwe; [Daly, Michael C.] Univ Oxford, Dept Earth Sci, South Parks Rd, Oxford, England; [Forster, Grant; Oram, David] Univ East Anglia, Natl Ctr Atmospher Sci, Ctr Ocean &amp; Atmospher Sci, Sch Environm Sci, Norwich, Norfolk, England; [Gondwe, Mangaliso] Univ Botswana, Okavango Res Inst, Maun, Botswana; [Helfter, Carole] UK Ctr Ecol &amp; Hydrol Atmospher Chem &amp; Effects, Bush Estate, Penicuik EH26 0QB, Midlothian, Scotland; [Hoyt, Alison M.] Max Planck Inst Biogeochem, Dept Biogeochem Proc, D-07745 Jena, Germany; [Hoyt, Alison M.] Lawrence Berkeley Natl Lab, Climate &amp; Ecosyst Sci Div, Berkeley, CA USA; [Pasternak, Dominika; Wilde, Shona E.] Univ York, Dept Chem, Heslington, England; [Pitt, Joseph R.] SUNY Stony Brook, Sch Marine &amp; Atmospher Sci, Stony Brook, NY 11794 USA; [Stephens, Mark] Univ Bahamas, Fac Pure &amp; Appl Sci, Sch Chem Environm &amp; Life Sci, Nassau, Bahamas; [Stephens, Mark] Univ Botswana, Fac Sci, Dept Environm Sci, Gaborone, Botswana</t>
  </si>
  <si>
    <t>University of London; Royal Holloway University London; UK Research &amp; Innovation (UKRI); Natural Environment Research Council (NERC); NERC British Antarctic Survey; University of Manchester; Universidad Mayor de San Andres; University System of Maryland; University of Maryland College Park; University of Oxford; University of East Anglia; UK Research &amp; Innovation (UKRI); Natural Environment Research Council (NERC); NERC National Centre for Atmospheric Science; University of Botswana; UK Centre for Ecology &amp; Hydrology (UKCEH); Max Planck Society; United States Department of Energy (DOE); Lawrence Berkeley National Laboratory; University of York - UK; State University of New York (SUNY) System; State University of New York (SUNY) Stony Brook; University of Botswana</t>
  </si>
  <si>
    <t>France, JL (corresponding author), Royal Holloway Univ London, Dept Earth Sci, Egham, Surrey, England.;France, JL (corresponding author), NERC, British Antarctic Survey, Cambridge, England.</t>
  </si>
  <si>
    <t>james.france@rhul.ac.uk</t>
  </si>
  <si>
    <t>Pitt, Joseph/GWM-5007-2022; Hoyt, Alison/AAF-1085-2020; Helfter, Carole/A-1835-2010; Lowry, David/GXG-1235-2022; Andrade Flores, Marcos Froilan/GSE-4415-2022; Skiba, Ute Maria/I-6441-2012; Lowry, David/JCE-0619-2023; France, James/L-9719-2015</t>
  </si>
  <si>
    <t>Pitt, Joseph/0000-0002-8660-5136; Hoyt, Alison/0000-0003-0813-5084; Skiba, Ute Maria/0000-0001-8659-6092; France, James/0000-0002-8785-1240; Fisher, Rebecca/0000-0002-9262-5467; Bower, Keith/0000-0002-9802-3264; LOWRY, DAVID/0000-0002-8535-0346; Stephens, Mark/0000-0002-3400-7687</t>
  </si>
  <si>
    <t>UK Natural Environment Research Council [EGN: NE/N016238/1MOYA]; NERC Newton Fund [NE/P014771/1]; NERC [NE/N015746/2, bas0100032, NE/T014849/1, NE/K006045/1, NE/V000780/1, NE/N016238/1, NE/N015835/1, NE/P019641/1, NE/N016211/1, NE/M005836/1, NE/N015584/1, NE/S00159X/1, NE/P014771/1] Funding Source: UKRI</t>
  </si>
  <si>
    <t>UK Natural Environment Research Council(UK Research &amp; Innovation (UKRI)Natural Environment Research Council (NERC)); NERC Newton Fund; NERC(UK Research &amp; Innovation (UKRI)Natural Environment Research Council (NERC))</t>
  </si>
  <si>
    <t>We thank the UK Natural Environment Research Council for Grants to EGN: NE/N016238/1MOYA. The Global Methane Budget 2016-2020, NE/S00159X/1 ZWAMPS Quantifying methane emissions in remote tropical settings: a new 3D approach. NE/P019641/1, New methodologies for removal of methane from the atmosphere, NE/M005836/1 Methane at the edge: jointly developing state-of-the-art high-precision methods to understand atmospheric methane emissions and NE/K006045/1 Investigation of the Southern Methane Anomaly: causes, implications and relevance to past global events. The Vietnam sampling was carried out under the NERC Newton Fund project for DO `A Two City study of Air Quality in Vietnam' (NE/P014771/1).</t>
  </si>
  <si>
    <t>10.1098/rsta.2020.0449</t>
  </si>
  <si>
    <t>hybrid, Green Accepted, Green Published</t>
  </si>
  <si>
    <t>WOS:000784085600003</t>
  </si>
  <si>
    <t>Nisbet, EG; Allen, G; Fisher, RE; France, JL; Lee, JD; Lowry, D; Andrade, MF; Bannan, TJ; Barker, P; Bateson, P; Bauguitte, SJB; Bower, KN; Broderick, TJ; Chibesakunda, F; Cain, M; Cozens, AE; Daly, MC; Ganesan, AL; Jones, AE; Lambakasa, M; Lunt, MF; Mehra, A; Moreno, I; Pasternak, D; Palmer, PI; Percival, CJ; Pitt, JR; Riddle, AJ; Rigby, M; Shaw, JT; Stell, AC; Vaughan, AR; Warwick, NJ; Wilde, SE</t>
  </si>
  <si>
    <t>Nisbet, Euan G.; Allen, Grant; Fisher, Rebecca E.; France, James L.; Lee, James D.; Lowry, David; Andrade, Marcos F.; Bannan, Thomas J.; Barker, Patrick; Bateson, Prudence; Bauguitte, Stephane J-B; Bower, Keith N.; Broderick, Tim J.; Chibesakunda, Francis; Cain, Michelle; Cozens, Alice E.; Daly, Michael C.; Ganesan, Anita L.; Jones, Anna E.; Lambakasa, Musa; Lunt, Mark F.; Mehra, Archit; Moreno, Isabel; Pasternak, Dominika; Palmer, Paul, I; Percival, Carl J.; Pitt, Joseph R.; Riddle, Amber J.; Rigby, Matthew; Shaw, Jacob T.; Stell, Angharad C.; Vaughan, Adam R.; Warwick, Nicola J.; Wilde, Shona E.</t>
  </si>
  <si>
    <t>MOYA ZWAMPS Team</t>
  </si>
  <si>
    <t>Isotopic signatures of methane emissions from tropical fires, agriculture and wetlands: the MOYA and ZWAMPS flights</t>
  </si>
  <si>
    <t>atmospheric methane; African wetlands; African biomass burning; African air pollution; methane isotopes; aircraft surveys</t>
  </si>
  <si>
    <t>ATMOSPHERIC METHANE; FOSSIL-FUEL; AFRICA; VEGETATION; GROWTH; ZAMBIA; FIELD</t>
  </si>
  <si>
    <t>We report methane isotopologue data from aircraft and ground measurements in Africa and South America. Aircraft campaigns sampled strong methane fluxes over tropical papyrus wetlands in the Nile, Congo and Zambezi basins, herbaceous wetlands in Bolivian southern Amazonia, and over fires in African woodland, cropland and savannah grassland. Measured methane delta C-13(CH4) isotopic signatures were in the range -55 to -49 parts per thousand for emissions from equatorial Nile wetlands and agricultural areas, but widely -60 +/- 1 parts per thousand from Upper Congo and Zambezi wetlands. Very similar delta C-13(CH4) signatures were measured over the Amazonian wetlands of NE Bolivia (around -59 parts per thousand) and the overall delta C-13(CH4) signature from outer tropical wetlands in the southern Upper Congo and Upper Amazon drainage plotted together was -59 +/- 2 parts per thousand. These results were more negative than expected. For African cattle, delta C-13(CH4) values were around -60 to -50 parts per thousand. Isotopic ratios in methane emitted by tropical fires depended on the C3 : C4 ratio of the biomass fuel. In smoke from tropical C3 dry forest fires in Senegal, delta C-13(CH4) values were around -28 parts per thousand. By contrast, African C4 tropical grass fire delta C-13(CH4) values were -16 to -12 parts per thousand. Methane from urban landfills in Zambia and Zimbabwe, which have frequent waste fires, had delta C-13(CH4) around -37 to -36 parts per thousand. These new isotopic values help improve isotopic constraints on global methane budget models because atmospheric delta C-13(CH4) values predicted by global atmospheric models are highly sensitive to the delta C-13(CH4) isotopic signatures applied to tropical wetland emissions. Field and aircraft campaigns also observed widespread regional smoke pollution over Africa, in both the wet and dry seasons, and large urban pollution plumes. The work highlights the need to understand tropical greenhouse gas emissions in order to meet the goals of the UNFCCC Paris Agreement, and to help reduce air pollution over wide regions of Africa.</t>
  </si>
  <si>
    <t>[Nisbet, Euan G.; Fisher, Rebecca E.; France, James L.; Lowry, David; Cozens, Alice E.; Riddle, Amber J.; MOYA ZWAMPS Team] Royal Holloway Univ London, Dept Earth Sci, Egham TW20 0EX, Surrey, England; [Allen, Grant; Bannan, Thomas J.; Barker, Patrick; Bateson, Prudence; Bower, Keith N.; Mehra, Archit; Shaw, Jacob T.] Univ Manchester, Ctr Atmospher Sci, Oxford Rd, Manchester M13 9PL, Lancs, England; [Lee, James D.; Pasternak, Dominika] Univ York, Natl Ctr Atmospher Sci, Dept Chem, York YO10 5DD, N Yorkshire, England; [Andrade, Marcos F.; Moreno, Isabel] Univ Mayor San Andres UMSA, Inst Phys Res, Lab Atmospher Phys, Campus Univ,Cota Cota Calle 27, La Paz, Bolivia; [Bauguitte, Stephane J-B] Cranfield Univ, Facil Airborne Atmospher Measurement, Coll Rd, Cranfield MK43 0AL, Beds, England; [Broderick, Tim J.] 19 Jenkinson Rd, Harare, Zimbabwe; [Chibesakunda, Francis; Lambakasa, Musa] Minist Mines &amp; Mineral Dev, Geol Survey Zambia, POB 50135, Lusaka, Zambia; [Cain, Michelle] Cranfield Univ, Ctr Environm &amp; Agr Informat, Coll Rd, Cranfield MK43 0AL, Beds, England; [Daly, Michael C.] Univ Oxford, Dept Earth Sci, South Parks Rd, Oxford OX1 3AN, England; [Ganesan, Anita L.; Stell, Angharad C.] Univ Bristol, Sch Geog Sci, Bristol BS8 1SS, Avon, England; [Lunt, Mark F.; Palmer, Paul, I] Univ Edinburgh, Sch GeoSci, Edinburgh EH9 3FF, Midlothian, Scotland; [Pitt, Joseph R.] SUNY Stony Brook, Sch Marine &amp; Atmospher Sci, Stony Brook, NY 11794 USA; [Rigby, Matthew] Univ Bristol, Sch Chem, Bristol BS8 1TS, Avon, England; [Warwick, Nicola J.] Univ Cambridge, Dept Chem, Lensfield Rd, Cambridge CB2 1EW, England; [Percival, Carl J.] CALTECH, Jet Prop Lab, Pasadena, CA 91109 USA; [France, James L.; Jones, Anna E.] NERC, British Antarctic Survey, Cambridge CB3 0ET, England; [Andrade, Marcos F.] Univ Maryland, Dept Atmospher &amp; Ocean Sci, College Pk, MD 20742 USA; [Mehra, Archit] Univ Chester, Fac Sci &amp; Engn, Chester, Cheshire, England; [Pasternak, Dominika; Vaughan, Adam R.; Wilde, Shona E.] Univ York, Dept Chem, Wolfson Atmospher Chem Labs, York YO10 5DD, N Yorkshire, England; [Palmer, Paul, I] Univ Edinburgh, Natl Ctr Earth Observat, Edinburgh EH9 3FF, Midlothian, Scotland</t>
  </si>
  <si>
    <t>University of London; Royal Holloway University London; University of Manchester; University of York - UK; UK Research &amp; Innovation (UKRI); Natural Environment Research Council (NERC); NERC National Centre for Atmospheric Science; Universidad Mayor de San Andres; Cranfield University; Cranfield University; University of Oxford; University of Bristol; University of Edinburgh; State University of New York (SUNY) System; State University of New York (SUNY) Stony Brook; University of Bristol; University of Cambridge; California Institute of Technology; National Aeronautics &amp; Space Administration (NASA); NASA Jet Propulsion Laboratory (JPL); UK Research &amp; Innovation (UKRI); Natural Environment Research Council (NERC); NERC British Antarctic Survey; University System of Maryland; University of Maryland College Park; University of Chester; University of York - UK; University of Edinburgh</t>
  </si>
  <si>
    <t>Nisbet, EG (corresponding author), Royal Holloway Univ London, Dept Earth Sci, Egham TW20 0EX, Surrey, England.;Allen, G (corresponding author), Univ Manchester, Ctr Atmospher Sci, Oxford Rd, Manchester M13 9PL, Lancs, England.</t>
  </si>
  <si>
    <t>e.nisbet@rhul.ac.uk; grant.allen@manchester.ac.uk</t>
  </si>
  <si>
    <t>Vaughan, Adam R/O-2912-2015; Rigby, Matthew/A-5555-2012; Palmer, Paul I/F-7008-2010; Lunt, Mark/A-7132-2014; Allen, Grant/A-7737-2013; cozens, alice/ISA-6593-2023; Percival, Carl J/B-9353-2012; Lowry, David/JCE-0619-2023; Lowry, David/GXG-1235-2022; lee, sooyoon/JEP-0415-2023; Pitt, Joseph/GWM-5007-2022; Andrade Flores, Marcos Froilan/GSE-4415-2022; Ganesan, Anita/D-6230-2016; France, James/L-9719-2015</t>
  </si>
  <si>
    <t>Palmer, Paul I/0000-0002-1487-0969; Lunt, Mark/0000-0002-2391-5575; Allen, Grant/0000-0002-7070-3620; Pitt, Joseph/0000-0002-8660-5136; Fisher, Rebecca/0000-0002-9262-5467; Lee, James D/0000-0001-5397-2872; Pasternak, Dominika/0000-0001-6446-6297; Shaw, Jacob/0000-0003-3558-3894; Barker, Patrick/0000-0001-8754-4278; LOWRY, DAVID/0000-0002-8535-0346; Bower, Keith/0000-0002-9802-3264; Ganesan, Anita/0000-0001-5715-8923; France, James/0000-0002-8785-1240; Cain, Michelle/0000-0003-2062-6556; Moreno Rivadeneira, Carina Isabel/0000-0001-9353-2388</t>
  </si>
  <si>
    <t>UK Natural Environment Research Council [NE/S00159X/1, NE/N016238/1, NE/P019641/1]; University of Cambridge-Africa ALBORADA research fund; NERC [NE/P019641/1, NE/S00159X/1, NE/N016238/1] Funding Source: UKRI</t>
  </si>
  <si>
    <t>UK Natural Environment Research Council(UK Research &amp; Innovation (UKRI)Natural Environment Research Council (NERC)); University of Cambridge-Africa ALBORADA research fund; NERC(UK Research &amp; Innovation (UKRI)Natural Environment Research Council (NERC))</t>
  </si>
  <si>
    <t>E.G.N. thanks the UK Natural Environment Research Council for grants: NE/S00159X/1 ZWAMPS Quantifying Methane Emissions in remote tropical settings: a new 3D approach. NE/N016238/1 MOYA The Global Methane Budget 2016-2020 and allied consortium grants in partner institutions, and also NE/P019641/1 New methodologies for removal of methane. The team thank the University of Cambridge-Africa ALBORADA research fund for supporting measurements in Kenya.</t>
  </si>
  <si>
    <t>10.1098/rsta.2021.0112</t>
  </si>
  <si>
    <t>WOS:000784085600007</t>
  </si>
  <si>
    <t>Nisbet-Jones, PBR; Fernandez, JM; Fisher, RE; France, JL; Lowry, D; Waltham, DA; Maisch, CAW; Nisbet, EG</t>
  </si>
  <si>
    <t>Nisbet-Jones, Peter B. R.; Fernandez, Julianne M.; Fisher, Rebecca E.; France, James L.; Lowry, David; Waltham, David A.; Maisch, Ceres A. Woolley; Nisbet, Euan G.</t>
  </si>
  <si>
    <t>Is the destruction or removal of atmospheric methane a worthwhile option?</t>
  </si>
  <si>
    <t>methane removal; fugitive methane destruction; methane removal costs</t>
  </si>
  <si>
    <t>WIND POWER; EMISSIONS; QUANTIFICATION; BIOFILTRATION; GASES; OIL; AIR</t>
  </si>
  <si>
    <t>Removing methane from the air is possible, but do the costs outweigh the benefits? This note explores the question of whether removing methane from the atmosphere is justifiable. Destruction of methane by oxidation to CO2 eliminates 97% of the warming impact on a 100-yr time scale. Methane can be oxidized by a variety of methods including thermal or ultraviolet photocatalysis and various processes of physical, chemical or biological oxidizers. Each removal method has energy costs (with the risk of causing embedded CO2 emission that cancel the global warming gain), but in specific circumstances, including settings where air with high methane is habitually present, removal may be competitive with direct efforts to cut fugitive methane leaks. In all cases however, great care must be taken to ensure that the destruction has a net positive impact on the total global warming, and that the resources required would not be better used for stopping the methane from being emitted.</t>
  </si>
  <si>
    <t>[Nisbet-Jones, Peter B. R.; Fernandez, Julianne M.; Fisher, Rebecca E.; Lowry, David; Waltham, David A.; Maisch, Ceres A. Woolley; Nisbet, Euan G.] Univ London, Dept Earth Sci, Egham TW20 0EX, Surrey, England; [France, James L.] NERC, British Antarctic Survey, Cambridge, England</t>
  </si>
  <si>
    <t>University of London; Royal Holloway University London; UK Research &amp; Innovation (UKRI); Natural Environment Research Council (NERC); NERC British Antarctic Survey</t>
  </si>
  <si>
    <t>Nisbet-Jones, PBR (corresponding author), Univ London, Dept Earth Sci, Egham TW20 0EX, Surrey, England.</t>
  </si>
  <si>
    <t>e.nisbet@rhul.ac.uk</t>
  </si>
  <si>
    <t>Lowry, David/JCE-0619-2023; Lowry, David/GXG-1235-2022; France, James/L-9719-2015</t>
  </si>
  <si>
    <t>Fernandez, Julianne M/0000-0001-5137-6620; Nisbet-Jones, Peter/0000-0003-3332-9905; Woolley Maisch, Ceres/0000-0002-5070-145X; Fisher, Rebecca/0000-0002-9262-5467; LOWRY, DAVID/0000-0002-8535-0346; France, James/0000-0002-8785-1240</t>
  </si>
  <si>
    <t>UK Natural Environment Research Council; ZWAMPS Quantifying Methane Emissions in remote tropical settings [NE/S00159X/1]; MOYA The Global Methane Budget [; NE/N016238/1]; New methodologies for removal of methane [NE/P019641/1]; DARE-UK Detection and Attribution of Regional greenhouse gas Emissions in the UK [NE/S004211/1]; NERC [bas0100032, NE/S003657/1, NE/N016211/1, NE/P019641/1] Funding Source: UKRI</t>
  </si>
  <si>
    <t>UK Natural Environment Research Council(UK Research &amp; Innovation (UKRI)Natural Environment Research Council (NERC)); ZWAMPS Quantifying Methane Emissions in remote tropical settings; MOYA The Global Methane Budget; New methodologies for removal of methane; DARE-UK Detection and Attribution of Regional greenhouse gas Emissions in the UK; NERC(UK Research &amp; Innovation (UKRI)Natural Environment Research Council (NERC))</t>
  </si>
  <si>
    <t>E.G.N. thanks the UK Natural Environment Research Council for grants. NE/S00159X/1 ZWAMPS Quantifying Methane Emissions in remote tropical settings : a new 3D approach; NE/N016238/1 MOYA The Global Methane Budget 2016-2020, NE/P019641/1 New methodologies for removal of methane; NE/S004211/1 DARE-UK Detection and Attribution of Regional greenhouse gas Emissions in the UK.</t>
  </si>
  <si>
    <t>10.1098/rsta.2021.0108</t>
  </si>
  <si>
    <t>WOS:000784085600006</t>
  </si>
  <si>
    <t>Nisbet, EG; Jones, AE; Pyle, JA; Skiba, U</t>
  </si>
  <si>
    <t>Nisbet, E. G.; Jones, A. E.; Pyle, J. A.; Skiba, U.</t>
  </si>
  <si>
    <t>Rising methane: is there a methane emergency? Preface</t>
  </si>
  <si>
    <t>[Nisbet, E. G.] Royal Holloway Univ London, Dept Earth Sci, Egham TW20 0EX, Surrey, England; [Jones, A. E.] British Antarctic Survey, Madingley Rd, Cambridge CB3 0ET, England; [Pyle, J. A.] Yusuf Hamied Dept Chem, Cambridge CB2 1EW, England; [Pyle, J. A.] Natl Ctr Atmospher Sci, Cambridge, England; [Skiba, U.] Ctr Ecol &amp; Hydrol, Penicuik EH26 0QB, Midlothian, Scotland</t>
  </si>
  <si>
    <t>University of London; Royal Holloway University London; UK Research &amp; Innovation (UKRI); Natural Environment Research Council (NERC); NERC British Antarctic Survey; University of Cambridge; UK Research &amp; Innovation (UKRI); Natural Environment Research Council (NERC); NERC National Centre for Atmospheric Science; UK Centre for Ecology &amp; Hydrology (UKCEH)</t>
  </si>
  <si>
    <t>Nisbet, EG (corresponding author), Royal Holloway Univ London, Dept Earth Sci, Egham TW20 0EX, Surrey, England.</t>
  </si>
  <si>
    <t>Skiba, Ute Maria/I-6441-2012</t>
  </si>
  <si>
    <t>Skiba, Ute Maria/0000-0001-8659-6092</t>
  </si>
  <si>
    <t>NERC [bas0100032, NE/N015746/2, NE/K006045/1, NE/V000780/1, NE/P019641/1, NE/N016211/1, NE/T009268/1, NE/S003657/1, NE/S00159X/1] Funding Source: UKRI</t>
  </si>
  <si>
    <t>NERC(UK Research &amp; Innovation (UKRI)Natural Environment Research Council (NERC))</t>
  </si>
  <si>
    <t>10.1098/rsta.2021.0334</t>
  </si>
  <si>
    <t>ZP1YK</t>
  </si>
  <si>
    <t>WOS:000766222000001</t>
  </si>
  <si>
    <t>Spain, E; Lamarche, G; Lucieer, V; Watson, SJ; Ladroit, Y; Heffron, E; Pallentin, A; Whittaker, JM</t>
  </si>
  <si>
    <t>Spain, Erica; Lamarche, Geoffroy; Lucieer, Vanessa; Watson, Sally J.; Ladroit, Yoann; Heffron, Erin; Pallentin, Arne; Whittaker, Joanne M.</t>
  </si>
  <si>
    <t>Acoustic Predictors of Active Fluid Expulsion From a Hydrothermal Vent Field, Offshore Taupo Volcanic Zone, New Zealand</t>
  </si>
  <si>
    <t>hydrothermal vent areas; New Zealand; seeps; random forest; seafloor; calypso vents; acoustic seafloor backscatter</t>
  </si>
  <si>
    <t>HIKURANGI MARGIN; ANGULAR RESPONSE; COOK STRAIT; PLENTY; BAY; METHANE; CLASSIFICATION; SEDIMENTS; GAS; BACKSCATTER</t>
  </si>
  <si>
    <t>Understanding fluid expulsion is key to estimating gas exchange volumes between the seafloor, ocean, and atmosphere; for locating key ecosystems; and geohazard modelling. Locating active seafloor fluid expulsion typically requires acoustic backscatter data. Areas of very-high seafloor backscatter, or hardgrounds, are often used as first-pass indicators of potential fluid expulsion. However, varying and inconsistent spatial relationships between active fluid expulsion and hardgrounds means a direct link remains unclear. Here, we investigate the links between water-column acoustic flares to seafloor backscatter and bathymetric metrics generated from two calibrated multibeam echosounders. Our site, the Calypso hydrothermal vent field (HVF) in the Bay of Plenty, Aotearoa/New Zealand, has an extensive catalogue of vents and seeps in &lt;250 m water depth. We demonstrate a method to quantitatively link active fluid expulsion (flares) with seafloor characteristics. This allows us to develop predictive spatial models of active fluid expulsion. We explore whether data from a low (30 kHz), high (200 kHz), or combined frequency model increases predictive accuracy of expulsion locations. This research investigates the role of hardgrounds or surrounding sediment cover on the accuracy of predictive models. Our models link active fluid expulsion to specific seafloor characteristics. A combined model using both the 30 and 200 kHz mosaics produced the best results (predictive accuracy: 0.75; Kappa: 0.65). This model performed better than the same model using individual frequency mosaics as input. Model results reveal active fluid expulsion is not typically associated with the extensive, embedded hardgrounds of the Calypso HVF, with minimal fluid expulsion. Unconsolidated sediment around the perimeter of and between hardgrounds were more active fluid expulsion sites. Fluids exploit permeable pathways up to the seafloor, modifying and refashioning the seafloor. Once a conduit self-seals, fluid will migrate to a more permeable pathway, thus reducing a one-to-one link between activity and hardgrounds. Being able to remotely predict active and inactive regions of fluid expulsion will prove a useful tool in rapidly identifying seeps in legacy datasets, as well as textural metrics that will aid in locating nascent, senescent, or extinct seeps when a survey is underway.</t>
  </si>
  <si>
    <t>[Spain, Erica; Lucieer, Vanessa; Whittaker, Joanne M.] Univ Tasmania, Inst Marine &amp; Antarct Studies, Hobart, Tas, Australia; [Spain, Erica; Watson, Sally J.; Ladroit, Yoann; Pallentin, Arne] Natl Inst Water &amp; Atmospher Res, Wellington, New Zealand; [Lamarche, Geoffroy] Univ Auckland, Sch Environm, Auckland, New Zealand; [Ladroit, Yoann] ENSTA Bretagne, Brest, France; [Heffron, Erin] Univ New Hampshire, Ctr Coastal &amp; Ocean Mapping, Joint Hydrog Ctr, Durham, NH 03824 USA</t>
  </si>
  <si>
    <t>University of Tasmania; National Institute of Water &amp; Atmospheric Research (NIWA) - New Zealand; University of Auckland; ENSTA Bretagne; University System Of New Hampshire; University of New Hampshire</t>
  </si>
  <si>
    <t>Spain, E (corresponding author), Univ Tasmania, Inst Marine &amp; Antarct Studies, Hobart, Tas, Australia.;Spain, E (corresponding author), Natl Inst Water &amp; Atmospher Res, Wellington, New Zealand.</t>
  </si>
  <si>
    <t>erica.spain@niwa.co.nz</t>
  </si>
  <si>
    <t>lucieer, vanessa l/D-1697-2009; Whittaker, Joanne/B-3695-2010</t>
  </si>
  <si>
    <t>Spain, Erica/0000-0002-4689-018X; Whittaker, Joanne/0000-0002-3170-3935</t>
  </si>
  <si>
    <t>Australian Research Council's Special Research Initiative for Antarctic Gateway Partnership [SR140300001]; Royal Society of New Zealand Catalyst Fund project: Building capability for in situ quantitative characterization of the ocean water-column using acoustic multibeam backscatter data (2017-2018); Ministry of Business, Innovation, and Employment (MBIE) [C01X1915]; MBIE Strategic Science Investment Fund (SSIF) Marine Geological Processes Program of the NIWA Coasts and Oceans Centre (COPR); New Zealand Ministry of Business, Innovation &amp; Employment (MBIE) [C01X1915] Funding Source: New Zealand Ministry of Business, Innovation &amp; Employment (MBIE)</t>
  </si>
  <si>
    <t>Australian Research Council's Special Research Initiative for Antarctic Gateway Partnership(Australian Research Council); Royal Society of New Zealand Catalyst Fund project: Building capability for in situ quantitative characterization of the ocean water-column using acoustic multibeam backscatter data (2017-2018); Ministry of Business, Innovation, and Employment (MBIE)(New Zealand Ministry of Business, Innovation and Employment (MBIE)); MBIE Strategic Science Investment Fund (SSIF) Marine Geological Processes Program of the NIWA Coasts and Oceans Centre (COPR)(New Zealand Ministry of Business, Innovation and Employment (MBIE)); New Zealand Ministry of Business, Innovation &amp; Employment (MBIE)(New Zealand Ministry of Business, Innovation and Employment (MBIE))</t>
  </si>
  <si>
    <t>ES is funded under the Australian Research Council's Special Research Initiative for Antarctic Gateway Partnership (Project ID SR140300001). GL and VL were funded by The Royal Society of New Zealand Catalyst Fund project: Building capability for in situ quantitative characterization of the ocean water-column using acoustic multibeam backscatter data (2017-2018). This research contributes to the Ministry of Business, Innovation, and Employment (MBIE) funded Smart Ideas Grant: Broadband acoustic characterization of free gases in the ocean water (Contract C01X1915) and is further supported by the MBIE Strategic Science Investment Fund (SSIF) Marine Geological Processes Program of the NIWA Coasts and Oceans Centre (COPR).</t>
  </si>
  <si>
    <t>10.3389/feart.2021.785396</t>
  </si>
  <si>
    <t>YX0DK</t>
  </si>
  <si>
    <t>WOS:000753779000001</t>
  </si>
  <si>
    <t>Celis, JE; Espejo, W; Padilha, JD; Kidd, KA; Gonçalves, R; Dorneles, P; Oliveira, D; Malm, O; Celis, CA; Chiang, G</t>
  </si>
  <si>
    <t>Celis, Jose E.; Espejo, Winfred; Padilha, Janeide de A.; Kidd, Karen A.; Goncalves, Rodrigo; Dorneles, Paulo; Oliveira, Douglas; Malm, Olaf; Celis, Christopher A.; Chiang, Gustavo</t>
  </si>
  <si>
    <t>Trophodynamics of trace elements in marine organisms from cold and remote regions of southern hemisphere</t>
  </si>
  <si>
    <t>Trophic transfer; Trace element; Fish; Invertebrate; Patagonia; Antarctica</t>
  </si>
  <si>
    <t>FOOD-WEB; CHILEAN PATAGONIA; TROPHIC TRANSFER; HEAVY-METALS; RISK ASSESSMENTS; LAIZHOU BAY; HEALTH-RISK; BIOMAGNIFICATION; MERCURY; COPPER</t>
  </si>
  <si>
    <t>Trace metals bioaccumulate in aquatic organisms and some of them biomagnify through food webs, posing a threat to the organisms or their human consumers. Although the trophodynamics of many trace metals is well known in the northern hemisphere, much less is known about metals in aquatic food webs from cold and remote coastal zones of the southern hemisphere. To fill this gap, we investigated the trophodynamics of Al, Co, Cr, Li, Mo, Ni, Sr, and V, which were measured in marine macroinvertebrates and fishes from inshore and offshore locations in each of the Chilean Patagonia and the Antarctic Peninsula area. In Patagonia, there was biodilution of these metals across the whole food web, while biomagnification of Li and Ni was significantly found across the lower food web at the offshore site. In Antarctica, significant biodilution of Al, Li, Ni, Mo, Sr and V occurred through the whole food web for the inshore site, but no tendency (biodilution or biomagnification) was found (p &gt; 0.05) across the organisms at lower trophic levels for the offshore site. Our data suggest that the geographic location and species influences the trophodynamics of these trace elements and expand our understanding of metal fate in remote locations of the southern hemisphere.</t>
  </si>
  <si>
    <t>[Celis, Jose E.; Espejo, Winfred] Univ Concepcion, Fac Ciencias Veterinarias, Dept Anim Sci, Av Vicente Mendez 595, Chillan, Chile; [Espejo, Winfred] Univ Mayor, Ctr Genom Ecol &amp; Environm, GEMA, Camino La Piramide 5750, Santiago, Chile; [Padilha, Janeide de A.; Dorneles, Paulo; Malm, Olaf] Fed Univ Rio Janeiro, Biophys Inst, Radioisotope Lab, Rio De Janeiro, Brazil; [Kidd, Karen A.] McMaster Univ, Dept Biol, 1280 Main St West, Hamilton, ON, Canada; [Kidd, Karen A.] McMaster Univ, Sch Earth Environm &amp; Soc, 1280 Main St West, Hamilton, ON, Canada; [Goncalves, Rodrigo; Oliveira, Douglas] Pontifical Catholic Univ Rio de Janeiro, Chem Dept, Rio De Janeiro, Brazil; [Celis, Christopher A.] Comis Chilena Energia Nucl, 12501 Las Condes, Santiago, Chile; [Chiang, Gustavo] Univ Andres Bello, Fac Ciencias Vida, Ecol &amp; Biodivers Dept, Santiago, Chile; [Chiang, Gustavo] Univ Andres Bello, Fac Ciencias Vida, Sustainabil Res Ctr, Santiago, Chile</t>
  </si>
  <si>
    <t>Universidad de Concepcion; Universidad Mayor; Universidade Federal do Rio de Janeiro; McMaster University; McMaster University; Pontificia Universidade Catolica do Rio de Janeiro; Universidad Andres Bello; Universidad Andres Bello</t>
  </si>
  <si>
    <t>Espejo, W (corresponding author), Univ Concepcion, Fac Ciencias Veterinarias, Dept Anim Sci, Av Vicente Mendez 595, Chillan, Chile.</t>
  </si>
  <si>
    <t>winfredespejo@udec.cl</t>
  </si>
  <si>
    <t>Kidd, Karen/ABG-3237-2020</t>
  </si>
  <si>
    <t>Kidd, Karen/0000-0002-5619-1358; de Assis Guilherme Padilha, Janeide/0000-0002-1901-5822; Espejo, Winfred/0000-0002-3753-2006; Malm, Olaf/0000-0002-4116-7160; CELIS, JOSE E./0000-0002-2458-1239; Chiang, Gustavo/0000-0003-4504-355X</t>
  </si>
  <si>
    <t>Instituto Antartico Chileno [INACH RG01-18]; Agencia Nacional de Investigacion y Desarrollo (ANID) [FONDECYT 3200302 (W. Espejo)]</t>
  </si>
  <si>
    <t>Instituto Antartico Chileno; Agencia Nacional de Investigacion y Desarrollo (ANID)</t>
  </si>
  <si>
    <t>This study was financially supported by the Instituto Ant ' artico Chileno through project INACH RG01-18 (J. Celis), and by the Agencia Nacional de Investigacion y Desarrollo (ANID) through project postdoc FONDECYT 3200302 (W. Espejo).</t>
  </si>
  <si>
    <t>10.1016/j.envres.2021.112421</t>
  </si>
  <si>
    <t>YU2NI</t>
  </si>
  <si>
    <t>WOS:000751883700011</t>
  </si>
  <si>
    <t>Venugopal, AU; Bertler, NAN; Pyne, RL; Kjær, HA; Winton, VHL; Mayewski, PA; Cortese, G</t>
  </si>
  <si>
    <t>Venugopal, Abhijith U.; Bertler, Nancy A. N.; Pyne, Rebecca L.; Kjaer, Helle A.; Winton, V. Holly L.; Mayewski, Paul A.; Cortese, Giuseppe</t>
  </si>
  <si>
    <t>Role of mineral dust in the nitrate preservation during the glacial period: Insights from the RICE ice core</t>
  </si>
  <si>
    <t>GLOBAL AND PLANETARY CHANGE</t>
  </si>
  <si>
    <t>RICE ice core; Last glacial period; Mineral dust-nitrate coupling; Nitrate scavenging; Atmospheric process; A new coastal record</t>
  </si>
  <si>
    <t>CONTINUOUS-FLOW ANALYSIS; DOME C; NITRIC-ACID; ISOTOPIC CONSTRAINTS; SCALE VARIABILITY; ROOSEVELT ISLAND; SOUTHERN-OCEAN; ROSS SEA; SNOW; ANTARCTICA</t>
  </si>
  <si>
    <t>Nitrate (NO3-), an abundant aerosol in polar snow, is a complex environmental proxy to interpret owing to its diverse sources and susceptibility to post-depositional processes. During the last glacial period, when dust concentrations in the Antarctic ice were upto similar to 50 times than today, mineral dust appears to have a stabilizing effect on the NO3- concentration in snow. However, the mechanism leading to the stabilization remains unclear. Here, we present the new and highly resolved records of NO3- and non-sea salt calcium (nssCa(2+), a proxy for mineral dust) from the Roosevelt Island Climate Evolution (RICE) ice core. We focus on the glacial period from 83 to 26 kilo years Before Present (ka BP). The data show a statistically significant correlation between NO3- and nssCa(2+) over this period. To put our findings into a spatial context, we compare RICE data with existing records from east Antarctica (EPICA Dome C [EDC], Vostok and central Dome Fuji) and West Antarctica (West Antarctic Ice Sheet Divide Ice Core [WDC]). Spatial analysis suggests that nssCa(2+) is contributing to the effective scavenging of NO3- from the atmosphere perhaps through the formation of calcium nitrate (Ca(NO3)(2)). The geographic pattern implies that the process of Ca(NO3)(2) formation occurs during the long-distance transport of mineral dust from mid-latitude source regions by Southern Hemisphere Westerly Winds (SHWW). The data also suggest that the correlation observed at various Antarctic locations may depend on the level of dust reaching the sites from the mid-latitude sources.</t>
  </si>
  <si>
    <t>[Venugopal, Abhijith U.; Bertler, Nancy A. N.; Pyne, Rebecca L.; Cortese, Giuseppe] GNS Sci, Wellington, New Zealand; [Venugopal, Abhijith U.; Bertler, Nancy A. N.; Winton, V. Holly L.] Victoria Univ Wellington, Antarctic Res Ctr, Wellington, New Zealand; [Kjaer, Helle A.] Univ Copenhagen, Niels Bohr Inst, Ctr Ice &amp; Climate Phys Ice Climate &amp; Environm, Copenhagen, Denmark; [Mayewski, Paul A.] Univ Maine, Climate Change Inst, Orono, ME USA</t>
  </si>
  <si>
    <t>GNS Science - New Zealand; Victoria University Wellington; University of Copenhagen; Niels Bohr Institute; University of Maine System; University of Maine Orono</t>
  </si>
  <si>
    <t>Venugopal, AU (corresponding author), GNS Sci, Wellington, New Zealand.</t>
  </si>
  <si>
    <t>abijithuv@gmail.com</t>
  </si>
  <si>
    <t>Kjær, Helle Astrid/HGC-7941-2022; Winton, Holly/J-5486-2019; Mayewski, Paul Andrew/HRD-6969-2023</t>
  </si>
  <si>
    <t>Kjær, Helle Astrid/0000-0002-3781-9509; Winton, Holly/0000-0001-7112-6768;</t>
  </si>
  <si>
    <t>Antarctica New Zealand [K049]; Ministry of Business, Innovation and Employment (MBIE) Grants through Victoria University of Wellington [RDF-VUW-1103, 15-VUW-131]; MBIE-funded Global Change through Time (GCT) program at GNS Science; Rutherford Foundation; Carlsberg Foundation's North-South Climate Connections project; European Research Council under the European Community's Seventh Framework Programme (FP7/2007-2013), ERC, Ice2Ice project [610055]; European Union [820970]</t>
  </si>
  <si>
    <t>Antarctica New Zealand; Ministry of Business, Innovation and Employment (MBIE) Grants through Victoria University of Wellington(New Zealand Ministry of Business, Innovation and Employment (MBIE)); MBIE-funded Global Change through Time (GCT) program at GNS Science(New Zealand Ministry of Business, Innovation and Employment (MBIE)); Rutherford Foundation(Royal Society of New Zealand); Carlsberg Foundation's North-South Climate Connections project; European Research Council under the European Community's Seventh Framework Programme (FP7/2007-2013), ERC, Ice2Ice project(European Research Council (ERC)); European Union(European Union (EU))</t>
  </si>
  <si>
    <t>This work is a contribution towards the Roosevelt Island Climate Evolution (RICE) program, funded by national contributions from New Zealand, Australia, Denmark, Germany, Italy, the People's Republic of China, Sweden and the United States of America. The main logistic support was provided by Antarctica New Zealand (K049) and the U.S. Antarctic program. RICE project has been funded by Ministry of Business, Innovation and Employment (MBIE) Grants through Victoria University of Wellington (RDF-VUW-1103 and 15-VUW-131-both administered by Royal Society Te Aparangi). A.U.V would like to thank the RICE drilling team of 2011 -2013 for making the samples available for the study. A.U.V was supported by the MBIE-funded Global Change through Time (GCT) program at GNS Science to complete this work. V. H.L.W was supported by a Rutherford Foundation Postdoctoral Fellowship administered by the Royal Society Te Ap arangi. The Danish contribution to RICE was funded by the Carlsberg Foundation's North-South Climate Connections project grant. The research also received funding from the European Research Council under the European Community's Seventh Framework Programme (FP7/2007-2013), ERC grant agreement 610055 as part of the Ice2Ice project and the European Union's Horizon 2020 research and innovation programme under grant agreement No 820970 and is TiPES contribution #54.</t>
  </si>
  <si>
    <t>0921-8181</t>
  </si>
  <si>
    <t>1872-6364</t>
  </si>
  <si>
    <t>GLOBAL PLANET CHANGE</t>
  </si>
  <si>
    <t>Glob. Planet. Change</t>
  </si>
  <si>
    <t>10.1016/j.gloplacha.2022.103745</t>
  </si>
  <si>
    <t>YQ0EM</t>
  </si>
  <si>
    <t>WOS:000748992000005</t>
  </si>
  <si>
    <t>Xu, XD; Sun, C; Chen, DL; Zhao, TL; Xu, JJ; Zhang, SJ; Li, J; Chen, B; Zhao, Y; Xu, HX; Dong, LL; Sun, XY; Zhu, Y</t>
  </si>
  <si>
    <t>Xu, Xiangde; Sun, Chan; Chen, Deliang; Zhao, Tianliang; Xu, Jianjun; Zhang, Shengjun; Li, Juan; Chen, Bin; Zhao, Yang; Xu, Hongxiong; Dong, Lili; Sun, Xiaoyun; Zhu, Yan</t>
  </si>
  <si>
    <t>A vertical transport window of water vapor in the troposphere over the Tibetan Plateau with implications for global climate change</t>
  </si>
  <si>
    <t>TROPOPAUSE LAYER; AIR</t>
  </si>
  <si>
    <t>By using the multi-source data of meteorology over recent decades, this study discovered a summertime hollow wet pool in the troposphere with a center of high water vapor over the Asian water tower (AWT) on the Tibetan Plateau (TP), which is indicated by a vertical transport window in the troposphere. The water vapor transport in the upper troposphere extends from the vertical transport window over the TP with significant connections among the Arctic, Antarctic and TP regions, highlighting the effect of the TP's vertical transport window of water vapor in the troposphere on global change in water vapor. The vertical transport window is built by the AWT's thermal forcing in association with the dynamic effect of the TP's hollow heat island. Our study improves the understanding of the vapor transport over the TP with important implication for global climate change.</t>
  </si>
  <si>
    <t>[Xu, Xiangde; Sun, Chan; Zhao, Tianliang; Li, Juan; Sun, Xiaoyun; Zhu, Yan] Nanjing Univ Informat Sci &amp; Technol, Nanjing 210044, Peoples R China; [Xu, Xiangde; Sun, Chan; Zhang, Shengjun; Chen, Bin; Zhao, Yang; Xu, Hongxiong; Dong, Lili] Chinese Acad Meteorol Sci, State Key Lab Severe Weather, Beijing 100081, Peoples R China; [Chen, Deliang] Univ Gothenburg, Dept Earth Sci, Reg Climate Grp, S-40530 Gothenburg, Sweden; [Xu, Jianjun] Guangdong Ocean Univ, South China Sea Inst Marine Meteorol, Zhanjiang 524088, Peoples R China</t>
  </si>
  <si>
    <t>Nanjing University of Information Science &amp; Technology; China Meteorological Administration; Chinese Academy of Meteorological Sciences (CAMS); University of Gothenburg; Guangdong Ocean University</t>
  </si>
  <si>
    <t>Zhao, TL (corresponding author), Nanjing Univ Informat Sci &amp; Technol, Nanjing 210044, Peoples R China.</t>
  </si>
  <si>
    <t>tlzhao@nuist.edu.cn</t>
  </si>
  <si>
    <t>chen, yue/JXW-9556-2024; Chen, Deliang/A-5107-2013; ZHAO, TIANLIANG/JGC-6865-2023; zhang, shengjun/HLG-5516-2023; zhang, shengjun/IQS-3265-2023; Chen, Bin/ACE-7630-2022</t>
  </si>
  <si>
    <t>Chen, Deliang/0000-0003-0288-5618; Chen, Bin/0000-0002-8608-4131</t>
  </si>
  <si>
    <t>Second Tibetan Plateau Scientific Expedition and Research (STEP) program [2019QZKK0105]; S&amp;T Development Fund of CAMS [2021KJ022, 2021KJ013]</t>
  </si>
  <si>
    <t>Second Tibetan Plateau Scientific Expedition and Research (STEP) program; S&amp;T Development Fund of CAMS</t>
  </si>
  <si>
    <t>This study was supported by the Second Tibetan Plateau Scientific Expedition and Research (STEP) program (2019QZKK0105) and the S&amp;T Development Fund of CAMS (2021KJ022 and 2021KJ013).</t>
  </si>
  <si>
    <t>10.5194/acp-22-1149-2022</t>
  </si>
  <si>
    <t>YP6PX</t>
  </si>
  <si>
    <t>WOS:000748746700001</t>
  </si>
  <si>
    <t>Chadwick, M; Allen, CS; Sime, LC; Crosta, X; Hillenbrand, CD</t>
  </si>
  <si>
    <t>Chadwick, Matthew; Allen, Claire S.; Sime, Louise C.; Crosta, Xavier; Hillenbrand, Claus-Dieter</t>
  </si>
  <si>
    <t>Reconstructing Antarctic winter sea-ice extent during Marine isotope Stage 5e</t>
  </si>
  <si>
    <t>SOUTHERN-OCEAN SURFACE; MAJOR DIATOM TAXA; WATER-COLUMN ASSEMBLAGES; LAST GLACIAL MAXIMUM; LATE QUATERNARY; FRAGILARIOPSIS-CYLINDRUS; PROBABILISTIC ASSESSMENT; CHRONOLOGY AICC2012; CIRCUMPOLAR CURRENT; HOLOCENE CLIMATE</t>
  </si>
  <si>
    <t>Environmental conditions during Marine Isotope Stage (MIS) 5e (130-116 ka) represent an important process analogue for understanding the climatic responses to present and future anthropogenic warming. The response of Antarctic sea ice to global warming is particularly uncertain due to the short length of the observational record. Reconstructing Antarctic winter sea-ice extent during MIS 5e therefore provides insights into the temporal and spatial patterns of sea-ice change under a warmer-than-present climate. This study presents new MIS 5e records from nine marine sediment cores located south of the Antarctic Polar Front between 55 and 70 degrees S. Winter sea-ice extent and sea-surface temperatures are reconstructed using marine diatom assemblages and a modern analogue technique transfer function, and changes in these environmental variables between the three Southern Ocean sectors are investigated. The Atlantic and East Indian sector records show much more variable MIS 5e winter sea-ice extent and sea-surface temperatures than the Pacific sector records. High variability in the Atlantic sector winter sea-ice extent is attributed to high glacial meltwater flux in the Weddell Sea, indicated by increased abundances of the diatom species Eucampia antarctica and Fragilariopsis cylindrus. The high variability in the East Indian sector winter sea-ice extent is conversely believed to result from large latitudinal migrations of the flow bands of the Antarctic Circumpolar Current, inferred from latitudinal shifts in the sea-surface temperature isotherms. Overall, these findings suggest that Pacific sector winter sea ice displays a low sensitivity to warmer climates. The different variability and sensitivity of Antarctic winter sea-ice extent in the three Southern Ocean sectors during MIS 5e may have significant implications for the Southern Hemisphere climatic system under future warming.</t>
  </si>
  <si>
    <t>[Chadwick, Matthew; Allen, Claire S.; Sime, Louise C.; Hillenbrand, Claus-Dieter] British Antarctic Survey, Madingley Rd, Cambridge CB3 0ET, England; [Chadwick, Matthew] Univ Southampton, Ocean &amp; Earth Sci, Natl Oceanog Ctr, Waterfront Campus,European Way, Southampton SO14 3ZH, Hants, England; [Crosta, Xavier] Univ Bordeaux, EPHE, CNRS, UMR EPOC 5805, F-33615 Pessac, France</t>
  </si>
  <si>
    <t>UK Research &amp; Innovation (UKRI); Natural Environment Research Council (NERC); NERC British Antarctic Survey; University of Southampton; NERC National Oceanography Centre; Universite de Bordeaux; Centre National de la Recherche Scientifique (CNRS); CNRS - National Institute for Earth Sciences &amp; Astronomy (INSU); Universite PSL; Ecole Pratique des Hautes Etudes (EPHE)</t>
  </si>
  <si>
    <t>Chadwick, M (corresponding author), British Antarctic Survey, Madingley Rd, Cambridge CB3 0ET, England.;Chadwick, M (corresponding author), Univ Southampton, Ocean &amp; Earth Sci, Natl Oceanog Ctr, Waterfront Campus,European Way, Southampton SO14 3ZH, Hants, England.</t>
  </si>
  <si>
    <t>machad27@bas.ac.uk</t>
  </si>
  <si>
    <t>Chadwick, Matthew/HTM-7278-2023</t>
  </si>
  <si>
    <t>Sime, Louise/0000-0002-9093-7926; Chadwick, Matthew/0000-0002-3861-4564</t>
  </si>
  <si>
    <t>Natural Environment Research Council [NE/L002531/1]; NERC [1940755, NE/P009271/1, NE/P013279/1, NE/S00954X/1] Funding Source: UKRI</t>
  </si>
  <si>
    <t>Natural Environment Research Council(UK Research &amp; Innovation (UKRI)Natural Environment Research Council (NERC)); NERC(UK Research &amp; Innovation (UKRI)Natural Environment Research Council (NERC))</t>
  </si>
  <si>
    <t>This research has been supported by the Natural Environment Research Council (grant no. NE/L002531/1).</t>
  </si>
  <si>
    <t>10.5194/cp-18-129-2022</t>
  </si>
  <si>
    <t>YP6RA</t>
  </si>
  <si>
    <t>WOS:000748749600001</t>
  </si>
  <si>
    <t>Begeman, CB; Asay-Davis, X; Van Roekel, L</t>
  </si>
  <si>
    <t>Begeman, Carolyn Branecky; Asay-Davis, Xylar; Van Roekel, Luke</t>
  </si>
  <si>
    <t>Ice-shelf ocean boundary layer dynamics from large-eddy simulations</t>
  </si>
  <si>
    <t>CHANNEL FLOW; NUMERICAL-SIMULATION; TURBULENCE; SEA; SURFACE; SHEET; CIRCULATION; FORMULATION; EVOLUTION; ABLATION</t>
  </si>
  <si>
    <t>Small-scale turbulent flow below ice shelves is regionally isolated and difficult to measure and simulate. Yet these small-scale processes, which regulate heat and salt transfer between the ocean and ice shelves, can affect sea-level rise by altering the ability of Antarctic ice shelves to buttress ice flux to the ocean. In this study, we improve our understanding of turbulence below ice shelves by means of large-eddy simulations at sub-meter resolution, capturing boundary layer mixing at scales intermediate between laboratory experiments or direct numerical simulations and regional or global ocean circulation models. Our simulations feature the development of an ice-shelf ocean boundary layer through dynamic ice melting in a regime with low thermal driving, low ice-shelf basal slope, and strong shear driven by the geostrophic flow. We present a preliminary assessment of existing ice-shelf basal melt parameterizations adopted in single component or coupled ice-sheet and ocean models on the basis of a small parameter study. While the parameterized linear relationship between ice-shelf melt rate and far-field ocean temperature appears to be robust, we point out a little-considered relationship between ice-shelf basal slope and melting worthy of further study.</t>
  </si>
  <si>
    <t>[Begeman, Carolyn Branecky; Asay-Davis, Xylar; Van Roekel, Luke] Los Alamos Natl Lab, Theoret Div, POB 1663, Los Alamos, NM 87545 USA</t>
  </si>
  <si>
    <t>United States Department of Energy (DOE); Los Alamos National Laboratory</t>
  </si>
  <si>
    <t>Begeman, CB (corresponding author), Los Alamos Natl Lab, Theoret Div, POB 1663, Los Alamos, NM 87545 USA.</t>
  </si>
  <si>
    <t>cbegeman@lanl.gov</t>
  </si>
  <si>
    <t>Asay-Davis, Xylar/0000-0002-1990-892X; Van Roekel, Luke/0000-0003-1418-5686; Begeman, Carolyn/0000-0001-9828-1741</t>
  </si>
  <si>
    <t>Los Alamos National Laboratory (LANL) through its Center for Space and Earth Science (CSES); LANL's Laboratory Directed Research and Development (LDRD) program [20210528CR]; LDRD program of LANL [20210289ER, 20180549ECR]; Scientific Discovery through Advanced Computing (SciDAC) program - US Department of Energy (DOE), Office of Science, Advanced Scientific Computing Research and Biological and Environmental Research programs</t>
  </si>
  <si>
    <t>Los Alamos National Laboratory (LANL) through its Center for Space and Earth Science (CSES); LANL's Laboratory Directed Research and Development (LDRD) program; LDRD program of LANL; Scientific Discovery through Advanced Computing (SciDAC) program - US Department of Energy (DOE), Office of Science, Advanced Scientific Computing Research and Biological and Environmental Research programs(United States Department of Energy (DOE))</t>
  </si>
  <si>
    <t>This research was supported by the Los Alamos National Laboratory (LANL) through its Center for Space and Earth Science (CSES). CSES is funded by LANL's Laboratory Directed Research and Development (LDRD) program (project number 20210528CR). This research was also supported by the LDRD program of LANL (project numbers 20210289ER and 20180549ECR). Support for simulation data analysis pertaining to ice-shelf melt parameterization and manuscript preparation was provided through the Scientific Discovery through Advanced Computing (SciDAC) program funded by the US Department of Energy (DOE), Office of Science, Advanced Scientific Computing Research and Biological and Environmental Research programs.</t>
  </si>
  <si>
    <t>10.5194/tc-16-277-2022</t>
  </si>
  <si>
    <t>YP6RO</t>
  </si>
  <si>
    <t>WOS:000748751000001</t>
  </si>
  <si>
    <t>Corr, D; Leeson, A; McMillan, M; Zhang, C; Barnes, T</t>
  </si>
  <si>
    <t>Corr, Diarmuid; Leeson, Amber; McMillan, Malcolm; Zhang, Ce; Barnes, Thomas</t>
  </si>
  <si>
    <t>An inventory of supraglacial lakes and channels across the West Antarctic Ice Sheet</t>
  </si>
  <si>
    <t>LANDSAT 8; BREAK-UP; SHELF; SURFACE; CLIMATE; EVOLUTION; MELTWATER; VULNERABILITY; COMPACTNESS; ALGORITHM</t>
  </si>
  <si>
    <t>Quantifying the extent and distribution of supraglacial hydrology, i.e. lakes and streams, is important for understanding the mass balance of the Antarctic ice sheet and its consequent contribution to global sea-level rise. The existence of meltwater on the ice surface has the potential to affect ice shelf stability and grounded ice flow through hydrofracturing and the associated delivery of meltwater to the bed. In this study, we systematically map all observable supraglacial lakes and streams in West Antarctica by applying a semi-automated Dual-NDWI (normalised difference water index) approach to &gt; 2000 images acquired by the Sentinel-2 and Landsat-8 satellites during January 2017. We use a K-means clustering method to partition water into lakes and streams, which is important for understanding the dynamics and inter-connectivity of the hydrological system. When compared to a manually delineated reference dataset on three Antarctic test sites, our approach achieves average values for sensitivity (85.3% and 77.6 %), specificity (99.1% and 99.7 %) and accuracy (98.7% and 98.3 %) for Sentinel-2 and Landsat-8 acquisitions, respectively. We identified 10 478 supraglacial features (10 223 lakes and 255 channels) on the West Antarctic Ice Sheet (WAIS) and Antarctic Peninsula (AP), with a combined area of 119.4 km(2) (114.7 km(2) lakes, 4.7 km(2) channels). We found 27.3% of feature area on grounded ice and 54.9% on floating ice shelves. In total, 17.8% of feature area crossed the grounding line. A recent expansion in satellite data provision made new continental-scale inventories such as these, the first produced for WAIS and AP, possible. The inventories provide a baseline for future studies and a benchmark to monitor the development of Antarctica's surface hydrology in a warming world and thus enhance our capability to predict the collapse of ice shelves in the future. The dataset is available at https://doi.org/10.5281/zenodo.5642755 (Corr et al., 2021).</t>
  </si>
  <si>
    <t>[Corr, Diarmuid; Leeson, Amber; McMillan, Malcolm; Zhang, Ce; Barnes, Thomas] Univ Lancaster, Ctr Excellence Environm Data Sci, Lancaster Environm Ctr, Lancaster LA1 4YQ, England; [Leeson, Amber; Zhang, Ce] Univ Lancaster, Data Sci Inst, Lancaster LA1 4YW, England; [McMillan, Malcolm] Univ Lancaster, UK Ctr Polar Observat &amp; Modelling, Lancaster LA1 4YW, England; [Zhang, Ce] UK Ctr Ecol &amp; Hydrol, Lib Ave, Lancaster LA1 4AP, England</t>
  </si>
  <si>
    <t>Lancaster University; Lancaster University; Lancaster University; UK Centre for Ecology &amp; Hydrology (UKCEH)</t>
  </si>
  <si>
    <t>Corr, D (corresponding author), Univ Lancaster, Ctr Excellence Environm Data Sci, Lancaster Environm Ctr, Lancaster LA1 4YQ, England.</t>
  </si>
  <si>
    <t>d.corr@lancaster.ac.uk</t>
  </si>
  <si>
    <t>Zhang, Ce/J-4906-2019; Leeson, Amber/JFA-1001-2023; McMillan, Malcolm/HLQ-1163-2023</t>
  </si>
  <si>
    <t>Zhang, Ce/0000-0001-5100-3584; Barnes, Thomas/0000-0002-8459-9510; Leeson, Amber/0000-0001-8720-9808; Corr, Diarmuid/0000-0002-7026-2052; McMillan, Malcolm/0000-0002-5113-0177</t>
  </si>
  <si>
    <t>European Space Agency [4D Antarctica 4000128611/19/IDT]; UK Research and Innovation [EP/R513076/1, 2349594]; UK NERC Centre for Polar Observation and Modelling [cpom300001]; EPSRC [2349594, EP/R513076/1] Funding Source: UKRI; NERC [NE/T009470/1] Funding Source: UKRI</t>
  </si>
  <si>
    <t>European Space Agency(European Space Agency); UK Research and Innovation(UK Research &amp; Innovation (UKRI)); UK NERC Centre for Polar Observation and Modelling(UK Research &amp; Innovation (UKRI)Natural Environment Research Council (NERC)); EPSRC(UK Research &amp; Innovation (UKRI)Engineering &amp; Physical Sciences Research Council (EPSRC)); NERC(UK Research &amp; Innovation (UKRI)Natural Environment Research Council (NERC))</t>
  </si>
  <si>
    <t>This research has been supported by the European Space Agency (grant no. 4D Antarctica 4000128611/19/IDT), the UK Research and Innovation (EP/R513076/1 (grant no. 2349594)) and the UK NERC Centre for Polar Observation and Modelling (grant no. cpom300001).</t>
  </si>
  <si>
    <t>10.5194/essd-14-209-2022</t>
  </si>
  <si>
    <t>YP6UM</t>
  </si>
  <si>
    <t>WOS:000748758600001</t>
  </si>
  <si>
    <t>Cordero, RR; Feron, S; Damiani, A; Redondas, A; Carrasco, J; Sepúlveda, E; Jorquera, J; Fernandoy, F; Llanillo, P; Rowe, PM; Seckmeyer, G</t>
  </si>
  <si>
    <t>Cordero, Raul R.; Feron, Sarah; Damiani, Alessandro; Redondas, Alberto; Carrasco, Jorge; Sepulveda, Edgardo; Jorquera, Jose; Fernandoy, Francisco; Llanillo, Pedro; Rowe, Penny M.; Seckmeyer, Gunther</t>
  </si>
  <si>
    <t>Persistent extreme ultraviolet irradiance in Antarctica despite the ozone recovery onset</t>
  </si>
  <si>
    <t>SOUTHERN ANNULAR MODE; CLIMATE-CHANGE; TRENDS; RADIATION; DEPLETION; IMPACT; HOLE; EMERGENCE; UV</t>
  </si>
  <si>
    <t>Attributable to the Montreal Protocol, the most successful environmental treaty ever, human-made ozone-depleting substances are declining and the stratospheric Antarctic ozone layer is recovering. However, the Antarctic ozone hole continues to occur every year, with the severity of ozone loss strongly modulated by meteorological conditions. In late November and early December 2020, we measured at the northern tip of the Antarctic Peninsula the highest ultraviolet (UV) irradiances recorded in the Antarctic continent in more than two decades. On Dec. 2nd, the noon-time UV index on King George Island peaked at 14.3, very close to the largest UV index ever recorded in the continent. On Dec. 3rd, the erythemal daily dose at the same site was among the highest on Earth, only comparable to those recorded at high altitude sites in the Atacama Desert, near the Tropic of Capricorn. Here we show that, despite the Antarctic ozone recovery observed in early spring, the conditions that favor these extreme surface UV events persist in late spring, when the biologically effective UV radiation is more consequential. These conditions include long-lasting ozone holes (attributable to the polar vortex dynamics) that often bring ozone-depleted air over the Antarctic Peninsula in late spring. The fact that these conditions have been occurring at about the same frequency during the last two decades explains the persistence of extreme surface UV events in Antarctica.</t>
  </si>
  <si>
    <t>[Cordero, Raul R.; Feron, Sarah; Sepulveda, Edgardo; Jorquera, Jose; Rowe, Penny M.] Univ Santiago Chile, Av Bernardo OHiggins, Santiago 3363, Chile; [Feron, Sarah] Univ Groningen, NL-8911 CE Leeuwarden, Netherlands; [Damiani, Alessandro] Chiba Univ, Ctr Environm Remote Sensing, Inage Ward, 1-33 Yayoicho, Chiba 2638522, Japan; [Redondas, Alberto] State Meteorol Agcy AEMET, Izana Atmospher Res Ctr IARC, Santa Cruz De Tenerife, Spain; [Carrasco, Jorge] Univ Magallanes, Av Manuel Bulnes 1855, Punta Arenas, Chile; [Fernandoy, Francisco] Univ Andres Bello, Quillota 980, Vina Del Mar, Chile; [Llanillo, Pedro] Alfred Wegener Inst AWI, Handelshafen 12, D-27570 Bremerhaven, Germany; [Rowe, Penny M.] NorthWest Res Associates, Redmond, WA USA; [Seckmeyer, Gunther] Leibniz Univ Hannover, Herrenhauser Str 2, Hannover, Germany</t>
  </si>
  <si>
    <t>Universidad de Santiago de Chile; University of Groningen; Chiba University; Agencia Estatal de Meteorologia (AEMET); Universidad de Magallanes; Universidad Andres Bello; Helmholtz Association; Alfred Wegener Institute, Helmholtz Centre for Polar &amp; Marine Research; NorthWest Research Associates; Leibniz University Hannover</t>
  </si>
  <si>
    <t>Cordero, RR (corresponding author), Univ Santiago Chile, Av Bernardo OHiggins, Santiago 3363, Chile.</t>
  </si>
  <si>
    <t>raul.cordero@usach.cl</t>
  </si>
  <si>
    <t>Redondas, Alberto/L-9299-2015; Carrasco, Jorge/ACG-6766-2022; Llanillo, Pedro/L-5877-2015</t>
  </si>
  <si>
    <t>Redondas, Alberto/0000-0002-4826-6823; Carrasco, Jorge/0000-0003-2154-5483; Feron, Sarah/0000-0002-0572-5639; Damiani, Alessandro/0000-0003-3014-6193; Cordero, Raul R./0000-0001-7607-7993; Llanillo, Pedro/0000-0002-9308-501X; Rowe, Penny/0000-0002-7594-0553</t>
  </si>
  <si>
    <t>INACH [RT_69-20 RT_70-18]; ANID (ANILLO ) [ACT210046]; ANID (FONDECYT ) [1191932, 1221122, DFG190004, REDES180158]; CORFO [19BP-117358, 18BPE-93920]</t>
  </si>
  <si>
    <t>INACH; ANID (ANILLO ); ANID (FONDECYT ); CORFO</t>
  </si>
  <si>
    <t>We thank the Laboratory for Atmospheres at NASA's Goddard Space Flight Center as well as each of the satellite teams for the data access and all their hard work in producing the datasets. We also thank the researchers contributing to the World Ozone and UV Data Center (WOUDC) and the Network for the Detection of Atmospheric Composition Change (NDACC). The support of INACH (RT_69-20 &amp; RT_70-18), ANID (ANILLO ACT210046, FONDECYT 1191932 &amp; 1221122, DFG190004 and REDES180158), CORFO (19BP-117358 &amp; 18BPE-93920) is gratefully acknowledged.</t>
  </si>
  <si>
    <t>10.1038/s41598-022-05449-8</t>
  </si>
  <si>
    <t>YM6RP</t>
  </si>
  <si>
    <t>WOS:000746700700006</t>
  </si>
  <si>
    <t>Yusof, NA; Masnoddin, M; Charles, J; Thien, YQ; Nasib, FN; Wong, CMVL; Murad, AMA; Mahadi, NM; Bharudin, I</t>
  </si>
  <si>
    <t>Yusof, Nur Athirah; Masnoddin, Makdi; Charles, Jennifer; Thien, Ying Qing; Nasib, Farhan Nazaie; Wong, Clemente Michael Vui Ling; Murad, Abdul Munir Abdul; Mahadi, Nor Muhammad; Bharudin, Izwan</t>
  </si>
  <si>
    <t>Can heat shock protein 70 (HSP70) serve as biomarkers in Antarctica for future ocean acidification, warming and salinity stress?</t>
  </si>
  <si>
    <t>HSP70 chaperone; Biomarker; Antarctica; Global warming; Heat stress; Salinity stress; Climate change; Bioindicators; Heat shock proteins</t>
  </si>
  <si>
    <t>HEAT-SHOCK-PROTEIN; MOLECULAR CHAPERONES; EXPRESSION ANALYSIS; HEAT-SHOCK-COGNATE-70 GENE; PHYSIOLOGICAL-RESPONSES; EUPLOTES-FOCARDII; ESCHERICHIA-COLI; CLIMATE-CHANGE; IN-VIVO; DNAK</t>
  </si>
  <si>
    <t>The Antarctic Peninsula is one of the fastest-warming places on Earth. Elevated sea water temperatures cause glacier and sea ice melting. When icebergs melt into the ocean, it freshens the saltwater around them, reducing its salinity. The oceans absorb excess anthropogenic carbon dioxide (CO2) causing decline in ocean pH, a process known as ocean acidification. Many marine organisms are specifically affected by ocean warming, freshening and acidification. Due to the sensitivity of Antarctica to global warming, using biomarkers is the best way for scientists to predict more accurately future climate change and provide useful information or ecological risk assessments. The 70-kilodalton (kDa) heat shock protein (HSP70) chaperones have been used as biomarkers of stress in temperate and tropical environments. The induction of the HSP70 genes (Hsp70) that alter intracellular proteins in living organisms is a signal triggered by environmental temperature changes. Induction of Hsp70 has been observed both in eukaryotes and in prokaryotes as response to environmental stressors including increased and decreased temperature, salinity, pH and the combined effects of changes in temperature, acidification and salinity stress. Generally, HSP70s play critical roles in numerous complex processes of metabolism; their synthesis can usually be increased or decreased during stressful conditions. However, there is a question as to whether HSP70s may serve as excellent biomarkers in the Antarctic considering the long residence time of Antarctic organisms in a cold polar environment which appears to have greatly modified the response of heat responding transcriptional systems. This review provides insight into the vital roles of HSP70 that make them ideal candidates as biomarkers for identifying resistance and resilience in response to abiotic stressors associated with climate change, which are the effects of ocean warming, freshening and acidification in Antarctic organisms.</t>
  </si>
  <si>
    <t>[Yusof, Nur Athirah; Masnoddin, Makdi; Charles, Jennifer; Thien, Ying Qing; Nasib, Farhan Nazaie; Wong, Clemente Michael Vui Ling] Univ Malaysia Sabah, Biotechnol Res Inst, Kota Kinabalu 88400, Sabah, Malaysia; [Murad, Abdul Munir Abdul; Bharudin, Izwan] Univ Kebangsaan Malaysia, Fac Sci &amp; Technol, Dept Biol Sci &amp; Biotechnol, Bangi 43600, Selangor, Malaysia; [Mahadi, Nor Muhammad] Malaysia Genome Inst, Jalan Bangi, Kajang 43000, Selangor Darul, Malaysia</t>
  </si>
  <si>
    <t>Universiti Malaysia Sabah; Universiti Kebangsaan Malaysia</t>
  </si>
  <si>
    <t>Yusof, NA (corresponding author), Univ Malaysia Sabah, Biotechnol Res Inst, Kota Kinabalu 88400, Sabah, Malaysia.</t>
  </si>
  <si>
    <t>nrathirah.yusof@ums.edu.my</t>
  </si>
  <si>
    <t>Wong, Clemente Michael Vui Ling/M-8372-2013; Yusof, Nur Athirah/ABD-6881-2021; Murad, Abdul/CAG-9324-2022; Abdul Murad, Abdul Munir/L-8575-2017</t>
  </si>
  <si>
    <t>Wong, Clemente Michael Vui Ling/0000-0003-3431-8896; Yusof, Nur Athirah/0000-0002-9298-7425; Abdul Murad, Abdul Munir/0000-0001-6402-7198</t>
  </si>
  <si>
    <t>Yayasan Penyelidikan Antartika Sultan Mizan (YPASM) [GLS0032-2019]; Ministry of Higher Education Malaysia [FRGS/1/2017/STG05/UMS/02/2]; Universiti Malaysia Sabah</t>
  </si>
  <si>
    <t>Yayasan Penyelidikan Antartika Sultan Mizan (YPASM); Ministry of Higher Education Malaysia(Ministry of Education, Malaysia); Universiti Malaysia Sabah</t>
  </si>
  <si>
    <t>This research was funded by Yayasan Penyelidikan Antartika Sultan Mizan (YPASM) (Grant Number GLS0032-2019) and the Ministry of Higher Education Malaysia (FRGS/1/2017/STG05/UMS/02/2). The APC was funded by Universiti Malaysia Sabah.</t>
  </si>
  <si>
    <t>10.1007/s00300-022-03006-7</t>
  </si>
  <si>
    <t>WOS:000746300500001</t>
  </si>
  <si>
    <t>Abu Bakar, N; Lau, BYC; Smykla, J; Karsani, SA; Alias, SA</t>
  </si>
  <si>
    <t>Abu Bakar, Nurlizah; Lau, Benjamin Yii Chung; Smykla, Jerzy; Karsani, Saiful Anuar; Alias, Siti Aisyah</t>
  </si>
  <si>
    <t>Protein homeostasis, regulation of energy production and activation of DNA damage-repair pathways are involved in the heat stress response of Pseudogymnoascus spp.</t>
  </si>
  <si>
    <t>SAMPLE PREPARATION; SHOCK RESPONSE; GROWTH; FUNGI; PROTEOMICS; IDENTIFICATION; TOLERANCE; EVOLUTION; STRAINS; SPP.</t>
  </si>
  <si>
    <t>Proteome changes can be used as an instrument to measure the effects of climate change, predict the possible future state of an ecosystem and the direction in which is headed. In this study, proteomic and gene ontology functional enrichment analysis of six Pseudogymnoascus spp. isolated from various global biogeographical regions were carried out to determine their response to heat stress. In total, 2122 proteins were identified with high confidence. Comparative quantitative analysis showed that changes in proteome profiles varied greatly between isolates from different biogeographical regions. Although the identities of the proteins that changed varied between the different regions, the functions they governed were similar. Gene ontology analysis showed enrichment of proteins involved in multiple protective mechanisms, including the modulation of protein homeostasis, regulation of energy production and activation of DNA damage and repair pathways. Our proteomic analysis did not show any clear relationship between protein changes and the strains' biogeographical origins.</t>
  </si>
  <si>
    <t>[Abu Bakar, Nurlizah; Alias, Siti Aisyah] Univ Malaya, Inst Ocean &amp; Earth Sci, Inst Adv Studies Bldg, C308, Kuala Lumpur 50603, Malaysia; [Abu Bakar, Nurlizah; Alias, Siti Aisyah] Univ Malaya, Natl Antarctic Res Ctr, Inst Adv Studies Bldg, B303, Kuala Lumpur 50603, Malaysia; [Lau, Benjamin Yii Chung] Adv Biotechnol &amp; Breeding Ctr, Malaysian Palm Oil Board, 6 Persiaran Institusi, Kajang 43000, Selangor, Malaysia; [Smykla, Jerzy] Polish Acad Sci, Inst Nat Conservat, Dept Biodivers, Mickiewicza 33, PL-31120 Krakow, Poland; [Karsani, Saiful Anuar] Univ Malaya, Fac Sci, Inst Biol Sci, Kuala Lumpur 50603, Malaysia</t>
  </si>
  <si>
    <t>Universiti Malaya; Universiti Malaya; Malaysian Palm Oil Board; Polish Academy of Sciences; Universiti Malaya</t>
  </si>
  <si>
    <t>Alias, SA (corresponding author), Univ Malaya, Inst Ocean &amp; Earth Sci, Inst Adv Studies Bldg, C308, Kuala Lumpur 50603, Malaysia.;Alias, SA (corresponding author), Univ Malaya, Natl Antarctic Res Ctr, Inst Adv Studies Bldg, B303, Kuala Lumpur 50603, Malaysia.</t>
  </si>
  <si>
    <t>saa@um.edu.my</t>
  </si>
  <si>
    <t>abu bakar, nurlizah/ACT-9817-2022; FASc, SITI AISYAH A. HJ ALIAS/B-9785-2010; Lau, Benjamin/AAI-2935-2020; SA, karsani/B-9667-2010; Smykla, Jerzy/N-3288-2014</t>
  </si>
  <si>
    <t>FASc, SITI AISYAH A. HJ ALIAS/0000-0002-6759-5745; Lau, Benjamin/0000-0001-7211-8284; SA, karsani/0000-0003-1617-9554; ABU BAKAR, NURLIZAH/0000-0002-9238-5889; Smykla, Jerzy/0000-0001-8228-6695</t>
  </si>
  <si>
    <t>Malaysian Ministry of Higher Education (MOHE) [IOES-2014G]; Universiti Malaya Research Programme (UMRP) [RP026A-18SUS]; Majlis Amanah Rakyat Malaysia (MARA Scholarship Programme)</t>
  </si>
  <si>
    <t>Malaysian Ministry of Higher Education (MOHE); Universiti Malaya Research Programme (UMRP); Majlis Amanah Rakyat Malaysia (MARA Scholarship Programme)</t>
  </si>
  <si>
    <t>We would like to thank the Malaysian Ministry of Higher Education (MOHE) through their funding programme -Higher Institution Centre of Excellence (HiCoE) (grant number IOES-2014G), and the Universiti Malaya Research Programme (UMRP) (grant number RP026A-18SUS), and postgraduate sponsorship for Nurlizah Abu Bakar from the Majlis Amanah Rakyat Malaysia (MARA Scholarship Programme).</t>
  </si>
  <si>
    <t>10.1111/1462-2920.15776</t>
  </si>
  <si>
    <t>0U9TT</t>
  </si>
  <si>
    <t>WOS:000745906100001</t>
  </si>
  <si>
    <t>Weiskopf, SR; Harmácková, Z; Johnson, CG; Londoño-Murcia, MC; Miller, BW; Myers, BJE; Pereira, L; Arce-Plata, MI; Blanchard, JL; Ferrier, S; Fulton, EA; Harfoot, M; Isbell, F; Johnson, JA; Mori, AS; Weng, ES; Rosa, IMD</t>
  </si>
  <si>
    <t>Weiskopf, Sarah R.; Harmackova, Zuzana, V; Johnson, Ciara G.; Londono-Murcia, Maria Cecilia; Miller, Brian W.; Myers, Bonnie J. E.; Pereira, Laura; Arce-Plata, Maria Isabel; Blanchard, Julia L.; Ferrier, Simon; Fulton, Elizabeth A.; Harfoot, Mike; Isbell, Forest; Johnson, Justin A.; Mori, Akira S.; Weng, Ensheng; Rosa, Isabel M. D.</t>
  </si>
  <si>
    <t>Increasing the uptake of ecological model results in policy decisions to improve biodiversity outcomes</t>
  </si>
  <si>
    <t>ENVIRONMENTAL MODELLING &amp; SOFTWARE</t>
  </si>
  <si>
    <t>Biodiversity-ecosystem function relationships; Co-production; Ecological modeling; Policy relevance; Stakeholder engagement</t>
  </si>
  <si>
    <t>NEW-SOUTH-WALES; ECOSYSTEM SERVICES; SPATIAL PATTERN; CONSERVATION; KNOWLEDGE; OPPORTUNITIES; SCIENCE; LINKING; TRUST</t>
  </si>
  <si>
    <t>Models help decision-makers anticipate the consequences of policies for ecosystems and people; for instance, improving our ability to represent interactions between human activities and ecological systems is essential to identify pathways to meet the 2030 Sustainable Development Goals. However, use of modeling outputs in decision-making remains uncommon. We share insights from a multidisciplinary National Socio-Environmental Synthesis Center working group on technical, communication, and process-related factors that facilitate or hamper uptake of model results. We emphasize that it is not simply technical model improvements, but active and iterative stakeholder involvement that can lead to more impactful outcomes. In particular, trust-and relationship-building with decision-makers are key for knowledge-based decision making. In this respect, nurturing knowledge exchange on the interpersonal (e.g., through participatory processes) and institutional level (e.g., through science-policy interfaces across scales) represents a promising approach. To this end, we offer a generalized approach for linking modeling and decision-making.</t>
  </si>
  <si>
    <t>[Weiskopf, Sarah R.] US Geol Survey, Natl Climate Adaptat Sci Ctr, 959 Natl Ctr, Reston, VA 22092 USA; [Harmackova, Zuzana, V] Czech Acad Sci, Global Change Res Inst, Belidla 986-4a, Brno 60300, Czech Republic; [Johnson, Ciara G.] George Mason Univ, Dept Environm Sci &amp; Policy, Fairfax, VA 22030 USA; [Londono-Murcia, Maria Cecilia] Inst Invest Recursos Biol Alexander von Humboldt, Bogota, Colombia; [Miller, Brian W.] US Geol Survey, North Cent Climate Adaptat Sci Ctr, Ft Collins, CO USA; [Myers, Bonnie J. E.] North Carolina State Univ, Dept Appl Ecol, Raleigh, NC 27695 USA; [Pereira, Laura] Univ Witwatersrand, Global Change Inst, Johannesburg, South Africa; [Harmackova, Zuzana, V; Pereira, Laura] Stockholm Univ, Stockholm Resilience Ctr, Stockholm, Sweden; [Arce-Plata, Maria Isabel] Univ Montreal, Dept Sci Biol, Quantitat &amp; Computat Ecol Lab, Montreal, PQ H3T 1J4, Canada; [Blanchard, Julia L.] Univ Tasmania, Inst Marine &amp; Antarctic Studies, Hobart, Tas, Australia; [Blanchard, Julia L.; Fulton, Elizabeth A.] Univ Tasmania, Ctr Marine Socioecol, Hobart, Tas, Australia; [Ferrier, Simon] CSIRO, Land &amp; Water, Canberra, ACT 2601, Australia; [Fulton, Elizabeth A.] CSIRO, Oceans &amp; Atmosphere, GPO Box 1538, Hobart, Tas 7001, Australia; [Harfoot, Mike] United Nations Environm Programme World Conserva, Cambridge, England; [Isbell, Forest] Univ Minnesota, Dept Ecol Evolut &amp; Behav, St Paul, MN 55108 USA; [Johnson, Justin A.] Univ Minnesota, Dept Appl Econ, St Paul, MN 55108 USA; [Mori, Akira S.] Yokohama Natl Univ, Grad Sch Environm &amp; Informat Sci, Yokohama, Kanagawa, Japan; [Weng, Ensheng] Columbia Univ, Ctr Climate Syst Res, New York, NY USA; [Rosa, Isabel M. D.] Bangor Univ, Sch Nat Sci, Bangor LL57 2UW, Gwynedd, Wales; [Weng, Ensheng] NASA, Goddard Inst Space Studies, 2880 Broadway, New York, NY 10025 USA</t>
  </si>
  <si>
    <t>United States Department of the Interior; United States Geological Survey; Czech Academy of Sciences; Global Change Research Centre of the Czech Academy of Sciences; George Mason University; Alliance; International Center for Tropical Agriculture - CIAT; United States Department of the Interior; United States Geological Survey; North Carolina State University; University of Witwatersrand; Stockholm University; Universite de Montreal; University of Tasmania; University of Tasmania; Commonwealth Scientific &amp; Industrial Research Organisation (CSIRO); CSIRO Land &amp; Water; Commonwealth Scientific &amp; Industrial Research Organisation (CSIRO); University of Minnesota System; University of Minnesota Twin Cities; University of Minnesota System; University of Minnesota Twin Cities; Yokohama National University; Columbia University; Bangor University; National Aeronautics &amp; Space Administration (NASA); NASA Goddard Space Flight Center; Goddard Institute for Space Studies</t>
  </si>
  <si>
    <t>Weiskopf, SR (corresponding author), US Geol Survey, Natl Climate Adaptat Sci Ctr, 959 Natl Ctr, Reston, VA 22092 USA.</t>
  </si>
  <si>
    <t>sweiskopf@usgs.gov</t>
  </si>
  <si>
    <t>Weng, Ensheng/E-4390-2012; Mori, Akira S/A-6570-2013; Pereira, Laura/L-7258-2013; Ferrier, Simon/C-1490-2009; Fulton, Beth/A-2871-2008; Harmáčková, Zuzana V./G-1886-2014; Miller, Brian W/D-3005-2016; Weiskopf, Sarah/K-1633-2019; Isbell, Forest/C-6915-2012</t>
  </si>
  <si>
    <t>Mori, Akira S/0000-0002-8422-1198; Pereira, Laura/0000-0002-4996-7234; Harmáčková, Zuzana V./0000-0001-7711-4135; Weiskopf, Sarah/0000-0002-5933-8191; Isbell, Forest/0000-0001-9689-769X; Johnson, Ciara/0000-0002-8333-9733; Miller, Brian/0000-0003-1716-1161</t>
  </si>
  <si>
    <t>National Socio-Environmental Synthesis Center (SESYNC); National Science Foundation [DBI-1639145]; U.S. Geological Survey National and North Central Climate Adaptation Science Centers</t>
  </si>
  <si>
    <t>National Socio-Environmental Synthesis Center (SESYNC)(National Science Foundation (NSF)NSF - Directorate for Biological Sciences (BIO)); National Science Foundation(National Science Foundation (NSF)); U.S. Geological Survey National and North Central Climate Adaptation Science Centers</t>
  </si>
  <si>
    <t>This work was supported by the National Socio-Environmental Synthesis Center (SESYNC) under funding received from the National Science Foundation DBI-1639145. A portion of this research was sup-ported by the U.S. Geological Survey National and North Central Climate Adaptation Science Centers. Any use of trade, firm, or product names is for descriptive purposes only and does not imply endorsement by the U.S. Government. We thank A. Cravens for her helpful review comments.</t>
  </si>
  <si>
    <t>1364-8152</t>
  </si>
  <si>
    <t>1873-6726</t>
  </si>
  <si>
    <t>ENVIRON MODELL SOFTW</t>
  </si>
  <si>
    <t>Environ. Modell. Softw.</t>
  </si>
  <si>
    <t>10.1016/j.envsoft.2022.105318</t>
  </si>
  <si>
    <t>Computer Science, Interdisciplinary Applications; Engineering, Environmental; Environmental Sciences; Water Resources</t>
  </si>
  <si>
    <t>Computer Science; Engineering; Environmental Sciences &amp; Ecology; Water Resources</t>
  </si>
  <si>
    <t>0T6XN</t>
  </si>
  <si>
    <t>WOS:000787109500005</t>
  </si>
  <si>
    <t>Tagliaferro, M; Granitto, M; Rodríguez, P; Anderson, CB</t>
  </si>
  <si>
    <t>Tagliaferro, Marina; Granitto, Maria; Rodriguez, Patricia; Anderson, Christopher B.</t>
  </si>
  <si>
    <t>Response of sub-Antarctic streams to urbanization: Relevance of assemblage structure and independent reference areas</t>
  </si>
  <si>
    <t>LIMNOLOGICA</t>
  </si>
  <si>
    <t>Macroinvertebrates; Patagonia; Urbanization; Andean streams</t>
  </si>
  <si>
    <t>SANTA-CRUZ RIVER; WATER-QUALITY; TROPICAL STREAM; CLIMATE-CHANGE; URBAN STREAMS; LAND-USE; MACROINVERTEBRATES; BIODIVERSITY; ECOLOGY; FISH</t>
  </si>
  <si>
    <t>Andean Patagonia is experiencing sudden changes due to unorganized urban expansion. Despite being known for its wilderness areas, southern Patagonian urban streams have been increasingly studied during the last decade, using reference-impact gradients within urbanizing watersheds. Here, we assess urbanization effects on stream integrity by comparing environmental characteristics on independent reference streams vs. urban streams, and the benthic macroinvertebrate community structure along three stream reaches in an urbanization gradient. In comparison to reference sites, urban streams had higher nutrient concentrations, temperature, turbidity, stream flow, and total primary producer biomass, accompanied by lower dissolved oxygen concentrations, substrate particle size, mainly along mid and downstream areas. These variables were the main factors structuring macroinvertebrate assemblage ordination analysis. Macroinvertebrate assemblages from areas upstream from the urbanization differed from their counterparts in reference streams, but not from downstream reference areas. Environmental characteristics and biotic assemblage structure were altered in urban streams, even in reaches located upstream from urbanization, compared to independent upstream reference reaches. This study highlights the importance of a community and comparative vision towards independent areas with low impact to serve as reference values and establish appropriate goals or baselines when assessing ecological conditions and potential restoration.</t>
  </si>
  <si>
    <t>[Tagliaferro, Marina; Granitto, Maria; Rodriguez, Patricia; Anderson, Christopher B.] Consejo Nacl Invest Cient Tecn CONICET, Ctr Austral Invest Cient CADIC, Houssay 200, RA-9410 Ushuaia, Tierra Fuego, Argentina; [Rodriguez, Patricia; Anderson, Christopher B.] Univ Nacl Tierra Fuego UNTDF, Inst Ciencias Polares Ambiente Recursos Nat ICPA, Houssay 200, RA-9410 Ushuaia, Tierra Fuego, Argentina</t>
  </si>
  <si>
    <t>Tagliaferro, M (corresponding author), Consejo Nacl Invest Cient Tecn CONICET, Ctr Austral Invest Cient CADIC, Houssay 200, RA-9410 Ushuaia, Tierra Fuego, Argentina.</t>
  </si>
  <si>
    <t>azulmarinita@gmail.com</t>
  </si>
  <si>
    <t>Tagliaferro, Marina/M-6560-2015; Anderson, Christopher/V-4882-2019</t>
  </si>
  <si>
    <t>Tagliaferro, Marina/0000-0002-8795-3802; Anderson, Christopher/0000-0001-8120-5689</t>
  </si>
  <si>
    <t>CONICET [PIP 0440, P-UE 2016]; [PICT 2014-2842]; [PICT 2015-1152]</t>
  </si>
  <si>
    <t>CONICET(Consejo Nacional de Investigaciones Cientificas y Tecnicas (CONICET)); ;</t>
  </si>
  <si>
    <t>PICT 2014-2842 (CBA), PICT 2015-1152 (PR), and CONICET (PIP 0440, P-UE 2016).</t>
  </si>
  <si>
    <t>0075-9511</t>
  </si>
  <si>
    <t>1873-5851</t>
  </si>
  <si>
    <t>Limnologica</t>
  </si>
  <si>
    <t>10.1016/j.limno.2022.125956</t>
  </si>
  <si>
    <t>Limnology</t>
  </si>
  <si>
    <t>0N9UY</t>
  </si>
  <si>
    <t>WOS:000783176200002</t>
  </si>
  <si>
    <t>Zheng, HY; Cai, MH; Yang, C; Gao, Y; Chen, ZY; Liu, YG</t>
  </si>
  <si>
    <t>Zheng, Hongyuan; Cai, Minghong; Yang, Chao; Gao, Yuan; Chen, Zhiyi; Liu, Yanguang</t>
  </si>
  <si>
    <t>Terrigenous export and ocean currents' diffusion of organophosphorus flame retardants along China's adjacent seas</t>
  </si>
  <si>
    <t>ENVIRONMENTAL POLLUTION</t>
  </si>
  <si>
    <t>OPFRs; China adjacent Seas; Ocean surface currents; Terrigenous contamination export; Surface diffusion trend</t>
  </si>
  <si>
    <t>SPATIAL-DISTRIBUTION; NORTH PACIFIC; RIVER ESTUARY; YELLOW SEAS; BOHAI SEA; PLASTICIZERS; COASTAL; ESTERS; SEDIMENTS; SEAWATER</t>
  </si>
  <si>
    <t>High demands for but strict regulatory measures on Organophosphorus Flame Retardants (OPFRs) have resulted in mainland China transitioning from the region that imports OPRFs to one that exports these substances. Simultaneously, large quantities of terrigenous OPFRs have been exported to adjacent seas by the major river systems, particularly the Yangtze River. This study examined the presence of ten OPFRs in China's adjacent seas. High levels of OPFRs were observed in seas south of mainland China, with Tris (2-chloroethyl) phosphate (TCEP) and Tris (1,3-dichloro-2-propyl) phosphate (TDCPP) dominant. The terrigenous OPFRs were redistributed by the ocean surface currents, with OPFRs tending to accumulate in regions with lower current speed. The producers of OPFRs are mainly distributed along the Haihe, Yellow, and Yangtze river systems. The application of OPFRs to electric vehicle charging stations, charging connectors, and 5G infrastructure in the Chinese mainland will likely drive rapid growth in OPFR related industry in the future. The diffusion trend map of OPFR indicated that the Bohai Sea and the central northern Yellow Sea are at high risk of ecological damage in the spring. The offshore region of the north of the South China Sea tended to aggregate more OPFRs in summer. Regions of the OPFR aggregation effect were at a higher risk of ecological damage.</t>
  </si>
  <si>
    <t>[Zheng, Hongyuan; Cai, Minghong; Gao, Yuan; Chen, Zhiyi] Polar Res Inst China, Key Lab Polar Sci, Minist Nat Resources, Shanghai 200136, Peoples R China; [Zheng, Hongyuan; Cai, Minghong; Gao, Yuan; Chen, Zhiyi] Polar Res Inst China, Antarctic Great Wall Ecol Natl Observat &amp; Res Stn, 1000 Xuelong Rd, Shanghai 201209, Peoples R China; [Zheng, Hongyuan; Yang, Chao; Chen, Zhiyi] Tongji Univ, Coll Environm Sci &amp; Engn, Shanghai 200092, Peoples R China; [Cai, Minghong] Shanghai Jiao Tong Univ, Sch Oceanog, 1954 Huashan Rd, Shanghai 200030, Peoples R China; [Liu, Yanguang] Minist Nat Resources MNR, Inst Oceanog 1, Key Lab Marine Geol &amp; Metallogeny, Qingdao 266061, Peoples R China</t>
  </si>
  <si>
    <t>Polar Research Institute of China; Ministry of Natural Resources of the People's Republic of China; Polar Research Institute of China; Tongji University; Shanghai Jiao Tong University; Ministry of Natural Resources of the People's Republic of China</t>
  </si>
  <si>
    <t>Liu, YG (corresponding author), Minist Nat Resources MNR, Inst Oceanog 1, Key Lab Marine Geol &amp; Metallogeny, Qingdao 266061, Peoples R China.</t>
  </si>
  <si>
    <t>zhenghongyuan@pric.org.cn; caiminghoug@pric.org.cn; yangchao_env@tongji.edu.cn; gaoyuan@pric.org.cn; chenzhiyi94@163.com; yanguangliu@fio.org.cn</t>
  </si>
  <si>
    <t>ZHENG, HONGYUAN/ABF-9513-2020; Liu, Yanguang/C-9035-2019</t>
  </si>
  <si>
    <t>ZHENG, HONGYUAN/0000-0002-0225-3883; Cai, Minghong/0000-0003-2107-4386; CHEN, ZHIYI/0000-0002-7664-959X; Liu, Yanguang/0000-0002-4524-2930</t>
  </si>
  <si>
    <t>National Natural Science Foundation of China [41776202]; National Key Research and Development Program of China [2021YFC2801103]</t>
  </si>
  <si>
    <t>National Natural Science Foundation of China(National Natural Science Foundation of China (NSFC)); National Key Research and Development Program of China</t>
  </si>
  <si>
    <t>This work was supported by the National Natural Science Foundation of China (NO. 41776202) and the National Key Research and Development Program of China (NO. 2021YFC2801103). Special thanks to the crew of R/V: Xiangyanghong 18 and the Xuelong 2. Data acquisition and sample collections were supported by the comprehensive voyage of Chinese coastal seas of First Institute of Oceanography (Ministry of Natural Resources, China). The authors declared that all the work was original and was not published elsewhere in whole or part. All the authors have approved the manuscript.</t>
  </si>
  <si>
    <t>0269-7491</t>
  </si>
  <si>
    <t>1873-6424</t>
  </si>
  <si>
    <t>ENVIRON POLLUT</t>
  </si>
  <si>
    <t>Environ. Pollut.</t>
  </si>
  <si>
    <t>10.1016/j.envpol.2022.118873</t>
  </si>
  <si>
    <t>ZD8NX</t>
  </si>
  <si>
    <t>WOS:000758453300009</t>
  </si>
  <si>
    <t>Norregaard, RD; Bach, L; Geertz-Hansen, O; Nabe-Nielsen, J; Nowak, B; Jantawongsri, K; Dang, M; Sondergaard, J; Leifsson, PS; Jenssen, BM; Ciesielski, TM; Arukwe, A; Sonne, C</t>
  </si>
  <si>
    <t>Norregaard, Rasmus Dyrmose; Bach, Lis; Geertz-Hansen, Ole; Nabe-Nielsen, Jacob; Nowak, Barbara; Jantawongsri, Khattapan; Dang, Mai; Sondergaard, Jens; Leifsson, Pall S.; Jenssen, Bjorn M.; Ciesielski, Tomasz M.; Arukwe, Augustine; Sonne, Christian</t>
  </si>
  <si>
    <t>Element concentrations, histology and serum biochemistry of arctic char (Salvelinus alpinus) and shorthorn sculpins (Myoxocephalus scorpius) in northwest Greenland</t>
  </si>
  <si>
    <t>Arctic char; Shorthorn sculpin; Greenland; Elements; Histology; Biochemistry; Serum</t>
  </si>
  <si>
    <t>RARE-EARTH-ELEMENTS; LEAD-ZINC MINE; BROWN BULLHEAD; HEAVY-METALS; LIVER; MERCURY; FISH; TOXICITY; MARINE; BIOACCUMULATION</t>
  </si>
  <si>
    <t>The increasing exploratory efforts in the Greenland mineral industry, and in particular, the proposed rare earth element (REE) mining projects, requires an urgent need to generate data on baseline REE concentrations and their potential environmental impacts. Herein, we have investigated REE concentrations in anadromous Arctic char (Salvelinus alpinus) and shorthorn sculpins (Myoxocephalus scorpius) from uncontaminated sites in Northwest Greenland, along with the relationships between the element concentrations in gills and liver, and gill histology and serum biochemical parameters. Concentrations of arsenic, silver, cadmium, cerium, chromium, copper, dysprosium, mercury, lanthanum, neodymium, lead, selenium, yttrium, and zinc in gills, liver and muscle are presented. No significant statistical correlations were observed between element concentrations in different organs and gill histology or serum biochemical parameters. However, we observed positive relationships between age and histopathology, emphasizing the importance of including age as a co-variable in histological studies of fish. Despite no element-induced effects were observed, this study is considered an important baseline study, which can be used as a reference for the assessment of impacts of potential future REE mine sites in Greenland.</t>
  </si>
  <si>
    <t>[Norregaard, Rasmus Dyrmose; Bach, Lis; Nabe-Nielsen, Jacob; Sondergaard, Jens; Jenssen, Bjorn M.; Sonne, Christian] Aarhus Univ, Fac Tech Sci, Dept Ecosci, Frederiksborgvej 399, DK-4000 Roskilde, Denmark; [Norregaard, Rasmus Dyrmose; Geertz-Hansen, Ole] Greenland Inst Nat Resources, Dept Environm &amp; Mineral Resources, Nuuk 3900, Greenland; [Nowak, Barbara; Jantawongsri, Khattapan; Dang, Mai] Univ Tasmania, Inst Marine &amp; Antarctic Studies, Newnham, Tas 7248, Australia; [Leifsson, Pall S.] Univ Copenhagen, Fac Hlth &amp; Med Sci, Dept Vet &amp; Anim Sci, Frederiksberg, Denmark; [Norregaard, Rasmus Dyrmose; Bach, Lis; Nabe-Nielsen, Jacob; Nowak, Barbara; Sondergaard, Jens; Sonne, Christian] Aarhus Univ, Arctic Res Ctr, Munkegade 116, DK-8000 Aarhus C, Denmark; [Jenssen, Bjorn M.; Ciesielski, Tomasz M.; Arukwe, Augustine] Norwegian Univ Sci &amp; Technol, Fac Nat Sci, Dept Biol, Hogskoleringen 5, Trondheim, Norway; [Sonne, Christian] Henan Agr Univ, Henan Prov Engn Res Ctr Biomass Value Added Prod, Sch Forestry, Zhengzhou 450002, Peoples R China</t>
  </si>
  <si>
    <t>Aarhus University; Greenland Institute of Natural Resources; University of Tasmania; University of Copenhagen; Aarhus University; Norwegian University of Science &amp; Technology (NTNU); Henan Agricultural University</t>
  </si>
  <si>
    <t>Bach, L (corresponding author), Aarhus Univ, Fac Tech Sci, Dept Ecosci, Frederiksborgvej 399, DK-4000 Roskilde, Denmark.;Bach, L (corresponding author), Arctic Res Ctr, Frederiksborgvej 399, DK-4000 Roskilde, Denmark.</t>
  </si>
  <si>
    <t>rasmusnorregaard@gmail.com; lb@ecos.au.dk; cs@eces.au.dk</t>
  </si>
  <si>
    <t>Søndergaard, Jens/AAZ-1079-2020; Jenssen, Bjorn M/J-4830-2012; Nabe-Nielsen, Jacob/A-5891-2010; Ciesielski, Tomasz/J-9039-2012; Sonne, Christian/I-7532-2013; Bach, Lis/J-6567-2013</t>
  </si>
  <si>
    <t>Søndergaard, Jens/0000-0001-7680-9920; Nabe-Nielsen, Jacob/0000-0002-0716-9525; Sonne, Christian/0000-0001-5723-5263; Ciesielski, Tomasz Maciej/0000-0001-7509-1662; Jantawongsri, Khattapan/0000-0003-1738-8091; Dang, Mai T. S./0000-0003-2542-120X; Bach, Lis/0000-0003-2891-4202; Leifsson, Pall S/0000-0003-1539-9491</t>
  </si>
  <si>
    <t>Greenland Research Council; Torben og Alice Frimodts Fond; Environmental Agency for Mineral Resource Activities, Government of Greenland [771020]; Ministry of Environment and Food of Denmark; Arctic Research Centre, Aarhus University</t>
  </si>
  <si>
    <t>Greenland Research Council; Torben og Alice Frimodts Fond; Environmental Agency for Mineral Resource Activities, Government of Greenland; Ministry of Environment and Food of Denmark; Arctic Research Centre, Aarhus University</t>
  </si>
  <si>
    <t>The Greenland Research Council is acknowledged for funding Ras-mus D. NOrregaards PhD study, along with 'Torben og Alice Frimodts Fond' for providing additional funding for this study. This project was funded by financial support from The Environmental Agency for Mineral Resource Activities (project 771020) , Government of Greenland and The Ministry of Environment and Food of Denmark. The project also received funding from the Arctic Research Centre, Aarhus University. Hans and Birthe Jensen at Hotel Qaanaaq are acknowledged for their invaluable contribution with accommodation and assistance in the field work - without their help this study would not have been possible. AM Plejdrup and SE Joensen at Bioscience are acknowledged for conducting the element analyses. Laboratory technician B Andersen at Department of Veterinary and Animal Sciences, University of Copenhagen is acknowledged for preparing slides for histological examination.</t>
  </si>
  <si>
    <t>10.1016/j.envres.2022.112742</t>
  </si>
  <si>
    <t>YU4RW</t>
  </si>
  <si>
    <t>Green Published, Green Accepted</t>
  </si>
  <si>
    <t>WOS:000752033300007</t>
  </si>
  <si>
    <t>Ghalamara, S; Silva, S; Brazinha, C; Pintado, M</t>
  </si>
  <si>
    <t>Ghalamara, Soudabeh; Silva, Sara; Brazinha, Carla; Pintado, Manuela</t>
  </si>
  <si>
    <t>Structural diversity of marine anti-freezing proteins, properties and potential applications: a review</t>
  </si>
  <si>
    <t>BIORESOURCES AND BIOPROCESSING</t>
  </si>
  <si>
    <t>Marine antifreeze proteins; Ice recrystallization inhibition (IRI); Thermal hysteresis (TH); Function; Potential applications</t>
  </si>
  <si>
    <t>III ANTIFREEZE PROTEIN; ICE-BINDING PROTEIN; ANTARCTIC EEL POUT; DIATOM FRAGILARIOPSIS-CYLINDRUS; COD GADUS-MORHUA; RED-BLOOD-CELLS; THERMAL HYSTERESIS; RECRYSTALLIZATION INHIBITION; WINTER FLOUNDER; SEA-ICE</t>
  </si>
  <si>
    <t>Cold-adapted organisms, such as fishes, insects, plants and bacteria produce a group of proteins known as antifreeze proteins (AFPs). The specific functions of AFPs, including thermal hysteresis (TH), ice recrystallization inhibition (IRI), dynamic ice shaping (DIS) and interaction with membranes, attracted significant interest for their incorporation into commercial products. AFPs represent their effects by lowering the water freezing point as well as preventing the growth of ice crystals and recrystallization during frozen storage. The potential of AFPs to modify ice growth results in ice crystal stabilizing over a defined temperature range and inhibiting ice recrystallization, which could minimize drip loss during thawing, improve the quality and increase the shelf-life of frozen products. Most cryopreservation studies using marine-derived AFPs have shown that the addition of AFPs can increase post-thaw viability. Nevertheless, the reduced availability of bulk proteins and the need of biotechnological techniques for industrial production, limit the possible usage in foods. Despite all these drawbacks, relatively small concentrations are enough to show activity, which suggests AFPs as potential food additives in the future. The present work aims to review the results of numerous investigations on marine-derived AFPs and discuss their structure, function, physicochemical properties, purification and potential applications.</t>
  </si>
  <si>
    <t>[Ghalamara, Soudabeh; Silva, Sara; Pintado, Manuela] Univ Catolica Portuguesa, CBQF Ctr Biotecnol Quim Fina, Escola Super Biotecnol, Lab Associado, Rua Diogo Botelho 1327, P-4169005 Porto, Portugal; [Brazinha, Carla] Univ Nova Lisboa, LAQV Requimte, Fac Ciencias Tecnol, Campus Caparica, P-2829516 Caparica, Portugal</t>
  </si>
  <si>
    <t>Universidade Catolica Portuguesa; Universidade Nova de Lisboa</t>
  </si>
  <si>
    <t>Pintado, M (corresponding author), Univ Catolica Portuguesa, CBQF Ctr Biotecnol Quim Fina, Escola Super Biotecnol, Lab Associado, Rua Diogo Botelho 1327, P-4169005 Porto, Portugal.</t>
  </si>
  <si>
    <t>mpintado@ucp.pt</t>
  </si>
  <si>
    <t>Silva, Sara/GXM-8709-2022; Pintado, Maria Manuela/AAW-6709-2021; Pintado, Maria Manuela/F-5696-2013; Brazinha, Carla/D-8068-2013</t>
  </si>
  <si>
    <t>Pintado, Maria Manuela/0000-0002-0760-3184; Silva, Sara/0000-0001-8268-2137; Brazinha, Carla/0000-0002-7784-0265</t>
  </si>
  <si>
    <t>FCT (Fundacao para a Ciencia e Tecnologia) [SFRH/BD/149347/2019]; center for biotechnology and fine chemistry (CBQF); FCT/MEC [UID/QUI/50006/2019]; Portugal 2020 [POCI-01 -145-FEDER-016403]; Fundação para a Ciência e a Tecnologia [SFRH/BD/149347/2019] Funding Source: FCT</t>
  </si>
  <si>
    <t>FCT (Fundacao para a Ciencia e Tecnologia)(Fundacao para a Ciencia e a Tecnologia (FCT)); center for biotechnology and fine chemistry (CBQF); FCT/MEC(Fundacao para a Ciencia e a Tecnologia (FCT)); Portugal 2020; Fundação para a Ciência e a Tecnologia(Fundacao para a Ciencia e a Tecnologia (FCT))</t>
  </si>
  <si>
    <t>FCT (Fundacao para a Ciencia e Tecnologia) for the Ph.D. grant SFRH/BD/149347/2019, the center for biotechnology and fine chemistry (CBQF) and associate laboratory for green chemistry, LAQV, both of which are financed by national funds from FCT/MEC (UID/QUI/50006/2019) and Portugal 2020 project Multibiorefinery, Multi-purpose strategies for broadband agro-forest and fisheries by-products valorization: a step forward for a truly integrated biorefinery, nr. POCI-01 -145-FEDER-016403.</t>
  </si>
  <si>
    <t>2197-4365</t>
  </si>
  <si>
    <t>BIORESOUR BIOPROCESS</t>
  </si>
  <si>
    <t>Bioresour. Bioprocess.</t>
  </si>
  <si>
    <t>JAN 22</t>
  </si>
  <si>
    <t>10.1186/s40643-022-00494-7</t>
  </si>
  <si>
    <t>Biotechnology &amp; Applied Microbiology</t>
  </si>
  <si>
    <t>YK8HE</t>
  </si>
  <si>
    <t>WOS:000745446400001</t>
  </si>
  <si>
    <t>Lownie, TJR; Jubinville, I; Williams, TD; Phillips, RA; Crossin, GT</t>
  </si>
  <si>
    <t>Lownie, T. J. R.; Jubinville, I.; Williams, T. D.; Phillips, R. A.; Crossin, G. T.</t>
  </si>
  <si>
    <t>Varying aerobic capacity in relation to breeding stage and reproductive success in giant petrels (Macronectes spp.)</t>
  </si>
  <si>
    <t>Hematocrit; Reticulocytes; Reproductive fitness; Aerobic capacity; Breeding-moult overlap; Reproductive anemia; Breeding failure</t>
  </si>
  <si>
    <t>OXYGEN-CARRYING-CAPACITY; HEALTH STATE INDEXES; PIED FLYCATCHERS; SIZE-DIMORPHISM; FEEDING ECOLOGY; EGG-PRODUCTION; GREAT TITS; TRADE-OFF; BLOOD; MOLT</t>
  </si>
  <si>
    <t>Reproduction, and parental care in particular, are among the most energy-demanding activities within the annual cycle of adult birds. Parents that cannot meet the metabolic demands and other physiological costs of raising offspring may opt to abandon chicks in favour of self-maintenance and future reproduction. Recent work examining reproductive trade-offs in birds revealed an important role of oxygen carrying capacity in mediating variation in parental effort. This study explores the aerobic factors underlying the success or failure of parental care in two closely-related petrel species during their breeding season on Bird Island, South Georgia: northern giant petrels (Macronectes halli) and southern giant petrels (M. giganteus). Failed breeders of both sexes and species had significantly lower hematocrit levels (by 5.48 +/- 0.64%) than successful breeders, and reticulocyte counts also tended to be lower in failed males, consistent with the hypothesis that parental care and workload depend on aerobic capacity. We discuss these results in relation to differences in the foraging ecology of both species and sexes.</t>
  </si>
  <si>
    <t>[Lownie, T. J. R.; Jubinville, I.; Crossin, G. T.] Dalhousie Univ, Dept Biol, Halifax, NS B3H 4R2, Canada; [Williams, T. D.] Simon Fraser Univ, Dept Biol Sci, Burnaby, BC V5A 1S6, Canada; [Phillips, R. A.] British Antarctic Survey, Natl Environm Res Council, Madingley Rd, Cambridge CB3 0ET, England</t>
  </si>
  <si>
    <t>Dalhousie University; Simon Fraser University; UK Research &amp; Innovation (UKRI); Natural Environment Research Council (NERC); NERC British Antarctic Survey</t>
  </si>
  <si>
    <t>Lownie, TJR (corresponding author), Dalhousie Univ, Dept Biol, Halifax, NS B3H 4R2, Canada.</t>
  </si>
  <si>
    <t>ted@dal.ca; gtc@dal.ca</t>
  </si>
  <si>
    <t>National Science and Engineering Research Council of Canada (NSERC); NSERC E-BIRD; British Antarctic Survey through an Antarctic Funding Initiative Collaborative Gearing Scheme; Natural Environment Research Council</t>
  </si>
  <si>
    <t>National Science and Engineering Research Council of Canada (NSERC)(Natural Sciences and Engineering Research Council of Canada (NSERC)); NSERC E-BIRD; British Antarctic Survey through an Antarctic Funding Initiative Collaborative Gearing Scheme; Natural Environment Research Council(UK Research &amp; Innovation (UKRI)Natural Environment Research Council (NERC))</t>
  </si>
  <si>
    <t>This work was funded through a National Science and Engineering Research Council of Canada (NSERC) Post-Doctoral Fellowship and NSERC E-BIRD funding to Glenn Crossin. Additional financial support was provided by the British Antarctic Survey through an Antarctic Funding Initiative Collaborative Gearing Scheme awarded to Alistair Dawson, Phil N. Trathan, and Richard A. Phillips. This work represents a contribution to the Ecosystems component of the British Antarctic Sur-vey Polar Science for Planet Earth Programme, funded by the Natural Environment Research Council.</t>
  </si>
  <si>
    <t>10.1016/j.cbpa.2022.111155</t>
  </si>
  <si>
    <t>WOS:000793738200003</t>
  </si>
  <si>
    <t>Wong, WSY; Hauer, L; Cziko, PA; Meister, K</t>
  </si>
  <si>
    <t>Wong, William S. Y.; Hauer, Lukas; Cziko, Paul A.; Meister, Konrad</t>
  </si>
  <si>
    <t>Cryofouling avoidance in the Antarctic scallop Adamussium colbecki</t>
  </si>
  <si>
    <t>ANCHOR ICE FORMATION; PLATELET ICE; MCMURDO SOUND; SEA-ICE; WATER</t>
  </si>
  <si>
    <t>The presence of supercooled water in polar regions causes anchor ice to grow on submerged objects, generating costly problems for engineered materials and life-endangering risks for benthic communities. The factors driving underwater ice accretion are poorly understood, and passive prevention mechanisms remain unknown. Here we report that the Antarctic scallop Adamussium colbecki appears to remain ice-free in shallow Antarctic marine environments where underwater ice growth is prevalent. In contrast, scallops colonized by bush sponges in the same microhabitat grow ice and are removed from the population. Characterization of the Antarctic scallop shells revealed a hierarchical micro-ridge structure with sub-micron nano-ridges which promotes directed icing. This concentrates the formation of ice on the growth rings while leaving the regions in between free of ice, and appears to reduce ice-to-shell adhesion when compared to temperate species that do not possess highly ordered surface structures. The ability to control the formation of ice may enable passive underwater anti-icing protection, with the removal of ice possibly facilitated by ocean currents or scallop movements. We term this behavior cryofouling avoidance. We posit that the evolution of natural anti-icing structures is a key trait for the survival of Antarctic scallops in anchor ice zones. Wong et al report that the Antarctic scallop Adamussium colbecki appears to remain ice-free in shallow Antarctic marine environments where underwater ice growth is prevalent. They find that micro-ridge structures in the shell promote directed icing that may prevent the dangerous accumulation and firm attachment of buoyant ice.</t>
  </si>
  <si>
    <t>[Wong, William S. Y.; Hauer, Lukas; Meister, Konrad] Max Planck Inst Polymer Res, D-55128 Mainz, Germany; [Cziko, Paul A.] Univ Oregon, Inst Ecol &amp; Evolut, Eugene, OR 97403 USA; [Meister, Konrad] Univ Alaska Southeast, Juneau, AK 99801 USA</t>
  </si>
  <si>
    <t>Max Planck Society; University of Oregon; University of Alaska System; University of Alaska Southeastern</t>
  </si>
  <si>
    <t>Meister, K (corresponding author), Max Planck Inst Polymer Res, D-55128 Mainz, Germany.;Cziko, PA (corresponding author), Univ Oregon, Inst Ecol &amp; Evolut, Eugene, OR 97403 USA.;Meister, K (corresponding author), Univ Alaska Southeast, Juneau, AK 99801 USA.</t>
  </si>
  <si>
    <t>pcziko@uoregon.edu; meisterk@mpip-mainz.mpg.de</t>
  </si>
  <si>
    <t>Wong, William S. Y./ABI-3659-2020</t>
  </si>
  <si>
    <t>Wong, William S. Y./0000-0002-5389-5018; Meister, Konrad/0000-0002-6853-6325; Hauer, Lukas/0000-0003-1893-2124</t>
  </si>
  <si>
    <t>European Union [722497]; German Research Foundation (DFG); NSF [OPP 1559691]; US Antarctic Program [OPP 1559691, OPP 1341612]</t>
  </si>
  <si>
    <t>European Union(European Union (EU)); German Research Foundation (DFG)(German Research Foundation (DFG)); NSF(National Science Foundation (NSF)); US Antarctic Program</t>
  </si>
  <si>
    <t>This work was supported by the European Union's Horizon 2020 research and innovation program LubISS No. 722497 (W.S.Y.W.), the German Research Foundation (DFG) with the Priority Programme 2171 (L.H.), the NSF Award No. OPP 1559691 (P.A.C.). The Antarctic fieldwork was supported by the US Antarctic Program under OPP 1559691 to P.A.C. and OPP 1341612 to S. Bowser. We thank S. Bowser, H. Kaiser, and M. Koonce for their assistance in the field, G. Glaser, R. Berger, H. Burg for technical support, A. Naga, D. Vollmer, H.-J. Butt, and M. Bonn for stimulating discussions and the reviewers L. Harper and J. Raymond, whose comments helped to improve this manuscript.</t>
  </si>
  <si>
    <t>JAN 21</t>
  </si>
  <si>
    <t>10.1038/s42003-022-03023-6</t>
  </si>
  <si>
    <t>YK9PM</t>
  </si>
  <si>
    <t>WOS:000745535600002</t>
  </si>
  <si>
    <t>Burger, JM; Granger, J; Joyce, E; Hastings, MG; Spence, KAM; Altieri, KE</t>
  </si>
  <si>
    <t>Burger, Jessica M.; Granger, Julie; Joyce, Emily; Hastings, Meredith G.; Spence, Kurt A. M.; Altieri, Katye E.</t>
  </si>
  <si>
    <t>The importance of alkyl nitrates and sea ice emissions to atmospheric NOx sources and cycling in the summertime Southern Ocean marine boundary layer</t>
  </si>
  <si>
    <t>OXYGEN ISOTOPIC COMPOSITION; PHOTOCHEMICAL PRODUCTION; THEORETICAL CALCULATION; FRACTIONATION FACTORS; SEASONAL-VARIATIONS; EAST ANTARCTICA; METHYL NITRATE; SURFACE OZONE; PACIFIC-OCEAN; WATER-VAPOR</t>
  </si>
  <si>
    <t>Atmospheric nitrate originates from the oxidation of nitrogen oxides (NOx = NO+NO2) and impacts both tropospheric chemistry and climate. NOx sources, cycling and NOx to nitrate formation pathways are poorly constrained in remote marine regions, especially the Southern Ocean, where pristine conditions serve as a useful proxy for the pre-industrial atmosphere. Here, we measured the isotopic composition (delta N-15 and delta O-18) of atmospheric nitrate in coarse-mode (&gt; 1 mu m) aerosols collected in the summertime marine boundary layer of the Atlantic Southern Ocean from 34.5 to 70 degrees S and across the northern edge of the Weddell Sea. The delta N-15-NO3- decreased with latitude from -2.7% to -42.9 %. The decline in delta N-15 with latitude is attributed to changes in the dominant NOx sources: lightning at the low latitudes, oceanic alkyl nitrates at the mid-latitudes and photolysis of nitrate in snow at the high latitudes. There is no evidence of any influence from anthropogenic NOx sources or equilibrium isotope fractionation. Using air mass back trajectories and an isotope mixing model, we calculate that oceanic alkyl nitrate emissions have a delta N-15 signature of -21.8 +/- 7.6 %. Given that measurements of alkyl nitrate contributions to remote nitrogen budgets are scarce, this may be a useful tracer for detecting their contribution in other oceanic regions. The delta O-18-NO3- was always less than 70 %, indicating that daytime processes involving OH are the dominant NOx oxidation pathway during summer. Unusually low delta O-18-NO3- values (less than 31%) were observed at the western edge of the Weddell Sea. The air mass history of these samples indicates extensive interaction with sea-ice-covered ocean, which is known to enhance peroxy radical production. The observed low delta O-18-NO3- is therefore attributed to increased exchange of NO with peroxy radicals, which have a low delta O-18, relative to ozone, which has a high delta O-18. This study reveals that the mid- and high-latitude surface ocean may serve as a more important NOx source than previously thought and that the ice-covered surface ocean impacts the reactive nitrogen budget as well as the oxidative capacity of the marine boundary layer.</t>
  </si>
  <si>
    <t>[Burger, Jessica M.; Spence, Kurt A. M.; Altieri, Katye E.] Univ Cape Town, Dept Oceanog, ZA-7701 Rondebosch, South Africa; [Granger, Julie] Univ Connecticut, Dept Marine Sci, Groton, CT 06340 USA; [Joyce, Emily; Hastings, Meredith G.] Brown Univ, Dept Earth Environm &amp; Planetary Sci, Providence, RI 02906 USA; [Joyce, Emily; Hastings, Meredith G.] Brown Univ, Inst Brown Environm &amp; Soc, Providence, RI 02906 USA</t>
  </si>
  <si>
    <t>University of Cape Town; University of Connecticut; Brown University; Brown University</t>
  </si>
  <si>
    <t>Burger, JM (corresponding author), Univ Cape Town, Dept Oceanog, ZA-7701 Rondebosch, South Africa.</t>
  </si>
  <si>
    <t>brgjes006@uct.ac.za</t>
  </si>
  <si>
    <t>Altieri, Katye/GWV-4512-2022; Hastings, Meredith G/C-6199-2008</t>
  </si>
  <si>
    <t>Altieri, Katye/0000-0002-6778-4079; Spence, Kurt/0000-0003-0837-3234; Burger, Jessica/0000-0002-8621-8005</t>
  </si>
  <si>
    <t>U.S. National Science Foundation [OCE-1554474]; South African National Research Foundation [111716]; South African National Antarctic Programme Postgraduate Fellowship [110732]; University of Cape Town through a University Research Council Launching Grant; VC Future Leaders 2030 Grant</t>
  </si>
  <si>
    <t>U.S. National Science Foundation(National Science Foundation (NSF)); South African National Research Foundation(National Research Foundation - South Africa); South African National Antarctic Programme Postgraduate Fellowship; University of Cape Town through a University Research Council Launching Grant; VC Future Leaders 2030 Grant</t>
  </si>
  <si>
    <t>This research has been supported by a CAREER award to Julie Granger from the U.S. National Science Foundation (OCE-1554474). It has also been supported by the South African National Research Foundation through a Competitive Support for Rated Researchers Grant to Katye E. Altieri (111716) and a South African National Antarctic Programme Postgraduate Fellowship to Jessica Mary Burger and Grant to Katye E. Altieri (110732). Lastly this research was supported by the University of Cape Town through a University Research Council Launching Grant and VC Future Leaders 2030 Grant awarded to Katye E. Altieri.</t>
  </si>
  <si>
    <t>10.5194/acp-22-1081-2022</t>
  </si>
  <si>
    <t>YO1HY</t>
  </si>
  <si>
    <t>WOS:000747699100001</t>
  </si>
  <si>
    <t>Kemper, CM; Steele-Collins, E; Al-Humaidhi, A; Fellowes, TS; Marsh, O; Charlton, C</t>
  </si>
  <si>
    <t>Kemper, C. M.; Steele-Collins, E.; Al-Humaidhi, A.; Fellowes, T. Segawa; Marsh, O.; Charlton, C.</t>
  </si>
  <si>
    <t>Encounter Bay, South Australia, an important aggregation and nursery area for the southern right whale, Eubalaena australis (Balaenidae: Cetacea)</t>
  </si>
  <si>
    <t>TRANSACTIONS OF THE ROYAL SOCIETY OF SOUTH AUSTRALIA</t>
  </si>
  <si>
    <t>Baleen whale; 21st century; calving area; aggregation; Australia; endangered; conservation management; population dynamics</t>
  </si>
  <si>
    <t>MOVEMENTS; GROUNDS</t>
  </si>
  <si>
    <t>Endangered Australian southern right whales, Eubalaena australis, are vulnerable to threats from human activities, particularly at calving aggregation areas. As the population increases, new calving areas are being established, which are important to monitor. In the Encounter Bay/Lacepede Bay region, South Australia, distribution, relative abundance, residency and site fidelity were studied using historical sightings (n = 1071, 1970-2013) and photo-identified individuals (n = 191, 2006-2019). Whales were observed throughout the study area and concentrated in Encounter Bay during April to November where an inshore core calving area was identified between Port Elliot and the River Murray Mouth. Annual maximum daily sightings increased from 2 to 8 ((X) over bar = 2.9) whales during 1983-1997 to 1-25 ((X) over tilde = 8.6) after 2002. Numbers of identified female-calf pairs (CC) increased from 10 (2006-2012) to 31 (2013-2019). During 2013-2019, when survey effort increased, a mean of 4.4 (1-9 pairs/year) CC and 18.0 (7-40/year) unaccompanied animals (UA) visited Encounter Bay each season. Mean residency was greater for CC (51.3, 13-126 days) than UA (13.4, 2-40 days). Calving females that arrived pregnant had more than twice the residency time than those first sighted with a calf. A quarter of calving females returned in two or three subsequent seasons. Encounter Bay is an important calving area and requires reclassification by the Commonwealth from emerging aggregation area to small, established aggregation area. Ongoing research is needed to document southern right whale population dynamics at Encounter Bay in the context of the broader Australian population.</t>
  </si>
  <si>
    <t>[Kemper, C. M.; Fellowes, T. Segawa] South Australian Museum, North Terrace, Adelaide, SA, Australia; [Marsh, O.] Flinders Univ S Australia, Sch Biol Sci, Bedford Pk, SA, Australia; [Charlton, C.] Curtin Univ Western Australia, Ctr Marine Sci &amp; Technol, Bentley, WA, Australia</t>
  </si>
  <si>
    <t>South Australian Museum; Flinders University South Australia; Curtin University</t>
  </si>
  <si>
    <t>Kemper, CM (corresponding author), South Australian Museum, North Terrace, Adelaide, SA, Australia.</t>
  </si>
  <si>
    <t>Catherine.Kemper@samuseum.sa.gov.au</t>
  </si>
  <si>
    <t>Australian Marine Mammal Centre, Australian Antarctic Division [13/51]; Curtin University Great Australian Bight Right Whale Study; Department for Environment and Water, South Australia; Flinders University/Department for Environment and Water, SA (Honours Degree research)</t>
  </si>
  <si>
    <t>Australian Marine Mammal Centre, Australian Antarctic Division; Curtin University Great Australian Bight Right Whale Study; Department for Environment and Water, South Australia; Flinders University/Department for Environment and Water, SA (Honours Degree research)</t>
  </si>
  <si>
    <t>This work was supported by the Australian Marine Mammal Centre, Australian Antarctic Division (grant number 13/51), the Curtin University Great Australian Bight Right Whale Study and Flinders University/Department for Environment and Water, SA (Honours Degree research); Department for Environment and Water, South Australia</t>
  </si>
  <si>
    <t>0372-1426</t>
  </si>
  <si>
    <t>2204-0293</t>
  </si>
  <si>
    <t>T ROY SOC SOUTH AUST</t>
  </si>
  <si>
    <t>Trans. R. Soc. S. Aust.</t>
  </si>
  <si>
    <t>10.1080/03721426.2021.2018759</t>
  </si>
  <si>
    <t>8K4SZ</t>
  </si>
  <si>
    <t>WOS:000744853900001</t>
  </si>
  <si>
    <t>Hoenner, X; Barlian, E; Ernawati, T; Hardesty, BD; Kembaren, DD; Mous, PJ; Sadiyah, L; Satria, F; Wilcox, C</t>
  </si>
  <si>
    <t>Hoenner, X.; Barlian, E.; Ernawati, T.; Hardesty, B. D.; Kembaren, D. D.; Mous, P. J.; Sadiyah, L.; Satria, F.; Wilcox, C.</t>
  </si>
  <si>
    <t>Using anti-theft tracking devices to infer fishing vessel activity at sea</t>
  </si>
  <si>
    <t>FISHERIES RESEARCH</t>
  </si>
  <si>
    <t>Fishing effort; Spatial management; GPS tracker; Snapper fishery; VMS</t>
  </si>
  <si>
    <t>FISHERIES MANAGEMENT; COASTAL; NETS</t>
  </si>
  <si>
    <t>Quantifying accurately human impacts on marine ecosystems is key to healthy oceans. While fish production from wild stocks has plateaued since the 1980 s, those estimates are primarily drawn from large-scale com-mercial fisheries, whose boats are routinely monitored using a suite of sophisticated equipment to ensure compliance. Smaller vessels, however, especially in developing countries, have not been so rigorously scrutinised due to their sheer number and the associated high surveillance cost. This study investigated the viability of using low-cost anti-theft devices to detect spatio-temporal patterns of fishing activity in the small-to medium-scale snapper fishery of Indonesia. SPOT Trace (R) GPS tracking units (SPOT, LLC) were deployed on a voluntary, participatory basis, on 130 deep water fishing boats ranging from 1.5 to 29 m in length. GPS data were sub-sequently analysed through a port identification and trip segmentation algorithm, before using spatial clustering to automatically identify positions likely associated with fishing events. Through this procedure, we identified a total of 2650 fishing trips, whose durations ranged from 4.3 h to 55.3 days. Fishing occurred primarily near vessels' home ports, but also offshore in the Jawa Timur province, and in the Timor and Arafura Sea near the Australian Economic Exclusion Zone (EEZ). Adopting this technology as a low-cost alternative to traditional VMS could greatly empower monitoring agencies through surveillance of a previously poorly documented stratum of the commercial fishing sector, and result in better long-term management of fish stocks and marine resources.</t>
  </si>
  <si>
    <t>[Hoenner, X.; Wilcox, C.] CSIRO Oceans &amp; Atmosphere, Hobart, Tas, Australia; [Barlian, E.] Bina Nusantara Univ, Jl Raya Kb Jeruk 27,RT 2-RW 9, Jakarta 11530, Indonesia; [Ernawati, T.; Kembaren, D. D.; Satria, F.] Minist Marine Affairs &amp; Fisheries, Res Inst Marine Fisheries, Jl Pasir Putih 2, Jakarta 14430, Indonesia; [Hardesty, B. D.; Wilcox, C.] Inst Marine &amp; Antarctic Studies, CMS, 20 Castray Esplanade, Hobart, Tas 7004, Australia; [Mous, P. J.] Yayasan Konservasi Alam Nusantara, Jakarta, Indonesia; [Sadiyah, L.] Minist Marine Affairs &amp; Fisheries, Ctr Fisheries Res, Jl Pasir Putih 2, Jakarta 14430, Indonesia</t>
  </si>
  <si>
    <t>Commonwealth Scientific &amp; Industrial Research Organisation (CSIRO); Universitas Bina Nusantara; Ministry of Marine Affairs and Fisheries; University of Tasmania; Ministry of Marine Affairs and Fisheries</t>
  </si>
  <si>
    <t>Hoenner, X (corresponding author), CSIRO Oceans &amp; Atmosphere, Hobart, Tas, Australia.</t>
  </si>
  <si>
    <t>xavier.hoenner@csiro.au</t>
  </si>
  <si>
    <t>Sadiyah, Lilis/GNN-0061-2022; Hardesty, Britta Denise/A-3189-2011; Kembaren, Duranta/AAH-3049-2019</t>
  </si>
  <si>
    <t>Kembaren, Duranta/0000-0001-8543-6206</t>
  </si>
  <si>
    <t>Nature Conservancy; Walton Family Foundation; David &amp; Lucile Packard Foundation; Paul Allen Foundation; Australian Commonwealth Scientific and Industrial Research Organisation; U.S. Agency for International Development [AID-497-A-16-00011]</t>
  </si>
  <si>
    <t>Nature Conservancy; Walton Family Foundation; David &amp; Lucile Packard Foundation(The David &amp; Lucile Packard Foundation); Paul Allen Foundation; Australian Commonwealth Scientific and Industrial Research Organisation; U.S. Agency for International Development(United States Agency for International Development (USAID))</t>
  </si>
  <si>
    <t>The authors thank the Indonesian fishers who collaborated in this study through the Nelayan Peduli initiative. The authors would also like to thank experts and technicians of Yayasan Konservasi Alam Nusantara and People &amp; Nature Consulting International for their support with deployment of tracker devices and data management. This publication was made possible through support provided by The Nature Conser-vancy, the Walton Family Foundation, the David &amp; Lucile Packard Foundation, the Paul Allen Foundation, the Australian Commonwealth Scientific and Industrial Research Organisation, and by the U.S. Agency for International Development, under the terms of Contract No. AID-497-A-16-00011 Supporting Nature and People-Partnership for Enduring Resources (SNAPPER) . This work is part of a sustainable fisheries program implemented under a Memorandum of Understanding between the Indonesia Ministry of Marine Affairs and Fisheries and Yayasan Konservasi Alam Nusantara. The findings and opinions expressed herein are those of the author (s) and do not necessarily reflect the views of the supporting organizations.</t>
  </si>
  <si>
    <t>0165-7836</t>
  </si>
  <si>
    <t>1872-6763</t>
  </si>
  <si>
    <t>FISH RES</t>
  </si>
  <si>
    <t>Fish Res.</t>
  </si>
  <si>
    <t>10.1016/j.fishres.2022.106230</t>
  </si>
  <si>
    <t>0L7AM</t>
  </si>
  <si>
    <t>WOS:000781623200003</t>
  </si>
  <si>
    <t>Marian, M; Licciardello, G; Vicelli, B; Pertot, I; Perazzolli, M</t>
  </si>
  <si>
    <t>Marian, Malek; Licciardello, Giorgio; Vicelli, Bianca; Pertot, Ilaria; Perazzolli, Michele</t>
  </si>
  <si>
    <t>Ecology and potential functions of plant-associated microbial communities in cold environments</t>
  </si>
  <si>
    <t>FEMS MICROBIOLOGY ECOLOGY</t>
  </si>
  <si>
    <t>plant microbiota; cold environments; cold stress; beneficial microbial communities; cold tolerance</t>
  </si>
  <si>
    <t>ARBUSCULAR MYCORRHIZAL FUNGI; ANGIOSPERMS DESCHAMPSIA-ANTARCTICA; ROOT-ASSOCIATED FUNGI; DARK-SEPTATE FUNGI; ENDOPHYTIC FUNGI; COLOBANTHUS-QUITENSIS; BACTERIAL COMMUNITIES; PRIMARY SUCCESSION; BISTORTA-VIVIPARA; HIGH-ALTITUDE</t>
  </si>
  <si>
    <t>Review on plant-associated microbial communities in alpine, Arctic and Antarctic regions: factors affecting the taxonomic structure: discussion on dominant taxa and their possible functional properties. Complex microbial communities are associated with plants and can improve their resilience under harsh environmental conditions. In particular, plants and their associated communities have developed complex adaptation strategies against cold stress. Although changes in plant-associated microbial community structure have been analysed in different cold regions, scarce information is available on possible common taxonomic and functional features of microbial communities across cold environments. In this review, we discuss recent advances in taxonomic and functional characterization of plant-associated microbial communities in three main cold regions, such as alpine, Arctic and Antarctica environments. Culture-independent and culture-dependent approaches are analysed, in order to highlight the main factors affecting the taxonomic structure of plant-associated communities in cold environments. Moreover, biotechnological applications of plant-associated microorganisms from cold environments are proposed for agriculture, industry and medicine, according to biological functions and cold adaptation strategies of bacteria and fungi. Although further functional studies may improve our knowledge, the existing literature suggest that plants growing in cold environments harbor complex, host-specific and cold-adapted microbial communities, which may play key functional roles in plant growth and survival under cold conditions.</t>
  </si>
  <si>
    <t>[Marian, Malek; Licciardello, Giorgio; Vicelli, Bianca; Pertot, Ilaria; Perazzolli, Michele] Univ Trento, Ctr Agr Food Environm C3A, Via E Mach 1, I-38098 San Michele All Adige, Italy; [Marian, Malek; Licciardello, Giorgio; Vicelli, Bianca; Pertot, Ilaria; Perazzolli, Michele] Fdn Edmund Mach, Res &amp; Innovat Ctr, Via E Mach 1, I-38098 San Michele All Adige, Italy</t>
  </si>
  <si>
    <t>University of Trento; Fondazione Edmund Mach</t>
  </si>
  <si>
    <t>Perazzolli, M (corresponding author), Univ Trento, Ctr Agr Food Environm, Via Mach 1, I-38098 Trento, Italy.</t>
  </si>
  <si>
    <t>michele.perazzolli@unitn.it</t>
  </si>
  <si>
    <t>Marian, Malek/X-4866-2019; Vicelli, Bianca/JVN-5527-2024; Perazzolli, Michele/B-3636-2012</t>
  </si>
  <si>
    <t>Marian, Malek/0000-0001-6945-2732; Vicelli, Bianca/0009-0006-6895-4988; Perazzolli, Michele/0000-0001-7218-9963</t>
  </si>
  <si>
    <t>Ministro dell'universita e della Ricerca (MUR) [PNRA18 00147]; program Excellene from the University of Trento (Azioni MSCA); European Union's Horizon 2020 Research and Innovation Program under the Marie SklodowskaCurie grant [101021787]; Marie Curie Actions (MSCA) [101021787] Funding Source: Marie Curie Actions (MSCA)</t>
  </si>
  <si>
    <t>Ministro dell'universita e della Ricerca (MUR)(Ministry of Education, Universities and Research (MIUR)); program Excellene from the University of Trento (Azioni MSCA); European Union's Horizon 2020 Research and Innovation Program under the Marie SklodowskaCurie grant(European Union (EU)); Marie Curie Actions (MSCA)(Marie Curie Actions)</t>
  </si>
  <si>
    <t>This research was supported by the Ministro dell'universit `a e della Ricerca (MUR) in the framework of the National Program for Antarctic Research (PNRA) project PNRA18 00147. MalekMarian was supported by the program Excellene from the University of Trento (Azioni MSCA) and the European Union's Horizon 2020 Research and Innovation Program under the Marie SklodowskaCurie grant agreement number 101021787 (project FreezingBioprotector).</t>
  </si>
  <si>
    <t>0168-6496</t>
  </si>
  <si>
    <t>1574-6941</t>
  </si>
  <si>
    <t>FEMS MICROBIOL ECOL</t>
  </si>
  <si>
    <t>FEMS Microbiol. Ecol.</t>
  </si>
  <si>
    <t>JAN 19</t>
  </si>
  <si>
    <t>fiab161</t>
  </si>
  <si>
    <t>10.1093/femsec/fiab161</t>
  </si>
  <si>
    <t>ZI2LY</t>
  </si>
  <si>
    <t>WOS:000761459500001</t>
  </si>
  <si>
    <t>Syuhada, NH; Merican, F; Zaki, S; Broady, PA; Convey, P; Muangmai, N</t>
  </si>
  <si>
    <t>Syuhada, Nur Hidayu; Merican, Faradina; Zaki, Syazana; Broady, Paul A.; Convey, Peter; Muangmai, Narongrit</t>
  </si>
  <si>
    <t>Strong and widespread cycloheximide resistance in Stichococcus-like eukaryotic algal taxa</t>
  </si>
  <si>
    <t>ANTIBIOTIC-RESISTANCE; ANTIMICROBIAL ACTIVITY; BACTERIA; YEAST; RIBOSOMES; RADIATION; CULTURES; SOILS</t>
  </si>
  <si>
    <t>This study was initiated following the serendipitous discovery of a unialgal culture of a Stichococcus-like green alga (Chlorophyta) newly isolated from soil collected on Signy Island (maritime Antarctica) in growth medium supplemented with 100 mu g/mL cycloheximide (CHX, a widely used antibiotic active against most eukaryotes). In order to test the generality of CHX resistance in taxa originally identified as members of Stichococcus (the detailed taxonomic relationships within this group of algae have been updated since our study took place), six strains were studied: two strains isolated from recent substrate collections from Signy Island (maritime Antarctica) (Antarctica 1 and Antarctica 2), one isolated from this island about 50 years ago (Antarctica 3) and single Arctic (Arctic), temperate (Temperate) and tropical (Tropical) strains. The sensitivity of each strain towards CHX was compared by determining the minimum inhibitory concentration (MIC), and growth rate and lag time when exposed to different CHX concentrations. All strains except Temperate were highly resistant to CHX (MIC &gt; 1000 mu g/mL), while Temperate was resistant to 62.5 mu g/mL (a concentration still considerably greater than any previously reported for algae). All highly resistant strains showed no significant differences in growth rate between control and treatment (1000 mu g/mL CHX) conditions. Morphological examination suggested that four strains were consistent with the description of the species Stichococcus bacillaris while the remaining two conformed to S. mirabilis. However, based on sequence analyses and the recently available phylogeny, only one strain, Temperate, was confirmed to be S. bacillaris, while Tropical represents the newly erected genus Tetratostichococcus, Antarctica 1 Tritostichococcus, and Antarctica 2, Antarctica 3 and Arctic Deuterostichococcus. Both phylogenetic and CHX sensitivity analyses suggest that CHX resistance is potentially widespread within this group of algae.</t>
  </si>
  <si>
    <t>[Syuhada, Nur Hidayu; Merican, Faradina; Zaki, Syazana] Univ Sains Malaysia, Sch Biol Sci, Gelugor, Penang, Malaysia; [Merican, Faradina] Univ Malaya, Natl Antarctic Res Ctr, Kuala Lumpur, Malaysia; [Broady, Paul A.] Univ Canterbury, Sch Biol Sci, Christchurch, New Zealand; [Convey, Peter] British Antarctic Survey, Cambridge, England; [Convey, Peter] Univ Johannesburg, Dept Zool, Johannesburg, South Africa; [Muangmai, Narongrit] Kasetsart Univ, Dept Fishery Biol, Fac Fisheries, Bangkok, Thailand; [Muangmai, Narongrit] Hiroshima Univ, Grad Sch Integrated Sci Life, Hiroshima, Japan</t>
  </si>
  <si>
    <t>Universiti Sains Malaysia; Universiti Malaya; University of Canterbury; UK Research &amp; Innovation (UKRI); Natural Environment Research Council (NERC); NERC British Antarctic Survey; University of Johannesburg; Kasetsart University; Hiroshima University</t>
  </si>
  <si>
    <t>Merican, F (corresponding author), Univ Sains Malaysia, Sch Biol Sci, Gelugor, Penang, Malaysia.;Merican, F (corresponding author), Univ Malaya, Natl Antarctic Res Ctr, Kuala Lumpur, Malaysia.</t>
  </si>
  <si>
    <t>faradina@usm.my</t>
  </si>
  <si>
    <t>Merican, Faradina/F-6785-2019; Convey, Peter/AAV-5728-2020</t>
  </si>
  <si>
    <t>Convey, Peter/0000-0001-8497-9903; Muangmai, Narongrit/0000-0001-7954-7348</t>
  </si>
  <si>
    <t>YPASM Berth Support; YPASM Fellowship [304/PBIOLOGI/650963]; RUI grant [1001/PBIOLOGI/811305]; Habitat Foundation research grant; NERC; Universiti Sains Malaysia</t>
  </si>
  <si>
    <t>YPASM Berth Support; YPASM Fellowship; RUI grant; Habitat Foundation research grant; NERC(UK Research &amp; Innovation (UKRI)Natural Environment Research Council (NERC)); Universiti Sains Malaysia(Universiti Sains Malaysia)</t>
  </si>
  <si>
    <t>We thank Dr Japareng Lalung for collection of soil samples from Signy Island and the staff at the British Antarctic Survey (BAS), Signy Island research station for logistical and other practical support. This study received funding support from YPASM Berth Support, YPASM Fellowship 304/PBIOLOGI/650963 and RUI grant 1001/PBIOLOGI/811305. Faradina Merican is supported by The Habitat Foundation research grant. Peter Convey is supported by NERC core funding to the BAS 'Biodiversity, Evolution and Adaptation' Team. We gratefully acknowledge the support of Professor Wan Maznah Wan Omar (Universiti Sains Malaysia) in obtaining funding for the Antarctic expedition. We also thank The Habitat, Penang Hill for funding and facilitating the tropical sample collection during the BioBlitz event. This study contributes to the international SCAR 'State of the Antarctic Ecosystem' (AntEco) research programme.</t>
  </si>
  <si>
    <t>JAN 20</t>
  </si>
  <si>
    <t>10.1038/s41598-022-05116-y</t>
  </si>
  <si>
    <t>YO2JS</t>
  </si>
  <si>
    <t>WOS:000747772000023</t>
  </si>
  <si>
    <t>Andrew, SM; Strzepek, RF; Branson, O; Ellwood, MJ</t>
  </si>
  <si>
    <t>Andrew, Sarah M.; Strzepek, Robert F.; Branson, Oscar; Ellwood, Michael J.</t>
  </si>
  <si>
    <t>Ocean acidification reduces the growth of two Southern Ocean phytoplankton</t>
  </si>
  <si>
    <t>MARINE ECOLOGY PROGRESS SERIES</t>
  </si>
  <si>
    <t>Iron; Light; Temperature; Photosynthesis; Climate change</t>
  </si>
  <si>
    <t>MARINE-PHYTOPLANKTON; ORGANIC-MATTER; CLIMATE-CHANGE; ROSS SEA; HIGH CO2; IRON; CARBON; LIGHT; TEMPERATURE; PH</t>
  </si>
  <si>
    <t>Model projections for the Southern Ocean indicate that light, iron (Fe) availability, temperature and carbon dioxide (CO2) will change concurrently in the future. We investigated the physiological responses of Southern Ocean phytoplankton to multiple variables by culturing the haptophyte Phaeocystis antarctica and the diatom Chaetoceros flexuosus under various combinations of light, Fe, temperature and CO2. Using statistical models, the influence of each environmental variable was analysed for each physiological response, ultimately predicting how 'future' conditions (high temperature and high CO2) would influence the 2 phytoplankton species. Under future conditions, cellular chlorophyll a and carbon to nitrogen molar ratios were modelled to increase for both species in all light and Fe treatments, but at times were inconsistent with measured values. Measured and modelled values of the photochemical efficiency of photosystem II (F-v/F-m) declined in cultures of P. antarctica due to concurrent increases in temperature and CO2, under all light and Fe treatments. The trends in F-v/F-m for C. flexuosus were less clear. Our model and observations suggest that when temperature and CO2 are concurrently increased, the growth of both species remains largely unchanged. This modelling analysis reveals that high CO2 exerts a strong negative influence on the growth of both phytoplankton, and any 'future' increase in growth can be attributed to the positive effect of warming rather than a CO2 fertilisation effect.</t>
  </si>
  <si>
    <t>[Andrew, Sarah M.; Branson, Oscar; Ellwood, Michael J.] Australian Natl Univ, Res Sch Earth Sci, Canberra, ACT 0200, Australia; [Strzepek, Robert F.] Univ Tasmania, Inst Marine &amp; Antarctic Studies, Australian Antarctic Program Partnership, Hobart, Tas 7004, Australia; [Andrew, Sarah M.] Univ N Carolina, Dept Marine Sci, Chapel Hill, NC 27514 USA; [Branson, Oscar] Univ Cambridge, Dept Earth Sci, Cambridge CB2 1TN, England</t>
  </si>
  <si>
    <t>Australian National University; University of Tasmania; University of North Carolina; University of North Carolina Chapel Hill; University of Cambridge</t>
  </si>
  <si>
    <t>Andrew, SM (corresponding author), Australian Natl Univ, Res Sch Earth Sci, Canberra, ACT 0200, Australia.;Andrew, SM (corresponding author), Univ N Carolina, Dept Marine Sci, Chapel Hill, NC 27514 USA.</t>
  </si>
  <si>
    <t>smandrew@email.unc.edu</t>
  </si>
  <si>
    <t>Andrew, Sarah M/AAZ-3502-2021; Strzepek, Robert Francis/GQH-8703-2022; Ellwood, Michael J/G-7390-2011</t>
  </si>
  <si>
    <t>Andrew, Sarah M/0000-0002-1966-5315; Strzepek, Robert Francis/0000-0002-6442-7121; Ellwood, Michael/0000-0003-4288-8530</t>
  </si>
  <si>
    <t>Australian Government Research Training Program Stipend Scholarship; Australian Antarctic Program Partnership [AAPP ASCI000002]; Australian Research Council's Discovery Program [DP170102108, DP 130100679]</t>
  </si>
  <si>
    <t>Australian Government Research Training Program Stipend Scholarship(Australian Government); Australian Antarctic Program Partnership; Australian Research Council's Discovery Program(Australian Research Council)</t>
  </si>
  <si>
    <t>Funding for this work was provided by an Australian Government Research Training Program Stipend Scholarship (S.M.A.), the Australian Antarctic Program Partnership (AAPP ASCI000002; R.F.S.) and Australian Research Council's Discovery Program (DP170102108 and DP 130100679, M.J.E.). We thank William Sunda for many helpful discussions. We also acknowledge the 3 anonymous reviewers for their valuable comments, which significantly improved the manuscript.</t>
  </si>
  <si>
    <t>INTER-RESEARCH</t>
  </si>
  <si>
    <t>OLDENDORF LUHE</t>
  </si>
  <si>
    <t>NORDBUNTE 23, D-21385 OLDENDORF LUHE, GERMANY</t>
  </si>
  <si>
    <t>0171-8630</t>
  </si>
  <si>
    <t>1616-1599</t>
  </si>
  <si>
    <t>MAR ECOL PROG SER</t>
  </si>
  <si>
    <t>Mar. Ecol.-Prog. Ser.</t>
  </si>
  <si>
    <t>10.3354/meps13923</t>
  </si>
  <si>
    <t>Ecology; Marine &amp; Freshwater Biology; Oceanography</t>
  </si>
  <si>
    <t>Environmental Sciences &amp; Ecology; Marine &amp; Freshwater Biology; Oceanography</t>
  </si>
  <si>
    <t>YU0JT</t>
  </si>
  <si>
    <t>WOS:000751738300004</t>
  </si>
  <si>
    <t>Durand, G; van den Broeke, MR; Le Cozannet, G; Edwards, TL; Holland, PR; Jourdain, NC; Marzeion, B; Mottram, R; Nicholls, RJ; Pattyn, F; Paul, F; Slangen, ABA; Winkelmann, R; Burgard, C; van Calcar, CJ; Barre, JB; Bataille, A; Chapuis, A</t>
  </si>
  <si>
    <t>Durand, Gael; van den Broeke, Michiel R.; Le Cozannet, Goneri; Edwards, Tamsin L.; Holland, Paul R.; Jourdain, Nicolas C.; Marzeion, Ben; Mottram, Ruth; Nicholls, Robert J.; Pattyn, Frank; Paul, Frank; Slangen, Aimee B. A.; Winkelmann, Ricarda; Burgard, Clara; van Calcar, Caroline J.; Barre, Jean-Baptiste; Bataille, Amelie; Chapuis, Anne</t>
  </si>
  <si>
    <t>Sea-Level Rise: From Global Perspectives to Local Services</t>
  </si>
  <si>
    <t>sea-level rise; Antarctic; Greenland; glaciers; local impact</t>
  </si>
  <si>
    <t>SURFACE MASS-BALANCE; ICE SHEETS; CLIMATE; GREENLAND; GLACIER; FUTURE; ANTARCTICA; PROJECTIONS; EMBAYMENT</t>
  </si>
  <si>
    <t>Coastal areas are highly diverse, ecologically rich, regions of key socio-economic activity, and are particularly sensitive to sea-level change. Over most of the 20th century, global mean sea level has risen mainly due to warming and subsequent expansion of the upper ocean layers as well as the melting of glaciers and ice caps. Over the last three decades, increased mass loss of the Greenland and Antarctic ice sheets has also started to contribute significantly to contemporary sea-level rise. The future mass loss of the two ice sheets, which combined represent a sea-level rise potential of similar to 65 m, constitutes the main source of uncertainty in long-term (centennial to millennial) sea-level rise projections. Improved knowledge of the magnitude and rate of future sea-level change is therefore of utmost importance. Moreover, sea level does not change uniformly across the globe and can differ greatly at both regional and local scales. The most appropriate and feasible sea level mitigation and adaptation measures in coastal regions strongly depend on local land use and associated risk aversion. Here, we advocate that addressing the problem of future sea-level rise and its impacts requires (i) bringing together a transdisciplinary scientific community, from climate and cryospheric scientists to coastal impact specialists, and (ii) interacting closely and iteratively with users and local stakeholders to co-design and co-build coastal climate services, including addressing the high-end risks.</t>
  </si>
  <si>
    <t>[Durand, Gael; Burgard, Clara; Barre, Jean-Baptiste; Bataille, Amelie; Chapuis, Anne] Univ Grenoble Alpes, CNRS, IRD, Grenoble INP,IGE, Grenoble, France; [van den Broeke, Michiel R.; van Calcar, Caroline J.] Univ Utrecht, Inst Marine &amp; Atmospher Res, Utrecht, Netherlands; [Le Cozannet, Goneri] Bur Rech Geol &amp; Minieres, Risk &amp; Prevent Dept, Coastal Risks &amp; Climate Change Unit, French Geol Survey, Orleans, France; [Edwards, Tamsin L.] Kings Coll London, Dept Geog, London, England; [Holland, Paul R.] British Antarctic Survey, Cambridge, England; [Marzeion, Ben] Univ Bremen, Inst Geog, Bremen, Germany; [Marzeion, Ben] Univ Bremen, MARUM, Ctr Marine Environm Sci, Bremen, Germany; [Mottram, Ruth] Danish Meteorol Inst, Copenhagen, Denmark; [Nicholls, Robert J.] Univ East Anglia, Tyndall Ctr Climate Change Res, Norwich, Norfolk, England; [Pattyn, Frank] Univ Libre Bruxelles, Lab Glaciol, Brussels, Belgium; [Paul, Frank] Univ Zurich, Dept Geog, Zurich, Switzerland; [Slangen, Aimee B. A.] NIOZ Royal Netherlands Inst Sea Res, Dept Estuarine &amp; Delta Syst, Yerseke, Netherlands; [Winkelmann, Ricarda] Leibniz Assoc, Potsdam Inst Climate Impact Res PIK, Potsdam, Germany; [Winkelmann, Ricarda] Univ Potsdam, Inst Phys &amp; Astron, Potsdam, Germany; [van Calcar, Caroline J.] Delft Univ Technol, Fac Aerosp Engn, Delft, Netherlands</t>
  </si>
  <si>
    <t>Communaute Universite Grenoble Alpes; Institut National Polytechnique de Grenoble; Universite Grenoble Alpes (UGA); Institut de Recherche pour le Developpement (IRD); Centre National de la Recherche Scientifique (CNRS); Utrecht University; Bureau de Recherches Geologiques et Minieres (BRGM); University of London; King's College London; UK Research &amp; Innovation (UKRI); Natural Environment Research Council (NERC); NERC British Antarctic Survey; University of Bremen; University of Bremen; Danish Meteorological Institute DMI; University of East Anglia; Universite Libre de Bruxelles; University of Zurich; Utrecht University; Royal Netherlands Institute for Sea Research (NIOZ); Potsdam Institut fur Klimafolgenforschung; University of Potsdam; Delft University of Technology</t>
  </si>
  <si>
    <t>Durand, G (corresponding author), Univ Grenoble Alpes, CNRS, IRD, Grenoble INP,IGE, Grenoble, France.</t>
  </si>
  <si>
    <t>gael.durand@univ-grenoble-alpes.fr</t>
  </si>
  <si>
    <t>Nicholls, Robert James/G-3898-2010; Pattyn, Frank/AAA-9640-2019; Van den Broeke, Michiel R./F-7867-2011; Slangen, Aimee B. A./H-5839-2015; Jourdain, Nicolas C/B-6899-2015; Holland, Paul R/G-2796-2012</t>
  </si>
  <si>
    <t>Nicholls, Robert James/0000-0002-9715-1109; Pattyn, Frank/0000-0003-4805-5636; Van den Broeke, Michiel R./0000-0003-4662-7565; Edwards, Tamsin/0000-0002-4760-4704; Burgard, Clara/0000-0003-3847-3172; van Calcar, Caroline/0000-0003-4659-0678</t>
  </si>
  <si>
    <t>PROTECT; European Union [869304]; NERC [bas0100033] Funding Source: UKRI</t>
  </si>
  <si>
    <t>PROTECT; European Union(European Union (EU)); NERC(UK Research &amp; Innovation (UKRI)Natural Environment Research Council (NERC))</t>
  </si>
  <si>
    <t>This publication was supported by PROTECT. This project has received funding from the European Union's Horizon 2020 Research and Innovation Programme under grant agreement No 869304, PROTECT contribution number 27.</t>
  </si>
  <si>
    <t>10.3389/fmars.2021.709595</t>
  </si>
  <si>
    <t>YS3WE</t>
  </si>
  <si>
    <t>Green Published, Green Accepted, gold</t>
  </si>
  <si>
    <t>WOS:000750609700001</t>
  </si>
  <si>
    <t>Geyman, EC; van Pelt, WJJ; Maloof, AC; Aas, HF; Kohler, J</t>
  </si>
  <si>
    <t>Geyman, Emily C.; van Pelt, Ward J. J.; Maloof, Adam C.; Aas, Harald Faste; Kohler, Jack</t>
  </si>
  <si>
    <t>Historical glacier change on Svalbard predicts doubling of mass loss by 2100</t>
  </si>
  <si>
    <t>NATURE</t>
  </si>
  <si>
    <t>STRUCTURE-FROM-MOTION; SEA-LEVEL RISE; ICE CAPS; TIDEWATER GLACIERS; MOUNTAIN GLACIERS; ARCTIC GLACIERS; SNOW CONDITIONS; CLIMATE-CHANGE; VOLUME CHANGE; TIDE-GAUGE</t>
  </si>
  <si>
    <t>The melting of glaciers and ice caps accounts for about one-third of current sea-level rise(1-3), exceeding the mass loss from the more voluminous Greenland or Antarctic Ice Sheets(3,4). The Arctic archipelago of Svalbard, which hosts spatial climate gradients that are larger than the expected temporal climate shifts over the next century(5,6), is a natural laboratory to constrain the climate sensitivity of glaciers and predict their response to future warming. Here we link historical and modern glacier observations to predict that twenty-first century glacier thinning rates will more than double those from 1936 to 2010. Making use of an archive of historical aerial imagery(7) from 1936 and 1938, we use structure-from-motion photogrammetry to reconstruct the three-dimensional geometry of 1,594 glaciers across Svalbard. We compare these reconstructions to modern ice elevation data to derive the spatial pattern of mass balance over a more than 70-year timespan, enabling us to see through the noise of annual and decadal variability to quantify how variables such as temperature and precipitation control ice loss. We find a robust temperature dependence of melt rates, whereby a 1 degrees C rise in mean summer temperature corresponds to a decrease in area-normalized mass balance of -0.28 m yr(-1) of water equivalent. Finally, we design a space-for-time substitution(8) to combine our historical glacier observations with climate projections and make first-order predictions of twenty-first century glacier change across Svalbard.</t>
  </si>
  <si>
    <t>[Geyman, Emily C.; Aas, Harald Faste; Kohler, Jack] Norwegian Polar Res Inst, Fram Ctr, Tromso, Norway; [van Pelt, Ward J. J.] Uppsala Univ, Dept Earth Sci, Uppsala, Sweden; [Maloof, Adam C.] Princeton Univ, Dept Geosci, Princeton, NJ 08544 USA; [Geyman, Emily C.] CALTECH, Div Geol &amp; Planetary Sci, Pasadena, CA 91125 USA</t>
  </si>
  <si>
    <t>Norwegian Polar Institute; Uppsala University; Princeton University; California Institute of Technology</t>
  </si>
  <si>
    <t>Geyman, EC (corresponding author), Norwegian Polar Res Inst, Fram Ctr, Tromso, Norway.;Geyman, EC (corresponding author), CALTECH, Div Geol &amp; Planetary Sci, Pasadena, CA 91125 USA.</t>
  </si>
  <si>
    <t>egeyman@caltech.edu</t>
  </si>
  <si>
    <t>van Pelt, Ward/0000-0003-4839-7900</t>
  </si>
  <si>
    <t>Swedish National Space Agency [189/18]; Daniel M. Sachs Class of 1960 Global Scholarship at Princeton University; Svalbard Science Forum Arctic Field Grant; Fannie and John Hertz Foundation</t>
  </si>
  <si>
    <t>Swedish National Space Agency(Swedish National Space Agency (SNSA)); Daniel M. Sachs Class of 1960 Global Scholarship at Princeton University; Svalbard Science Forum Arctic Field Grant; Fannie and John Hertz Foundation</t>
  </si>
  <si>
    <t>We thank F. Simons, C.-Y. Lai, P. Wennberg, P. Moore, B. Dyer, G. Moholdt, R.A. Morris, E. Isaksson, A. Schomacker, C. Nuth, E. Schytt Holmlund and B. Geyman for conversations that improved the manuscript. W.J.J.v.P. acknowledges funding from the Swedish National Space Agency (project 189/18). E.C.G. was supported by a Daniel M. Sachs Class of 1960 Global Scholarship at Princeton University, a Svalbard Science Forum Arctic Field Grant, and the Fannie and John Hertz Foundation.</t>
  </si>
  <si>
    <t>0028-0836</t>
  </si>
  <si>
    <t>1476-4687</t>
  </si>
  <si>
    <t>Nature</t>
  </si>
  <si>
    <t>+</t>
  </si>
  <si>
    <t>10.1038/s41586-021-04314-4</t>
  </si>
  <si>
    <t>YJ6UI</t>
  </si>
  <si>
    <t>WOS:000744666700029</t>
  </si>
  <si>
    <t>Zhang, R; Song, PQ; Li, H; Wang, R; Li, Y; Miao, X; Lin, LS; Ding, SX</t>
  </si>
  <si>
    <t>Zhang, Ran; Song, Puqing; Li, Hai; Wang, Rui; Li, Yuan; Miao, Xing; Lin, Longshan; Ding, Shaoxiong</t>
  </si>
  <si>
    <t>Spatio-temporal characteristics of demersal fish community in the Chukchi and northern Bering Seas: significant distributional records and interannual variations in species composition and biodiversity</t>
  </si>
  <si>
    <t>Chukchi Sea; Northern Bering Sea; Species composition; Biodiversity; Interannual variations</t>
  </si>
  <si>
    <t>TAXONOMIC DISTINCTNESS; ECOSYSTEM DYNAMICS; CLIMATE-CHANGE; SHIFTS; BIOGEOGRAPHY; VARIABILITY; RESPONSES; HABITATS; PATTERNS; RUSALCA</t>
  </si>
  <si>
    <t>The Chukchi and northern Bering Seas, which serve as the only gateway for Pacific water entering the Arctic Ocean, have experienced profound declines in sea ice cover as well as increases in oceanic temperature. In this region, fish responses to climate change are of widespread concern, but time-series data are limited because of the harsh environment. Four Chinese National Arctic Research Expeditions with stations spanning substantial latitudes in both the Chukchi and northern Bering Seas were conducted in alternating summers (July-September, every 2 years) from 2010 to 2016, indicating that demersal fish had large spatial and interannual fluctuations in species composition and biodiversity. A total of 58 fish species were identified, including several taxa that were rarely sampled previously or repeatedly encountered in the border regions. The significant distributional records of these taxa may correspond to the probabilities that species have extended beyond the documented distribution limits and the interchanges between the Pacific and Atlantic faunas are promoted under the influence of climate change. The fish biodiversity patterns were quantitatively described using seven indices such as species richness and taxonomic diversity indices. The spatial and temporal variations in species composition and biodiversity may be related to differences and interannual oscillations in water mass and tight pelagic-benthic coupling. Additionally, our analyses suggested that fish communities in the Chukchi Sea, where the consequences of climate change seem to be more serious because of the simpler food web and the proximity to the central Arctic Ocean, appeared to be less affected by the currently changing environment than those in the northern Bering Sea. Time-series surveys would establish a foundation for distinguishing between acclimation to climate change and natural fluctuations.</t>
  </si>
  <si>
    <t>[Zhang, Ran; Ding, Shaoxiong] Xiamen Univ, Coll Ocean &amp; Earth Sci, Marine Biodivers &amp; Global Change Res Ctr, Xiamen 361102, Peoples R China; [Zhang, Ran; Song, Puqing; Li, Hai; Wang, Rui; Li, Yuan; Miao, Xing; Lin, Longshan] Minist Nat Resources, Lab Marine Biol &amp; Ecol, Inst Oceanog 3, Xiamen 361005, Peoples R China</t>
  </si>
  <si>
    <t>Xiamen University; Third Institute of Oceanography, Ministry of Natural Resources; Ministry of Natural Resources of the People's Republic of China</t>
  </si>
  <si>
    <t>Ding, SX (corresponding author), Xiamen Univ, Coll Ocean &amp; Earth Sci, Marine Biodivers &amp; Global Change Res Ctr, Xiamen 361102, Peoples R China.;Lin, LS (corresponding author), Minist Nat Resources, Lab Marine Biol &amp; Ecol, Inst Oceanog 3, Xiamen 361005, Peoples R China.</t>
  </si>
  <si>
    <t>linlongshan@tio.org.cn; sxding@xmu.edu.cn</t>
  </si>
  <si>
    <t>Zhang, Ran/HNR-0450-2023</t>
  </si>
  <si>
    <t>Zhang, Ran/0000-0002-7566-2258</t>
  </si>
  <si>
    <t>National Natural Science Foundation of China [41876176]; Scientific Research Foundation of Third Institute of Oceanography, MNR [2016011]; Chinese Arctic and Antarctic Administration; Chinese Polar Environment Comprehensive Investigation &amp; Assessment Program [CHINARE 2012-2016-03-05, CHINARE 2012-2016-04-03]</t>
  </si>
  <si>
    <t>National Natural Science Foundation of China(National Natural Science Foundation of China (NSFC)); Scientific Research Foundation of Third Institute of Oceanography, MNR; Chinese Arctic and Antarctic Administration; Chinese Polar Environment Comprehensive Investigation &amp; Assessment Program</t>
  </si>
  <si>
    <t>This work was supported by the National Natural Science Foundation of China (grant number 41876176), the Scientific Research Foundation of Third Institute of Oceanography, MNR (grant number 2016011), the Chinese Arctic and Antarctic Administration, and the Chinese Polar Environment Comprehensive Investigation &amp; Assessment Program (grant numbers CHINARE 2012-2016-03-05 and CHINARE 2012-2016-04-03).</t>
  </si>
  <si>
    <t>10.1007/s00300-021-02980-8</t>
  </si>
  <si>
    <t>WOS:000744400900002</t>
  </si>
  <si>
    <t>Quilodran, CS; Sandvig, EM; Aguirre, F; de Aguilar, JR; Barroso, O; Vasquez, RA; Rozzi, R</t>
  </si>
  <si>
    <t>Quilodran, Claudio S.; Sandvig, Erik M.; Aguirre, Francisco; Rivero de Aguilar, Juan; Barroso, Omar; Vasquez, Rodrigo A.; Rozzi, Ricardo</t>
  </si>
  <si>
    <t>The extreme rainfall gradient of the Cape Horn Biosphere Reserve and its impact on forest bird richness</t>
  </si>
  <si>
    <t>BIODIVERSITY AND CONSERVATION</t>
  </si>
  <si>
    <t>Forest birds; Hygric niche; Sub-antarctic ecoregion; Species richness; Precipitation gradient; Climate change</t>
  </si>
  <si>
    <t>NEVADO ICE CAP; SOUTHERN PATAGONIA; SPECIES RICHNESS; CLIMATE-CHANGE; PRECIPITATION; BIODIVERSITY; TEMPERATURE; RESPONSES; PATTERNS; RECORD</t>
  </si>
  <si>
    <t>A natural laboratory is a place supporting the conditions for hypothesis testing under non-anthropogenic settings. Located at the southern end of the Magellanic sub-Antarctic ecoregion in southwestern South America, the Cape Horn Biosphere Reserve (CHBR) has one of the most extreme rainfall gradients in the world. Subject to oceanic climate conditions, it is also characterized by moderate thermal fluctuations throughout the year. This makes it a unique natural laboratory for studying the effects of extreme rainfall variations on forest bird communities. Here, we monitor the bird species richness in the different forest types present in the CHBR. We found that species richness decreased with increasing precipitation, in which an increase of 100 mm in average annual precipitation showed about 1% decrease in species richness. Similar patterns were found among different forest types within the CHBR. These results provide a baseline to investigate the interactions between physical and biotic factors in a subpolar region that climatically contrasts with boreal forests, which is subject to continental climatic conditions. This research highlights the importance of ecological and ornithological long-term studies in the CHBR, which can contribute both to a higher resolution of the heterogeneity of climate changes in different regions of the world, and to orient conservation policies in the Magellanic sub-Antarctic ecoregion in the face of growing development pressures.</t>
  </si>
  <si>
    <t>[Quilodran, Claudio S.] Univ Fribourg, Dept Biol &amp; Biochem, Fribourg, Switzerland; [Quilodran, Claudio S.] Univ Oxford, Dept Zool, Oxford OX1 3PS, England; [Quilodran, Claudio S.; Sandvig, Erik M.; Aguirre, Francisco; Rivero de Aguilar, Juan; Barroso, Omar; Vasquez, Rodrigo A.; Rozzi, Ricardo] Univ Magallanes, Cape Horn Int Ctr, Parque Etnobot Omora, Puerto Williams, Chile; [Sandvig, Erik M.] Univ Chile, Fac Ciencias, Inst Ecol &amp; Biodiversidad IEB, Dept Ciencias Ecol, Santiago, Chile; [Aguirre, Francisco] Univ Magallanes, Ctr Invest Gaia Antart CIGA, Punta Arenas, Chile; [Vasquez, Rodrigo A.; Rozzi, Ricardo] Univ North Texas, Dept Philosophy &amp; Relig, SubAntarctic Biocultural Conservat Program, Denton, TX 76203 USA; [Vasquez, Rodrigo A.; Rozzi, Ricardo] Univ North Texas, Dept Biol Sci, Denton, TX USA</t>
  </si>
  <si>
    <t>University of Fribourg; University of Oxford; Universidad de Magallanes; Universidad de Chile; Universidad de Magallanes; University of North Texas System; University of North Texas Denton; University of North Texas System; University of North Texas Denton</t>
  </si>
  <si>
    <t>Quilodran, CS (corresponding author), Univ Fribourg, Dept Biol &amp; Biochem, Fribourg, Switzerland.;Quilodran, CS (corresponding author), Univ Oxford, Dept Zool, Oxford OX1 3PS, England.;Quilodran, CS (corresponding author), Univ Magallanes, Cape Horn Int Ctr, Parque Etnobot Omora, Puerto Williams, Chile.</t>
  </si>
  <si>
    <t>claudio.quilodran@unifr.ch</t>
  </si>
  <si>
    <t>Quilodran, Claudio/JVO-8631-2024; Sandvig, Erik/I-2472-2019; Rozzi, Ricardo/G-1047-2012</t>
  </si>
  <si>
    <t>Quilodran, Claudio/0000-0001-7197-9154; Sandvig, Erik/0000-0002-4180-000X; Rozzi, Ricardo/0000-0001-5265-8726; Barroso Putare, Omar/0000-0003-0565-329X; RIVERO DE AGUILAR, JUAN/0000-0002-4746-5759; Vasquez, Rodrigo A/0000-0003-4309-6789</t>
  </si>
  <si>
    <t>grants for Technological Centers of Excellence with Basal Financing of the National Agency for Research and Development (ANID-Chile) [CHIC-FB210018]; Institute of Ecology and Biodiversity [IEB-AFB170008]; Swiss National Science Foundation [P5R5PB_203169]; Swiss National Science Foundation (SNF) [P5R5PB_203169] Funding Source: Swiss National Science Foundation (SNF)</t>
  </si>
  <si>
    <t>grants for Technological Centers of Excellence with Basal Financing of the National Agency for Research and Development (ANID-Chile); Institute of Ecology and Biodiversity; Swiss National Science Foundation(Swiss National Science Foundation (SNSF)); Swiss National Science Foundation (SNF)(Swiss National Science Foundation (SNSF))</t>
  </si>
  <si>
    <t>This study was funded by grants for Technological Centers of Excellence with Basal Financing of the National Agency for Research and Development (ANID-Chile), granted to the Cape Horn International Center (CHIC-FB210018) and the Institute of Ecology and Biodiversity (IEB-AFB170008). CSQ acknowledges support from the Swiss National Science Foundation (No P5R5PB_203169).</t>
  </si>
  <si>
    <t>0960-3115</t>
  </si>
  <si>
    <t>1572-9710</t>
  </si>
  <si>
    <t>BIODIVERS CONSERV</t>
  </si>
  <si>
    <t>Biodivers. Conserv.</t>
  </si>
  <si>
    <t>10.1007/s10531-022-02353-5</t>
  </si>
  <si>
    <t>0S0EG</t>
  </si>
  <si>
    <t>WOS:000744794900002</t>
  </si>
  <si>
    <t>Lambert, JE; Gibson, KA; Linsley, BK; Bova, SC; Rosenthal, Y; Surprenant, M</t>
  </si>
  <si>
    <t>Lambert, Jonathan E.; Gibson, Kelly A.; Linsley, Braddock K.; Bova, Samantha C.; Rosenthal, Yair; Surprenant, Mina</t>
  </si>
  <si>
    <t>Equatorial Pacific bulk sediment δ15N supports a secular increase in Southern Ocean nitrate utilization after the mid-Pleistocene Transition</t>
  </si>
  <si>
    <t>Nitrogen isotopes; mid-Pleistocene transition; Denitrification; Nitrate utilization; equatorial Pacific; sub-Antarctic mode water; sub-Antarctic zone; Southern Ocean</t>
  </si>
  <si>
    <t>CARBON-DIOXIDE CONCENTRATION; IRON FERTILIZATION; ORGANIC-MATTER; NORTH PACIFIC; NITROGEN; CLIMATE; VARIABILITY; NUTRIENT; DENITRIFICATION; SEA</t>
  </si>
  <si>
    <t>In much of the equatorial Pacific, surface nitrate is consistently available due to upwelling of subAntarctic Mode Water-derived nitrate from the thermocline. However, in the low-latitude western boundary current (WBC) region, surface nitrate is limited due to reduced upwelling and less nitrate-replete thermocline water masses. In order to explore South Pacific WBC paleoceanography via upper ocean nitrate dynamics, we present a new bulk sediment delta N-15 record from within this WBC region at International Ocean Discovery Program Site U1486 (2 degrees 22'S, 144 degrees 36'E) in the Bismarck Sea north of New Guinea. This record spans from 1420 ka to recent - surpassing nearby sediment delta N-15 reconstructions by over a million years and allowing for direct comparison to low-latitude Pacific sediment core delta N-15 records of similar length. Core-top and down-core bulk sediment delta N-15, TOC/TN and delta C-13(org) values indicate minimal or no terrestrial influence on the organic fraction at Site U1486, which is consistent with previous studies of modern processes in the region. After comparison, differences in orbital variability and secular trends throughout the Middle and Late Pleistocene suggest that nitrate dynamics along the equator and in the WBCs were relatively disparate. We observe that delta N-15 at Site U1486 is consistent with patterns of eastern Pacific denitrification, while we suggest increasing delta N-15 after the mid-Pleistocene Transition (MPT; similar to 1250-700 ka) at Sites 806 (0 degrees 19'N, 110 degrees 30'W) and 849 (0 degrees 19'N, 160 degrees E) is linked to increasing Southern Ocean nitrate utilization. Enhanced nitrate utilization is a key indicator of the strengthened biological pump that contributed to a reduction in atmospheric pCO(2) during the last glacial. Therefore, a post-MPT increase in nitrate utilization may bolster the role of the Southern Ocean biological pump in driving the deeper and longer glacial periods of the 100-kyr world. (C) 2022 Elsevier Ltd. All rights reserved.</t>
  </si>
  <si>
    <t>[Lambert, Jonathan E.; Linsley, Braddock K.] Lamont Doherty Earth Observ, 61 Route 9W, Palisades, NY 10964 USA; [Lambert, Jonathan E.] Columbia Univ, Dept Earth &amp; Environm Sci, 557 Schermerhorn Hall Extens,Morningside Campus, New York, NY 10027 USA; [Gibson, Kelly A.] Univ South Carolina Aiken, Dept Biol &amp; Geol, 417 Univ Pkwy, Aiken, SC 29801 USA; [Bova, Samantha C.] San Diego State Univ, Dept Geol Sci, 5500 Campanile Dr, San Diego, CA 92182 USA; [Rosenthal, Yair] Rutgers State Univ, Dept Marine &amp; Coastal Sci, New Brunswick, NJ 08901 USA; [Rosenthal, Yair] Rutgers State Univ, Dept Earth &amp; Planetary Sci, New Brunswick, NJ 08901 USA; [Surprenant, Mina] Univ South Carolina, Sch Earth Ocean &amp; Environm, 701 Sumter St, Columbia, SC 29208 USA</t>
  </si>
  <si>
    <t>Columbia University; Columbia University; California State University System; San Diego State University; Rutgers University System; Rutgers University New Brunswick; Rutgers University System; Rutgers University New Brunswick; University of South Carolina System; University of South Carolina Columbia</t>
  </si>
  <si>
    <t>Lambert, JE (corresponding author), Lamont Doherty Earth Observ, 61 Route 9W, Palisades, NY 10964 USA.</t>
  </si>
  <si>
    <t>jel2195@columbia.edu</t>
  </si>
  <si>
    <t>Linsley, Braddock/0000-0003-2085-0662; Bova, Samantha/0000-0002-5064-8775</t>
  </si>
  <si>
    <t>United States Science Support Program (USSSP) Post-Expedition Activity Awards for Expedition 363; Lamont-Doherty Earth Observatory Climate Center; National Science Foundation [OCE1834208]; Vetlesen Foundation; University of South Carolina; RISE programs</t>
  </si>
  <si>
    <t>United States Science Support Program (USSSP) Post-Expedition Activity Awards for Expedition 363; Lamont-Doherty Earth Observatory Climate Center; National Science Foundation(National Science Foundation (NSF)); Vetlesen Foundation; University of South Carolina; RISE programs</t>
  </si>
  <si>
    <t>This work was supported by United States Science Support Program (USSSP) Post-Expedition Activity Awards for Expedition 363 to B.K.L and K.A.G. It was also supported by a seed funding grant from the Lamont-Doherty Earth Observatory Climate Center to B.K.L. and J.E.L., and by National Science Foundation grant #OCE1834208 to Y.R. The participation of B.K.L. was also partially supported by the Vetlesen Foundation via a gift to the Lamont-Doherty Earth Observatory. Finally, grants from the University of South Carolina Magellan Scholar and RISE programs also supported this research. We thank Wei Huang, Joselyne Chavez, and Eric Tappa for analytical assistance, as well as Jordan Abell for support during writing. We also thank Patrick Rafter and an anonymous reviewer for their helpful comments which have led to the improvement of this paper through revision. Data are available in the online supplementary materials and in the NOAA/World Data Service for Paleoclimatology archives.</t>
  </si>
  <si>
    <t>10.1016/j.quascirev.2021.107348</t>
  </si>
  <si>
    <t>ZQ1ZU</t>
  </si>
  <si>
    <t>WOS:000766911200002</t>
  </si>
  <si>
    <t>Pakhomova, S; Berezina, A; Lusher, AL; Zhdanov, I; Silvestrova, K; Zavialov, P; van Bavel, B; Yakushev, E</t>
  </si>
  <si>
    <t>Pakhomova, Svetlana; Berezina, Anfisa; Lusher, Amy L.; Zhdanov, Igor; Silvestrova, Ksenia; Zavialov, Peter; van Bavel, Bert; Yakushev, Evgeniy</t>
  </si>
  <si>
    <t>Microplastic variability in subsurface water from the Arctic to Antarctica</t>
  </si>
  <si>
    <t>Microplastic; Global distribution; Subsurface water; Fibers; Harmonization</t>
  </si>
  <si>
    <t>ATLANTIC-OCEAN; AIR-POLLUTION; TRANSPORT; SURFACE; FIBERS; SIZE</t>
  </si>
  <si>
    <t>Comparative investigations of microplastic (MP) occurrence in the global ocean are often hampered by the application of different methods. In this study, the same sampling and analytical approach was applied during five different cruises to investigate MP covering a route from the East-Siberian Sea in the Arctic, through the Atlantic, and into the Antarctic Peninsula. A total of 121 subsurface water samples were collected using underway pump-through system on two different vessels. This approach allowed subsurface MP (100 mu m-5 mm) to be evaluated in five regions of the World Ocean (Antarctic, Central Atlantic, North Atlantic, Barents Sea and Siberian Arctic) and to assess regional differences in MP characteristics. The average abundance of MP for whole studied area was 0.7 +/- 0.6 items/m(3) (ranging from 0 to 2.6 items/m(3)), with an equal average abundance for both fragments and fibers (0.34 items/m(3)). Although no statistical difference was found for MP abundance between the studied regions. Differences were found between the size, morphology, polymer types and weight concentrations. The Central Atlantic and Barents Sea appeared to have more MP in terms of weight concentration (7-7.5 mu g/m(3)) than the North Atlantic and Siberian Arctic (0.6 mu g/m(3)). A comparison of MP characteristics between the two Hemispheres appears to indicate that MP in the Northern Hemisphere mostly originate from terrestrial input, while offshore industries play an important role as a source of MP in the Southern Hemisphere. The waters of the Northern Hemisphere were found to be more polluted by fibers than those of the Southern Hemisphere. The results presented here suggest that fibers can be transported by air and water over long distances from the source, while distribution of fragments is limited mainly to the water mass where the source is located.</t>
  </si>
  <si>
    <t>[Pakhomova, Svetlana; Lusher, Amy L.; van Bavel, Bert; Yakushev, Evgeniy] Norwegian Inst Water Res, Oslo, Norway; [Pakhomova, Svetlana; Berezina, Anfisa; Zhdanov, Igor; Silvestrova, Ksenia; Zavialov, Peter; Yakushev, Evgeniy] Russian Acad Sci, PP Shirshov Inst Oceanol, Moscow, Russia; [Berezina, Anfisa] St Petersburg State Univ, St Petersburg, Russia; [Lusher, Amy L.] Univ Bergen, Dept Biol Sci, Bergen, Norway; [Yakushev, Evgeniy] Russian Acad Sci, Far Eastern Branch, VI Ilichov Pacific Oceanol Inst, Vladivostok, Russia</t>
  </si>
  <si>
    <t>Norwegian Institute for Water Research (NIVA); Russian Academy of Sciences; Shirshov Institute of Oceanology; Saint Petersburg State University; University of Bergen; Ilichev Pacific Oceanological Institute; Russian Academy of Sciences</t>
  </si>
  <si>
    <t>Pakhomova, S (corresponding author), Norwegian Inst Water Res, Oslo, Norway.</t>
  </si>
  <si>
    <t>svp@niva.no</t>
  </si>
  <si>
    <t>Yakushev, Evgeny V/M-5470-2019; Pakhomova, Svetlana/ABH-1662-2021; Zhdanov, Igor/AGU-8324-2022; Lusher, Amy L./Q-3483-2018; Berezina, Anfisa/AAK-7150-2021</t>
  </si>
  <si>
    <t>Yakushev, Evgeny V/0000-0001-5008-9611; Pakhomova, Svetlana/0000-0002-0054-0483; Berezina, Anfisa/0000-0001-9356-8807; Lusher, Amy/0000-0003-0539-2974; Zdanov, Igor'/0000-0002-7313-5665</t>
  </si>
  <si>
    <t>Norwegian Ministry of Climate and Environment [RUS-19/0001]; Ministry of Science and Higher Education of Russia; Russian Foundation for Basic Research [19-55-80004, 20-35-90056]; Russian Science Foundation [21-77-30001]; European Union [101003805]; Russian Science Foundation [21-77-30001] Funding Source: Russian Science Foundation</t>
  </si>
  <si>
    <t>Norwegian Ministry of Climate and Environment; Ministry of Science and Higher Education of Russia; Russian Foundation for Basic Research(Russian Foundation for Basic Research (RFBR)Spanish Government); Russian Science Foundation(Russian Science Foundation (RSF)); European Union(European Union (EU)); Russian Science Foundation(Russian Science Foundation (RSF))</t>
  </si>
  <si>
    <t>U This work was partly funded by the Norwegian Ministry of Climate and Environment projects RUS-19/0001 Establish regional capacity to measure and model the distribution and input of microplastics to the Barents Sea from rivers and currents (ESCIMO) , and Model-based mapping of marine litter and microplastic in the Barents Sea (MAMBA) . S.P., A.B, I.Z., K.S., P.Z., and E.Y. were funded by the Ministry of Science and Higher Education of Russia. A.B, I.Z., P.Z. and E.Y. were funded by the Russian Foundation for Basic Research according to the research projects 19-55-80004, 20-35-90056. E.Y. was supported by the Russian Science Foundation Grant 21-77-30001. A.L. and B.v.B received funding from the European Union's Horizon 2020 Coordination and Support Action program under grant agreement No 101003805. The authors are grateful to Oleg Dudarev, Vladimir Rogozhin, Denis Kosmach, Eduard Spivak, Maria Kapustina and Natalia Stepanova for assistance during samples collecting, Cecilie Singdahl-Larsen for assistance with sample analysis, Alexander Osadchiev and Igor Semiletov for supportive dis-cussions, and the captain and crew of R/V Akademik Mstislav Keldysh for facilitating the survey.</t>
  </si>
  <si>
    <t>10.1016/j.envpol.2022.118808</t>
  </si>
  <si>
    <t>ZG3VH</t>
  </si>
  <si>
    <t>WOS:000760186600005</t>
  </si>
  <si>
    <t>Materic, D; Kjær, HA; Vallelonga, P; Tison, JL; Röckmann, T; Holzinger, R</t>
  </si>
  <si>
    <t>Materic, Dusan; Kjaer, Helle Astrid; Vallelonga, Paul; Tison, Jean-Louis; Rockmann, Thomas; Holzinger, Rupert</t>
  </si>
  <si>
    <t>Nanoplastics measurements in Northern and Southern polar ice</t>
  </si>
  <si>
    <t>Nanoplastics; Microplastics; PTR-MS; Polar regions; Greenland; Antarctic</t>
  </si>
  <si>
    <t>ATMOSPHERIC FALLOUT; ORGANIC-COMPOUNDS; MICROPLASTICS; SEA; MS</t>
  </si>
  <si>
    <t>It has been established that various anthropogenic contaminants have already reached all the world's pristine locations, including the polar regions. While some of those contaminants, such as lead and soot, are decreasing in the environment, thanks to international regulations, other novel contaminants emerge. Plastic pollution has been shown as a durable novel pollutant, and, since recently, smaller and smaller plastics particles have been identified in various environments (air, water and soil). Considerable research already exists measuring the plastics in the 5 mm to micrometre size range (microplastics). However, far less is known about the plastics debris that fragmented to the sub-micrometre size (nanoplastics). As these small particles are light, it is expected that they have already reached the most remote places on Earth, e.g. transported across the globe by air movement. In this work, we used a novel method based on Thermal Desorption - Proton Transfer Reaction - Mass Spectrometry (TD-PTR-MS) to detect and measure nanoplastics of different types in the water sampled from a Greenland firn core (T2015-A5) and a sea ice core from Antarctica. We identify polyethylene (PE), poly-propylene (PP), polyethylene terephthalate (PET), polystyrene (PS), polyvinyl chloride (PVC), and Tire wear nanoparticles in the 14 m deep Greenland firn core and PE, PP and PET in sea ice from Antarctica. Nanoplastics mass concentrations were on average 13.2 ng/mL for Greenland firn samples and 52.3 ng/mL for Antarctic sea ice. We further discuss the possible sources of nanoplastics that we found at these remote locations, which likely involve complex processes of plastic circulation (emission from both land and sea surface, atmospheric and marine circulation).</t>
  </si>
  <si>
    <t>[Materic, Dusan; Rockmann, Thomas; Holzinger, Rupert] Univ Utrecht, Inst Marine &amp; Atmospher Res Utrecht, Princetonpl 5, NL-3584 CC Utrecht, Netherlands; [Kjaer, Helle Astrid; Vallelonga, Paul] Univ Copenhagen, Niels Bohr Inst, Sect Phys Ice Climate &amp; Earth, Copenhagen, Denmark; [Tison, Jean-Louis] Univ Libre Bruxelles, Lab Glaciol, DGES IGEOS, B-1050 Brussels, Belgium</t>
  </si>
  <si>
    <t>Utrecht University; University of Copenhagen; Niels Bohr Institute; Universite Libre de Bruxelles</t>
  </si>
  <si>
    <t>Materic, D (corresponding author), Univ Utrecht, Inst Marine &amp; Atmospher Res Utrecht, Princetonpl 5, NL-3584 CC Utrecht, Netherlands.</t>
  </si>
  <si>
    <t>d.materic@uu.nl</t>
  </si>
  <si>
    <t>Materić, Dušan/U-2231-2017; Vallelonga, Paul/I-9650-2016; Kjær, Helle Astrid/HGC-7941-2022; Holzinger, Rupert/C-9160-2009; Rockmann, Thomas/F-4479-2015</t>
  </si>
  <si>
    <t>Materić, Dušan/0000-0002-6454-3456; Kjær, Helle Astrid/0000-0002-3781-9509; Holzinger, Rupert/0000-0003-1902-1824; Rockmann, Thomas/0000-0002-6688-8968</t>
  </si>
  <si>
    <t>10.1016/j.envres.2022.112741</t>
  </si>
  <si>
    <t>YU2MZ</t>
  </si>
  <si>
    <t>WOS:000751882800006</t>
  </si>
  <si>
    <t>Goncharenko, LP; Harvey, VL; Randall, CE; Coster, AJ; Zhang, SR; Zalizovski, A; Galkin, I; Spraggs, M</t>
  </si>
  <si>
    <t>Goncharenko, L. P.; Harvey, V. L.; Randall, C. E.; Coster, A. J.; Zhang, S. -r.; Zalizovski, A.; Galkin, I.; Spraggs, M.</t>
  </si>
  <si>
    <t>Observations of Pole-to-Pole, Stratosphere-to-Ionosphere Connection</t>
  </si>
  <si>
    <t>FRONTIERS IN ASTRONOMY AND SPACE SCIENCES</t>
  </si>
  <si>
    <t>sudden stratospheric warming; stratosphere; ionosphere; Antarctica; tides</t>
  </si>
  <si>
    <t>MIDDLE ATMOSPHERE; VARIABILITY; CIRCULATION; MODEL; TIDE</t>
  </si>
  <si>
    <t>The behavior of the Earth's middle atmosphere and ionosphere is governed by multiple processes resulting not only from downward energy transfer from the Sun and magnetosphere but also upward energy transfer from terrestrial weather. Understanding the relative importance of mechanisms beyond solar and geomagnetic activity is essential for progress in multi-day predictions of the Earth's atmosphere-ionosphere system. The recent development of research infrastructure, particularly in Antarctica, allows the observation of new ionospheric features. Here we show for the first time that large disturbances observed in the Arctic winter polar stratosphere (20-50 km above ground and at 60-90 degrees N) during a sudden stratospheric warming event are communicated across the globe and cause large disturbances in the summertime ionospheric plasma over Antarctica (60-90 degrees S). Ionospheric anomalies reach similar to 100% of the background level and are observed for multiple days. We suggest several possible terrestrial mechanisms that could contribute to the formation of upper atmospheric and ionospheric anomalies in the southern hemisphere.</t>
  </si>
  <si>
    <t>[Goncharenko, L. P.; Coster, A. J.; Zhang, S. -r.] MIT, Haystack Observ, Westford, MA 01886 USA; [Harvey, V. L.; Randall, C. E.] Univ Colorado, Atmospher &amp; Space Phys Lab, Campus Box 392, Boulder, CO 80309 USA; [Harvey, V. L.; Randall, C. E.; Zalizovski, A.] Univ Colorado, Atmospher &amp; Ocean Sci Dept, Boulder, CO 80309 USA; [Zalizovski, A.] Natl Antarctic Sci Ctr Ukraine, Kharkiv, Ukraine; [Zalizovski, A.] Polish Acad Sci, Space Res Ctr, Warsaw, Poland; [Galkin, I.] Univ Massachusetts, Lowell, MA USA; [Spraggs, M.] Univ Wisconsin Madison, Dept Atmospher &amp; Ocean Sci, Madison, WI USA</t>
  </si>
  <si>
    <t>Massachusetts Institute of Technology (MIT); University of Colorado System; University of Colorado Boulder; University of Colorado System; University of Colorado Boulder; Ministry of Education &amp; Science of Ukraine; State Institution National Antarctic Scientific Center; Polish Academy of Sciences; Space Research Centre of the Polish Academy of Sciences; Centrum Badan Kosmicznych, Polish Academy of Sciences; University of Massachusetts System; University of Massachusetts Lowell; University of Wisconsin System; University of Wisconsin Madison</t>
  </si>
  <si>
    <t>Goncharenko, LP (corresponding author), MIT, Haystack Observ, Westford, MA 01886 USA.</t>
  </si>
  <si>
    <t>lpg@mit.edu</t>
  </si>
  <si>
    <t>Zalizovski, Andriy/HII-4602-2022; Randall, Cora E/L-8760-2014; Zhang, Shun-Rong/G-7593-2015; Harvey, Lynn/M-3995-2017</t>
  </si>
  <si>
    <t>Zalizovski, Andriy/0000-0002-6271-0126; Goncharenko, Larisa/0000-0001-9031-7439</t>
  </si>
  <si>
    <t>2296-987X</t>
  </si>
  <si>
    <t>FRONT ASTRON SPACE</t>
  </si>
  <si>
    <t>Front. Astron. Space Sci.</t>
  </si>
  <si>
    <t>10.3389/fspas.2021.768629</t>
  </si>
  <si>
    <t>YQ6TE</t>
  </si>
  <si>
    <t>WOS:000749439100001</t>
  </si>
  <si>
    <t>Dhomse, SS; Chipperfield, MP; Feng, WH; Hossaini, R; Mann, GW; Santee, ML; Weber, M</t>
  </si>
  <si>
    <t>Dhomse, Sandip S.; Chipperfield, Martyn P.; Feng, Wuhu; Hossaini, Ryan; Mann, Graham W.; Santee, Michelle L.; Weber, Mark</t>
  </si>
  <si>
    <t>A single-peak-structured solar cycle signal in stratospheric ozone based on Microwave Limb Sounder observations and model simulations</t>
  </si>
  <si>
    <t>CHEMICAL-TRANSPORT MODEL; LONG-TERM; SPECTRAL IRRADIANCE; MIDDLE ATMOSPHERE; NORTHERN-HEMISPHERE; VARIABILITY; AEROSOL; REGRESSION; EVOLUTION; SELECTION</t>
  </si>
  <si>
    <t>Until now our understanding of the 11-year solar cycle signal (SCS) in stratospheric ozone has been largely based on high-quality but sparse ozone profiles from the Stratospheric Aerosol and Gas Experiment (SAGE) II or coarsely resolved ozone profiles from the nadir-viewing Solar Backscatter Ultraviolet Radiometer (SBUV) satellite instruments. Here, we analyse 16 years (2005-2020) of ozone profile measurements from the Microwave Limb Sounder (MLS) instrument on the Aura satellite to estimate the 11-year SCS in stratospheric ozone. Our analysis of Aura-MLS data suggests a single-peak-structured SCS profile (about 3% near 4 hPa or 40 km) in tropical stratospheric ozone, which is significantly different to the SAGE II and SBUV-based doublepeak-structured SCS. We also find that MLS-observed ozone variations are more consistent with ozone from our control model simulation that uses Naval Research Laboratory (NRL) v2 solar fluxes. However, in the lowermost stratosphere modelled ozone shows a negligible SCS compared to about 1% in Aura-MLS data. An ensemble of ordinary least squares (OLS) and three regularised (lasso, ridge and elastic net) linear regression models confirms the robustness of the estimated SCS. In addition, our analysis of MLS and model simulations shows a large SCS in the Antarctic lower stratosphere that was not seen in earlier studies. We also analyse chemical transport model simulations with alternative solar flux data. We find that in the upper (and middle) stratosphere the model simulation with Solar Radiation and Climate Experiment (SORCE) satellite solar fluxes is also consistent with the MLS-derived SCS and agrees well with the control simulation and one which uses Spectral and Total Irradiance Reconstructions (SATIRE) solar fluxes. Hence, our model simulation suggests that with recent adjustments and corrections, SORCE data can be used to analyse effects of solar flux variations. Furthermore, analysis of a simulation with fixed solar fluxes and one with fixed (annually repeating) meteorology confirms that the implicit dynamical SCS in the (re)analysis data used to force the model is not enough to simulate the observed SCS in the middle and upper stratospheric ozone. Finally, we argue that the overall significantly different SCS compared to previous estimates might be due to a combination of different factors such as much denser MLS measurements, almost linear stratospheric chlorine loading changes over the analysis period, variations in the stratospheric dynamics as well as relatively unperturbed stratospheric aerosol layer that might have influenced earlier analyses.</t>
  </si>
  <si>
    <t>[Dhomse, Sandip S.; Chipperfield, Martyn P.; Feng, Wuhu; Mann, Graham W.] Univ Leeds, Sch Earth &amp; Environm, Leeds, W Yorkshire, England; [Dhomse, Sandip S.; Chipperfield, Martyn P.] Univ Leeds, Natl Ctr Earth Observat, Leeds, W Yorkshire, England; [Feng, Wuhu] Univ Leeds, Natl Ctr Atmospher Sci, Leeds, W Yorkshire, England; [Hossaini, Ryan] Univ Lancaster, Lancaster Environm Ctr, Lancaster, England; [Santee, Michelle L.] CALTECH, Jet Prop Lab, Pasadena, CA USA; [Weber, Mark] Univ Bremen, Inst Environm Phys, POB 330 440, D-28334 Bremen, Germany</t>
  </si>
  <si>
    <t>University of Leeds; University of Leeds; University of Leeds; UK Research &amp; Innovation (UKRI); Natural Environment Research Council (NERC); NERC National Centre for Atmospheric Science; Lancaster University; National Aeronautics &amp; Space Administration (NASA); NASA Jet Propulsion Laboratory (JPL); California Institute of Technology; University of Bremen</t>
  </si>
  <si>
    <t>Dhomse, SS (corresponding author), Univ Leeds, Sch Earth &amp; Environm, Leeds, W Yorkshire, England.;Dhomse, SS (corresponding author), Univ Leeds, Natl Ctr Earth Observat, Leeds, W Yorkshire, England.</t>
  </si>
  <si>
    <t>s.s.dhomse@leeds.ac.uk</t>
  </si>
  <si>
    <t>Dhomse, Sandip/C-8198-2011; Chipperfield, Martyn/H-6359-2013; Santee, MIchelle/R-5762-2019; Hossaini, Ryan/F-7134-2015; Mann, Graham/L-9529-2017; Weber, Mark/F-1409-2011</t>
  </si>
  <si>
    <t>Dhomse, Sandip/0000-0003-3854-5383; Chipperfield, Martyn/0000-0002-6803-4149; Mann, Graham/0000-0003-1746-2837; Hossaini, Ryan/0000-0003-2395-6657; Weber, Mark/0000-0001-8217-5450; Feng, Wuhu/0000-0002-9907-9120</t>
  </si>
  <si>
    <t>Natural Environment Research Council [NE/R001782/1]; National Centre for Earth Observation [NE/R016518/1]; NERC [NE/V011863/1, NE/R001782/1, NE/R016518/1, NE/N014375/1] Funding Source: UKRI</t>
  </si>
  <si>
    <t>Natural Environment Research Council(UK Research &amp; Innovation (UKRI)Natural Environment Research Council (NERC)); National Centre for Earth Observation; NERC(UK Research &amp; Innovation (UKRI)Natural Environment Research Council (NERC))</t>
  </si>
  <si>
    <t>This research has been supported by the Natural Environment Research Council (grant no. NE/R001782/1) and the National Centre for Earth Observation (grant no. NE/R016518/1). Work at the Jet Propulsion Laboratory, California Institute of Technology, was carried out under a contract with the National Aeronautics and Space Administration.</t>
  </si>
  <si>
    <t>10.5194/acp-22-903-2022</t>
  </si>
  <si>
    <t>YN3FC</t>
  </si>
  <si>
    <t>WOS:000747146100001</t>
  </si>
  <si>
    <t>Chen, SM; Riebesell, U; Schulz, KG; von der Esch, E; Achterberg, EP; Bach, LT</t>
  </si>
  <si>
    <t>Chen, Shao-Min; Riebesell, Ulf; Schulz, Kai G.; von der Esch, Elisabeth; Achterberg, Eric P.; Bach, Lennart T.</t>
  </si>
  <si>
    <t>Temporal dynamics of surface ocean carbonate chemistry in response to natural and simulated upwelling events during the 2017 coastal El Nino near Callao, Peru</t>
  </si>
  <si>
    <t>OXYGEN MINIMUM ZONE; DISSOLVED INORGANIC CARBON; SEA CO2 FLUXES; TECHNICAL NOTE; INTERNAL CONSISTENCY; PH MEASUREMENTS; GAS-EXCHANGE; SYSTEM; ACIDIFICATION; SEAWATER</t>
  </si>
  <si>
    <t>Oxygen minimum zones (OMZs) are characterized by enhanced carbon dioxide (CO2) levels and low pH and are being further acidified by uptake of anthropogenic atmospheric CO2. With ongoing intensification and expansion of OMZs due to global warming, carbonate chemistry conditions may become more variable and extreme, particularly in the eastern boundary upwelling systems. In austral summer (February-April) 2017, a large-scale mesocosm experiment was conducted in the coastal upwelling area off Callao (Peru) to investigate the impacts of ongoing ocean deoxygenation on biogeochemical processes, coinciding with a rare coastal El Nino event. Here we report on the temporal dynamics of carbonate chemistry in the mesocosms and surrounding Pacific waters over a continuous period of 50 d with hightemporal-resolution observations (every second day). The mesocosm experiment simulated an upwelling event in the mesocosms by addition of nitrogen (N)-deficient and CO2-enriched OMZ water. Surface water in the mesocosms was acidified by the OMZ water addition, with pHT lowered by 0.1-0.2 and pCO(2) elevated to above 900 mu atm. Thereafter, surface pCO(2) quickly dropped to near or below the atmospheric level (405.22 mu atm in 2017; Dlugokencky and Tans, 2021; NOAA/Global Monitoring Laboratory (GML)) mainly due to enhanced phytoplankton production with rapid CO2 consumption. Further observations revealed that the dominance of the dinoflagellate Akashiwo sanguinea and contamination of bird excrements played important roles in the dynamics of carbonate chemistry in the mesocosms. Compared to the simulated upwelling, natural upwelling events in the surrounding Pacific waters occurred more frequently with sea-to-air CO2 fluxes of 4.2-14.0 mmol C m(-2) d(-1). The positive CO2 fluxes indicated our site was a local CO2 source during our study, which may have been impacted by the coastal El Nino. However, our observations of dissolved inorganic carbon (DIC) drawdown in the mesocosms suggest that CO2 fluxes to the atmosphere can be largely dampened by biological processes. Overall, our study characterized carbonate chemistry in nearshore Pacific waters that are rarely sampled in such a temporal resolution and hence provided unique insights into the CO2 dynamics during a rare coastal El Nino event.</t>
  </si>
  <si>
    <t>[Chen, Shao-Min; Riebesell, Ulf; von der Esch, Elisabeth; Achterberg, Eric P.] GEOMAR Helmholtz Ctr Ocean Res Kiel, Kiel, Germany; [Chen, Shao-Min] Dalhousie Univ, Dept Earth &amp; Environm Sci, Halifax, NS, Canada; [Schulz, Kai G.] Southern Cross Univ, Sch Environm Sci &amp; Engn, Ctr Coastal Biogeochem, Lismore, NSW, Australia; [Bach, Lennart T.] Univ Tasmania, Inst Marine &amp; Antarctic Studies, Hobart, Tas, Australia</t>
  </si>
  <si>
    <t>Helmholtz Association; GEOMAR Helmholtz Center for Ocean Research Kiel; Dalhousie University; Southern Cross University; University of Tasmania</t>
  </si>
  <si>
    <t>Chen, SM (corresponding author), GEOMAR Helmholtz Ctr Ocean Res Kiel, Kiel, Germany.;Chen, SM (corresponding author), Dalhousie Univ, Dept Earth &amp; Environm Sci, Halifax, NS, Canada.</t>
  </si>
  <si>
    <t>shaomin.chen@dal.ca</t>
  </si>
  <si>
    <t>Achterberg, Eric P/C-5820-2009; Schulz, Kai/AEZ-9073-2022</t>
  </si>
  <si>
    <t>Schulz, Kai/0000-0002-8481-4639; Chen, Shaomin/0000-0001-7150-1038; Bach, Lennart/0000-0003-0202-3671</t>
  </si>
  <si>
    <t>Collaborative Research Center Climate-Biogeochemistry Interactions in the Tropical Ocean - German Research Foundation (DFG) [SFB 754]; EU project AQUACOSM; Leibniz Award 2012</t>
  </si>
  <si>
    <t>Collaborative Research Center Climate-Biogeochemistry Interactions in the Tropical Ocean - German Research Foundation (DFG)(German Research Foundation (DFG)); EU project AQUACOSM; Leibniz Award 2012</t>
  </si>
  <si>
    <t>This research has been supported by the Collaborative Research Center SFB 754 Climate-Biogeochemistry Interactions in the Tropical Ocean financed by the German Research Foundation (DFG), the EU project AQUACOSM, and the Leibniz Award 2012 (granted to Ulf Riebesell).</t>
  </si>
  <si>
    <t>10.5194/bg-19-295-2022</t>
  </si>
  <si>
    <t>YN3HZ</t>
  </si>
  <si>
    <t>WOS:000747153600001</t>
  </si>
  <si>
    <t>Jafari, M; Sharma, V; Lehning, M</t>
  </si>
  <si>
    <t>Jafari, Mahdi; Sharma, Varun; Lehning, Michael</t>
  </si>
  <si>
    <t>Convection of water vapour in snowpacks</t>
  </si>
  <si>
    <t>JOURNAL OF FLUID MECHANICS</t>
  </si>
  <si>
    <t>convection; mass transport; phase change</t>
  </si>
  <si>
    <t>EFFECTIVE THERMAL-CONDUCTIVITY; TEMPERATURE-GRADIENT; ARCTIC SNOWPACK; DEPTH-HOAR; HEAT; AIR; FLOW; CONSEQUENCES; EVOLUTION; TRANSPORT</t>
  </si>
  <si>
    <t>This paper studies numerically the convection of water vapour in snowpacks using an Eulerian-Eulerian two-phase approach. The convective water vapour transport in snow and its effects on snow density are often invoked to explain observed density profiles, e.g. of thin Arctic snow covers, but this process has never been numerically simulated and analysed in a systematic manner. Here, the impact of convection on the thermal and phase change regimes as a function of different snowpack depths, thermal boundary conditions and Rayleigh numbers is analysed. We find considerable impact of natural convection on the snow density distribution with a layer of significantly lower density at the bottom of the snowpack and a layer of higher density located higher in the snowpack or at the surface. We find that emergent heterogeneity in the snow porosity results in a feedback effect on the spatial organization of convection cells causing their horizontal displacement. Regions where the snowpack is most impacted by phase changes are found to be horizontally extended and vertically thin, `pancake'-like layers at the top and bottom of the snowpack. We further demonstrate that among the parameters important for natural convection, the snowpack depth has the strongest influence on the heat and mass transfer. Despite our simplifying assumptions, our study represents a significant improvement over the state of the art and a first step to accurately simulate snowpack dynamics in diverse regions of the cryosphere.</t>
  </si>
  <si>
    <t>[Jafari, Mahdi; Sharma, Varun; Lehning, Michael] Ecole Polytech Fed Lausanne, Sch Architecture Civil &amp; Environm Engn, CRYOS, CH-1015 Lausanne, Switzerland; [Sharma, Varun; Lehning, Michael] WSL Inst Snow &amp; Avalanche Res SLF, CH-7260 Davos, Switzerland</t>
  </si>
  <si>
    <t>Swiss Federal Institutes of Technology Domain; Ecole Polytechnique Federale de Lausanne; Swiss Federal Institutes of Technology Domain; Swiss Federal Institute for Forest, Snow &amp; Landscape Research</t>
  </si>
  <si>
    <t>Jafari, M (corresponding author), Ecole Polytech Fed Lausanne, Sch Architecture Civil &amp; Environm Engn, CRYOS, CH-1015 Lausanne, Switzerland.</t>
  </si>
  <si>
    <t>mahdi.jafari@epfl.ch</t>
  </si>
  <si>
    <t>; Lehning, Michael/AFS-9462-2022</t>
  </si>
  <si>
    <t>Jafari, Mahdi/0000-0003-4794-4431; Lehning, Michael/0000-0002-8442-0875</t>
  </si>
  <si>
    <t>Swiss National Science Foundation-SNF [200021E-154248]; Deutsche Forschungsgemeinschaft (DFG) [NI 1096/5-1, KA 2694/7-1]; Swiss National Supercomputing Facility CSCS [S938]</t>
  </si>
  <si>
    <t>Swiss National Science Foundation-SNF(Swiss National Science Foundation (SNSF)); Deutsche Forschungsgemeinschaft (DFG)(German Research Foundation (DFG)); Swiss National Supercomputing Facility CSCS</t>
  </si>
  <si>
    <t>This project is co-supported by the Swiss National Science Foundation-SNF, grant number 200021E-154248, and the Deutsche Forschungsgemeinschaft (DFG) in the framework of the priority programme `Antarctic research with comparative investigations in Arctic ice areas' under grant numbers NI 1096/5-1 and KA 2694/7-1. Further support by the Swiss National Supercomputing Facility CSCS (grant number S938) is acknowledged.</t>
  </si>
  <si>
    <t>0022-1120</t>
  </si>
  <si>
    <t>1469-7645</t>
  </si>
  <si>
    <t>J FLUID MECH</t>
  </si>
  <si>
    <t>J. Fluid Mech.</t>
  </si>
  <si>
    <t>A38</t>
  </si>
  <si>
    <t>10.1017/jfm.2021.1146</t>
  </si>
  <si>
    <t>Mechanics; Physics, Fluids &amp; Plasmas</t>
  </si>
  <si>
    <t>Mechanics; Physics</t>
  </si>
  <si>
    <t>YI7TF</t>
  </si>
  <si>
    <t>WOS:000744046500001</t>
  </si>
  <si>
    <t>Li, YF; Peng, ZY; Tan, LJ; Zhu, YH; Zhao, C; Zeng, QH; Liu, G; Wang, JJ; Zhao, Y</t>
  </si>
  <si>
    <t>Li, Yufeng; Peng, Zhiyun; Tan, Lijun; Zhu, Yongheng; Zhao, Cheng; Zeng, Qiao-Hui; Liu, Guang; Wang, Jing Jing; Zhao, Yong</t>
  </si>
  <si>
    <t>Structural and functional properties of soluble Antarctic krill proteins covalently modified by rutin</t>
  </si>
  <si>
    <t>FOOD CHEMISTRY</t>
  </si>
  <si>
    <t>Soluble Antarctic krill proteins; Rutin; Covalent crosslinking; Structural conformation; Functional properties</t>
  </si>
  <si>
    <t>New polyphenol-protein conjugates were successfully prepared by covalently crosslinking soluble Antarctic krill proteins with rutin (SAKPs-rutin). The physico-chemical and functional properties of SAKPs-rutin conjugates were systematically evaluated by measuring the changes in interfacial tension, structural conformation, and emulsifying ability, etc. The results showed that SAKPs-rutin conjugates possessed higher surface hydrophobicity, surface charge, and thermal denaturation temperature, and lower beta-sheet conformation compared to native SAKPs. On this basis, the interfacial tension of SAKPs-rutin conjugates was reduced, which greatly contributed to the formation of denser and more ordered networks at the oil-water interface. Meanwhile, the emulsifier endowed the fabricated high internal phase emulsions (HIPEs) with excellent physical performance and oxidative stability, evidenced by low peroxide values (POV) and malondialdehyde (MDA) after the treatment of long-term storage (15d), heating (65 degrees C) and UV light treatment. These findings suggest that SAKPs-rutin conjugates are a novel and promising food resource for preparing food-grade emulsions.</t>
  </si>
  <si>
    <t>[Li, Yufeng; Zeng, Qiao-Hui; Wang, Jing Jing] Foshan Univ, Sch Food Sci &amp; Engn, Foshan 528000, Guangdong, Peoples R China; [Li, Yufeng] Anhui Polytech Univ, Coll Biol &amp; Food Engn, Wuhu 241000, Peoples R China; [Li, Yufeng; Peng, Zhiyun; Tan, Lijun; Zhu, Yongheng; Zhao, Cheng; Wang, Jing Jing; Zhao, Yong] Shanghai Ocean Univ, Coll Food Sci &amp; Technol, Shanghai 201306, Peoples R China; [Zhao, Yong] Minist Agr &amp; Rural Affairs, Lab Qual &amp; Safety Risk Assessment Aquat Prod Stor, Shanghai 201306, Peoples R China; [Liu, Guang] Guangdong Acad Agr Sci, Sericultural &amp; Agrifood Res Inst, Key Lab Funct Foods, Minist Agr &amp; Rural Affairs,Guangdong Key Lab Agr, Guangzhou 510610, Peoples R China</t>
  </si>
  <si>
    <t>Foshan University; Anhui Polytechnic University; Shanghai Ocean University; Ministry of Agriculture &amp; Rural Affairs; Guangdong Academy of Agricultural Sciences; Ministry of Agriculture &amp; Rural Affairs</t>
  </si>
  <si>
    <t>Wang, JJ (corresponding author), Foshan Univ, Sch Food Sci &amp; Engn, Foshan 528000, Guangdong, Peoples R China.;Wang, JJ; Zhao, Y (corresponding author), Shanghai Ocean Univ, Coll Food Sci &amp; Technol, Shanghai 201306, Peoples R China.</t>
  </si>
  <si>
    <t>w_j2010@126.com; yzhao@shou.edu.cn</t>
  </si>
  <si>
    <t>Wang, Jin/GYA-2019-2022; Wang, Siyi/JNT-2690-2023; wang, jian/HRB-9588-2023; wang, juan/IUO-6218-2023; wang, jing/HJA-5384-2022; Li, yu/HHZ-5236-2022; wang, dan/JEF-0836-2023; Wang, Jinyang/JXN-8650-2024; wang, jing/GVT-8700-2022; wang, jiahui/IXD-1197-2023; Peng, Zhiyun/HHS-8382-2022; lu, kai/KBB-4008-2024; liang, liang/IAO-8518-2023; Wang, Zhonglin/JVZ-9007-2024; Tan, Lijun/GRX-8547-2022; ZHOU, YUE/IZE-6277-2023; wang, jing/GRS-7509-2022; wang, jie/HTQ-4920-2023; WANG, JINGYI/GSJ-1241-2022; Wang, Xiaogang/B-2439-2013; Wang, Jing/IQW-3496-2023; wang, jiajun/JRW-6032-2023</t>
  </si>
  <si>
    <t>Peng, Zhiyun/0000-0002-0390-2662; Tan, Lijun/0000-0003-1090-8314; Wang, Xiaogang/0000-0002-7929-5889; Wang, Jing/0000-0002-8296-2961;</t>
  </si>
  <si>
    <t>0308-8146</t>
  </si>
  <si>
    <t>1873-7072</t>
  </si>
  <si>
    <t>FOOD CHEM</t>
  </si>
  <si>
    <t>Food Chem.</t>
  </si>
  <si>
    <t>JUN 15</t>
  </si>
  <si>
    <t>10.1016/j.foodchem.2022.132159</t>
  </si>
  <si>
    <t>Chemistry, Applied; Food Science &amp; Technology; Nutrition &amp; Dietetics</t>
  </si>
  <si>
    <t>Chemistry; Food Science &amp; Technology; Nutrition &amp; Dietetics</t>
  </si>
  <si>
    <t>0Y1XQ</t>
  </si>
  <si>
    <t>WOS:000790189200005</t>
  </si>
  <si>
    <t>McCarthy, AH; Peck, LS; Aldridge, DC</t>
  </si>
  <si>
    <t>McCarthy, Arlie H.; Peck, Lloyd S.; Aldridge, David C.</t>
  </si>
  <si>
    <t>Ship traffic connects Antarctica's fragile coasts to worldwide ecosystems</t>
  </si>
  <si>
    <t>anthropogenic impacts; marine conservation; biofouling; traffic networks</t>
  </si>
  <si>
    <t>SOUTHERN-OCEAN; CLIMATE-CHANGE; MARINE BIOINVASION; COMPLEX NETWORK; TRANSPORT; INTRODUCTIONS; BIODIVERSITY; DISPERSAL; DIVERSITY; PENINSULA</t>
  </si>
  <si>
    <t>Antarctica, an isolated and long considered pristine wilderness, is becoming increasingly exposed to the negative effects of ship-borne human activity, and especially the introduction of invasive species. Here, we provide a comprehensive quantitative analysis of ship movements into Antarctic waters and a spatially explicit assessment of introduction risk for nonnative marine species in all Antarctic waters. We show that vessels traverse Antarctica's isolating natural barriers, connecting it directly via an extensive network of ship activity to all global regions, especially South Atlantic and European ports. Ship visits are more than seven times higher to the Antarctic Peninsula (especially east of Anvers Island) and the South Shetland Islands than elsewhere around Antarctica, together accounting for 88% of visits to Southern Ocean ecoregions. Contrary to expectations, we show that while the five recognized Antarctic Gateway cities are important last ports of call, especially for research and tourism vessels, an additional 53 ports had vessels directly departing to Antarctica from 2014 to 2018. We identify ports outside Antarctica where biosecurity interventions could be most effectively implemented and the most vulnerable Antarctic locations where monitoring programs for high-risk invaders should be established.</t>
  </si>
  <si>
    <t>[McCarthy, Arlie H.; Aldridge, David C.] Univ Cambridge, Dept Zool, Aquat Ecol Grp, David Attenborough Bldg, Cambridge CB2 3QZ, England; [McCarthy, Arlie H.; Peck, Lloyd S.] British Antarctic Survey, NERC, Cambridge CB3 0ET, England; [Aldridge, David C.] St Catharines Coll, BioRISC, Cambridge CB2 1RL, England</t>
  </si>
  <si>
    <t>University of Cambridge; UK Research &amp; Innovation (UKRI); Natural Environment Research Council (NERC); NERC British Antarctic Survey; University of Cambridge</t>
  </si>
  <si>
    <t>McCarthy, AH (corresponding author), Univ Cambridge, Dept Zool, Aquat Ecol Grp, David Attenborough Bldg, Cambridge CB2 3QZ, England.;McCarthy, AH (corresponding author), British Antarctic Survey, NERC, Cambridge CB3 0ET, England.</t>
  </si>
  <si>
    <t>ahm43@cam.ac.uk</t>
  </si>
  <si>
    <t>McCarthy, Arlie/AAG-5028-2021</t>
  </si>
  <si>
    <t>McCarthy, Arlie/0000-0001-7423-4342; Aldridge, David/0000-0001-9067-8592</t>
  </si>
  <si>
    <t>General Sir John Monash Foundation; Whitten Studentship in the Zoology Department, University of Cambridge; University of Melbourne; National Environment Research Council -United Kingdom Research and Innovation (NERCUKRI); NERC [bas0100036] Funding Source: UKRI</t>
  </si>
  <si>
    <t>General Sir John Monash Foundation; Whitten Studentship in the Zoology Department, University of Cambridge; University of Melbourne(University of Melbourne); National Environment Research Council -United Kingdom Research and Innovation (NERCUKRI); NERC(UK Research &amp; Innovation (UKRI)Natural Environment Research Council (NERC))</t>
  </si>
  <si>
    <t>We thank Dr. C. Braun (University of Jena) and IAATO for providing data on ships and their activity to allow the accuracy of the satellite observations to be verified. Thanks also to Louise Ireland in the Mapping and GIS team at the British Antarctic Survey for providing calculations of sea-ice coverage and sea surface temperature. We thank the Institute of Environmental Physics, University of Bremen for the provision of the merged MODIS-AMSR2 sea-ice concentration data at https://seaice.uni-bremen.de/data/modis_amsr2 (last accessed 10 December 2020). A.H.M. is funded through by the General Sir John Monash Foundation and holds a Whitten Studentship in the Zoology Department, University of Cambridge and a W. E.J. Craig Travelling Scholarship from the University of Melbourne. L.S.P. is funded by National Environment Research Council -United Kingdom Research and Innovation (NERCUKRI) core funding to the British Antarctic Survey.</t>
  </si>
  <si>
    <t>JAN 18</t>
  </si>
  <si>
    <t>e2110303118</t>
  </si>
  <si>
    <t>10.1073/pnas.2110303118</t>
  </si>
  <si>
    <t>YP7DA</t>
  </si>
  <si>
    <t>WOS:000748781000013</t>
  </si>
  <si>
    <t>Hinestrosa, G; Webster, JM; Beaman, RJ</t>
  </si>
  <si>
    <t>Hinestrosa, Gustavo; Webster, Jody M.; Beaman, Robin J.</t>
  </si>
  <si>
    <t>New constraints on the postglacial shallow-water carbonate accumulation in the Great Barrier Reef</t>
  </si>
  <si>
    <t>SHELF EDGE REEFS; SEA-LEVEL; ENVIRONMENTAL-CHANGES; CORAL-REEFS; HALIMEDA BIOHERMS; OCEAN; SEDIMENTATION; CO2; HOLOCENE; PRODUCTIVITY</t>
  </si>
  <si>
    <t>More accurate global volumetric estimations of shallow-water reef deposits are needed to better inform climate and carbon cycle models. Using recently acquired datasets and International Ocean Discovery Program (IODP) Expedition 325 cores, we calculated shallow-water CaCO3 volumetrics and mass for the Great Barrier Reef region and extrapolated these results globally. In our estimates, we include deposits that have been neglected in global carbonate budgets: Holocene Halimeda bioherms located on the shelf, and postglacial pre-Holocene (now) drowned coral reefs located on the shelf edge. Our results show that in the Great Barrier Reef alone, these drowned reef deposits represent ca. 135 Gt CaCO3, comparatively representing 16-20% of the younger Holocene reef deposits. Globally, under plausible assumptions, we estimate the presence of ca. 8100 Gt CaCO3 of Holocene reef deposits, ca. 1500 Gt CaCO3 of drowned reef deposits and ca. 590 Gt CaCO3 of Halimeda shelf bioherms. Significantly, we found that in our scenarios the periods of pronounced reefal mass accumulation broadly encompass the occurrence of the Younger Dryas and periods of CO2 surge (14.9-14.4 ka, 13.0-11.5 ka) observed in Antarctic ice cores. Our estimations are consistent with reef accretion episodes inferred from previous global carbon cycle models and with the chronology from reef cores from the shelf edge of the Great Barrier Reef.</t>
  </si>
  <si>
    <t>[Hinestrosa, Gustavo; Webster, Jody M.] Univ Sydney, Sch Geosci, Geocoastal Res Grp, Sydney, NSW, Australia; [Beaman, Robin J.] James Cook Univ, Coll Sci &amp; Engn, Cairns, Australia</t>
  </si>
  <si>
    <t>University of Sydney; James Cook University</t>
  </si>
  <si>
    <t>Hinestrosa, G (corresponding author), Univ Sydney, Sch Geosci, Geocoastal Res Grp, Sydney, NSW, Australia.</t>
  </si>
  <si>
    <t>gustavo.hinestrosa@sydney.edu.au</t>
  </si>
  <si>
    <t>Australian Research Council [DP1094001]; ANZIC (Australian and New Zealand International Ocean Discovery Program); CSIRO Marine National Facility; Australian Research Council [DP1094001] Funding Source: Australian Research Council</t>
  </si>
  <si>
    <t>Australian Research Council(Australian Research Council); ANZIC (Australian and New Zealand International Ocean Discovery Program); CSIRO Marine National Facility; Australian Research Council(Australian Research Council)</t>
  </si>
  <si>
    <t>Thanks to Thomas Felis for the insights on the carbon isotopic cycle and its relation to Quaternary coral reef growth. Financial support was provided by the Australian Research Council (grant no. DP1094001) and ANZIC (Australian and New Zealand International Ocean Discovery Program). Research supported by a grant of sea time on RV Southern Surveyor from the CSIRO Marine National Facility.</t>
  </si>
  <si>
    <t>10.1038/s41598-021-04586-w</t>
  </si>
  <si>
    <t>YI8VH</t>
  </si>
  <si>
    <t>WOS:000744120000001</t>
  </si>
  <si>
    <t>Jakobsson, M; Mayer, LA</t>
  </si>
  <si>
    <t>Jakobsson, Martin; Mayer, Larry A.</t>
  </si>
  <si>
    <t>Polar Region Bathymetry: Critical Knowledge for the Prediction of Global Sea Level Rise</t>
  </si>
  <si>
    <t>bathymetry; ocean mapping; Arctic Ocean; Southern Ocean; cryosphere; sea-level rise</t>
  </si>
  <si>
    <t>RESOLUTION AIRBORNE GRAVITY; GROUNDING-LINE RETREAT; PINE ISLAND GLACIER; ICE-SHELF; PETERMANN GLETSCHER; NORTH GREENLAND; WEST GREENLAND; ACCELERATION; RECORD; WATER</t>
  </si>
  <si>
    <t>The ocean and the marine parts of the cryosphere interact directly with, and are affected by, the seafloor and its primary properties of depth (bathymetry) and shape (morphology) in many ways. Bottom currents are largely constrained by undersea terrain with consequences for both regional and global heat transport. Deep ocean mixing is controlled by seafloor roughness, and the bathymetry directly influences where marine outlet glaciers are susceptible to the inflow relatively warm subsurface waters - an issue of great importance for ice-sheet discharge, i.e., the loss of mass from calving and undersea melting. Mass loss from glaciers and the Greenland and Antarctic ice sheets, is among the primary drivers of global sea-level rise, together now contributing more to sea-level rise than the thermal expansion of the ocean. Recent research suggests that the upper bounds of predicted sea-level rise by the year 2100 under the scenarios presented in IPCC's Special Report on the Ocean and Cryosphere in a Changing Climate (SROCCC) likely are conservative because of the many unknowns regarding ice dynamics. In this paper we highlight the poorly mapped seafloor in the Polar regions as a critical knowledge gap that needs to be filled to move marine cryosphere science forward and produce improved understanding of the factors impacting ice-discharge and, with that, improved predictions of, among other things, global sea-level. We analyze the bathymetric data coverage in the Arctic Ocean specifically and use the results to discuss challenges that must be overcome to map the most remotely located areas in the Polar regions in general.</t>
  </si>
  <si>
    <t>[Jakobsson, Martin] Stockholm Univ, Dept Geol Sci, Stockholm, Sweden; [Mayer, Larry A.] Univ New Hampshire, Ctr Coastal &amp; Ocean Mapping Joint Hydrog Ctr, Durham, NH 03824 USA</t>
  </si>
  <si>
    <t>Stockholm University; University System Of New Hampshire; University of New Hampshire</t>
  </si>
  <si>
    <t>Jakobsson, M (corresponding author), Stockholm Univ, Dept Geol Sci, Stockholm, Sweden.</t>
  </si>
  <si>
    <t>martin.jakobsson@geo.su.se</t>
  </si>
  <si>
    <t>Jakobsson, Martin/0000-0002-9033-3559; Mayer, Larry/0000-0003-1846-5140</t>
  </si>
  <si>
    <t>Nippon Foundation of Japan</t>
  </si>
  <si>
    <t>We would like to thank all agencies and institutions that have funded and facilitated the collection of bathymetric data in the Polar regions. We thank two reviewers for providing constructive feedback that improved the manuscript. This review has been done as a part of the Nippon-Foundation- GEBCO-Seabed 2030 project receiving funding from the Nippon Foundation of Japan.</t>
  </si>
  <si>
    <t>JAN 17</t>
  </si>
  <si>
    <t>10.3389/fmars.2021.788724</t>
  </si>
  <si>
    <t>1Q2TD</t>
  </si>
  <si>
    <t>WOS:000802545700001</t>
  </si>
  <si>
    <t>Siminea, N; Popescu, V; Martin, JAS; Florea, D; Gavril, G; Gheorghe, AM; Itcus, C; Kanhaiya, K; Pacioglu, O; Popa, LL; Trandafir, R; Tusa, MI; Sidoroff, M; Paun, M; Czeizler, E; Paun, A; Petre, I</t>
  </si>
  <si>
    <t>Siminea, Nicoleta; Popescu, Victor; Martin, Jose Angel Sanchez; Florea, Daniela; Gavril, Georgiana; Gheorghe, Ana-Maria; Itcus, Corina; Kanhaiya, Krishna; Pacioglu, Octavian; Popa, Laura Lona; Trandafir, Romica; Tusa, Maria Iris; Sidoroff, Manuela; Paun, Mihaela; Czeizler, Eugen; Paun, Andrei; Petre, Ion</t>
  </si>
  <si>
    <t>Network analytics for drug repurposing in COVID-19</t>
  </si>
  <si>
    <t>BRIEFINGS IN BIOINFORMATICS</t>
  </si>
  <si>
    <t>COVID-19; drug repurposing; network biology; network controllability; host factors</t>
  </si>
  <si>
    <t>ANALYSIS REVEALS; SARS-COV-2; COMBINATION; INFLAMMATION; INHIBITION; GENES</t>
  </si>
  <si>
    <t>To better understand the potential of drug repurposing in COVID-19, we analyzed control strategies over essential host factors for SARS-CoV-2 infection. We constructed comprehensive directed protein-protein interaction (PPI) networks integrating the top-ranked host factors, the drug target proteins and directed PPI data. We analyzed the networks to identify drug targets and combinations thereof that offer efficient control over the host factors. We validated our findings against clinical studies data and bioinformatics studies. Our method offers a new insight into the molecular details of the disease and into potentially new therapy targets for it. Our approach for drug repurposing is significant beyond COVID-19 and may be applied also to other diseases.</t>
  </si>
  <si>
    <t>[Siminea, Nicoleta; Paun, Andrei] Univ Bucharest, Comp Sci, Bucharest, Romania; [Siminea, Nicoleta; Gheorghe, Ana-Maria; Tusa, Maria Iris; Paun, Mihaela; Czeizler, Eugen; Petre, Ion] Natl Inst Res &amp; Dev Biol Sci, 296 Independentei Bd Dist 6, Bucharest 060031, Romania; [Popescu, Victor] Abo Akad Univ, Comp Sci, Turku, Finland; [Martin, Jose Angel Sanchez] Tech Univ Madrid, Dept Comp Sci, Madrid, Spain; [Florea, Daniela; Gavril, Georgiana; Trandafir, Romica] Natl Inst Res &amp; Dev Biol Sci, Dept Bioinformat, Bucharest, Romania; [Itcus, Corina] Natl Inst Res &amp; Dev Biol Sci, Arctic &amp; Antarctic Res Dept, Bucharest, Romania; [Kanhaiya, Krishna] Abo Akad Univ, Dept Informat Technol, Turku, Finland; [Trandafir, Romica] Tech Univ Civil Engn Bucharest, Dept Math &amp; Comp Sci, Bucharest, Romania; [Sidoroff, Manuela] Natl Inst Res &amp; Dev Biol Sci, Biotechnol, Bucharest, Romania; [Paun, Mihaela] Univ Bucharest, Stat, Bucharest, Romania; [Petre, Ion] Univ Turku, Dept Math &amp; Stat, Turku 20014, Finland</t>
  </si>
  <si>
    <t>University of Bucharest; National Research Institute for Biological Sciences; Abo Akademi University; Universidad Politecnica de Madrid; National Research Institute for Biological Sciences; National Research Institute for Biological Sciences; Abo Akademi University; Technical University of Civil Engineering of Bucharest (UTCB); National Research Institute for Biological Sciences; University of Bucharest; University of Turku</t>
  </si>
  <si>
    <t>Petre, I (corresponding author), Natl Inst Res &amp; Dev Biol Sci, 296 Independentei Bd Dist 6, Bucharest 060031, Romania.;Petre, I (corresponding author), Univ Turku, Dept Math &amp; Stat, Turku 20014, Finland.</t>
  </si>
  <si>
    <t>ion.petre@utu.fi</t>
  </si>
  <si>
    <t>Siminea, Nicoleta/IUP-6811-2023; Petre, Ion/AAP-5839-2020; Czeizler, Eugen/AAA-6628-2019; Pacioglu, Octavian/A-2347-2017; Gavril, Georgiana Luminita/AAR-7389-2021; TRANDAFIR, Romica I/A-4519-2014; Popa, Laura Ioana/AAA-5121-2020</t>
  </si>
  <si>
    <t>Petre, Ion/0000-0002-5014-5529; Czeizler, Eugen/0000-0002-1607-1554; Gavril, Georgiana Luminita/0000-0002-8208-2251; Gheorghe (ex.Dobre), Ana Maria/0000-0001-7193-7085; Siminea, Nicoleta/0000-0002-9956-1718; Florea, Daniela/0000-0003-4891-5552; Itcus, Corina/0000-0003-2298-8550; Sanchez Martin, Jose Angel/0000-0003-3714-8925; Popa, Laura/0000-0001-6446-737X</t>
  </si>
  <si>
    <t>Romanian Ministry of Education and Research, CCCDIUEFISCDI [PNIII-P2-2.1-PED-2019-2391]</t>
  </si>
  <si>
    <t>Romanian Ministry of Education and Research, CCCDIUEFISCDI(Consiliul National al Cercetarii Stiintifice (CNCS)Unitatea Executiva pentru Finantarea Invatamantului Superior, a Cercetarii, Dezvoltarii si Inovarii (UEFISCDI))</t>
  </si>
  <si>
    <t>Romanian Ministry of Education and Research, CCCDIUEFISCDI [PNIII-P2-2.1-PED-2019-2391 to I.P.].</t>
  </si>
  <si>
    <t>1467-5463</t>
  </si>
  <si>
    <t>1477-4054</t>
  </si>
  <si>
    <t>BRIEF BIOINFORM</t>
  </si>
  <si>
    <t>Brief. Bioinform.</t>
  </si>
  <si>
    <t>bbab490</t>
  </si>
  <si>
    <t>10.1093/bib/bbab490</t>
  </si>
  <si>
    <t>Biochemical Research Methods; Mathematical &amp; Computational Biology</t>
  </si>
  <si>
    <t>Biochemistry &amp; Molecular Biology; Mathematical &amp; Computational Biology</t>
  </si>
  <si>
    <t>ZK5AS</t>
  </si>
  <si>
    <t>Green Submitted, Green Published, hybrid</t>
  </si>
  <si>
    <t>WOS:000763000800157</t>
  </si>
  <si>
    <t>Heath, S; Hall, BL; Denton, GH; Henderson, GM; Hendy, CH</t>
  </si>
  <si>
    <t>Heath, Stephanie; Hall, Brenda L.; Denton, George H.; Henderson, Gideon M.; Hendy, Chris H.</t>
  </si>
  <si>
    <t>Ice-sheet expansion from the Ross Sea into McMurdo Sound, Antarctica, during the last two glaciations</t>
  </si>
  <si>
    <t>Marshall valley; Royal society range; Radiocarbon dating; Uranium-thorium dating; Lacustrine carbonates; Lacustrine algae; Glacial geomorphology; Last glacial maximum; Penultimate glaciation</t>
  </si>
  <si>
    <t>HOLOCENE DEGLACIATION; HATHERTON GLACIER; PROGLACIAL LAKE; TAYLOR VALLEY; MARINE; TEMPERATURE; CLIMATE; CHRONOLOGY; COLLAPSE; RETREAT</t>
  </si>
  <si>
    <t>An understanding of Antarctic Ice Sheet (AIS) behavior is important for future sea-level predictions. Here, we examine past ice-sheet history in the McMurdo Sound region of the western Ross Sea over the last two glacial-interglacial cycles in order to gain insight into the drivers of ice-sheet change. Surficial mapping, along with radiocarbon dates of lacustrine algae and uranium-thorium disequilibrium dates of lacustrine carbonates from ice-dammed lakes, allow reconstruction of the timing and origin of grounded ice in McMurdo Sound during the last glacial maximum (LGM) and penultimate glaciation. During the LGM, ice-surface elevation profiles and distribution of erratics indicate ice flow into southern McMurdo Sound from the Ross Sea, rather than seaward expansion of local glaciers from the Royal Society Range. The grounded ice in McMurdo Sound flowed westward to block the mouths of valleys in the Royal Society Range and to dam proglacial lakes. In Marshall Valley, maximum ice extent during what is termed the Ross Sea glaciation, was achieved by 18 ka and remained close to this position until after 14 ka. The pattern of surficial deposits suggests that ice during the penultimate glaciation, locally named the Marshall glaciation, was slightly more extensive than that of the LGM but had a similar Ross Sea origin. Maximum ice extent in Marshall Valley occurred at similar to 145-150 ka; the grounded ice may have receded from the valley mouth shortly after 138 ka. Both ice expansions occurred broadly during times of low Antarctic air temperatures, which have been linked to insolation minima. However, the lack of widespread surface melting ablation zones on the AIS indicates that the link between ice expansion and orbital forcing is likely to be indirect and possibly driven through the ocean. Closer examination of the precise timing of the glacial maxima in Marshall Valley shows that the Marshall glaciation occurred synchronously with the penultimate global maximum; ice recession took place during Termination II. In contrast, maximum ice extent during the Ross Sea glaciation along the Royal Society Range occurred after the global LGM, during Termination I. Deglaciation was primarily an early Holocene event. We attribute this delayed maximum and deglaciation (relative to global events) to the effect of rising accumulation on ice-sheet mass balance. (C) 2022 Elsevier Ltd. All rights reserved.</t>
  </si>
  <si>
    <t>[Heath, Stephanie; Hall, Brenda L.; Denton, George H.] Univ Maine, Sch Earth &amp; Climate Sci, Orono, ME 04469 USA; [Heath, Stephanie; Hall, Brenda L.; Denton, George H.] Univ Maine, Climate Change Inst, Orono, ME 04469 USA; [Henderson, Gideon M.] Univ Oxford, Dept Earth Sci, Oxford, England; [Hendy, Chris H.] Univ Waikato, Dept Chem, Hamilton, New Zealand</t>
  </si>
  <si>
    <t>University of Maine System; University of Maine Orono; University of Maine System; University of Maine Orono; University of Oxford; University of Waikato</t>
  </si>
  <si>
    <t>Hall, BL (corresponding author), Univ Maine, Sch Earth &amp; Climate Sci, Orono, ME 04469 USA.;Hall, BL (corresponding author), Univ Maine, Climate Change Inst, Orono, ME 04469 USA.</t>
  </si>
  <si>
    <t>BrendaH@maine.edu</t>
  </si>
  <si>
    <t>Henderson, Gideon/0000-0002-6279-7137</t>
  </si>
  <si>
    <t>Office of Polar Programs of the United States National Science Foundation [OPP-0944150, OPP-1643248]; Antarctic Division of the Department of Scientific and Industrial Research, New Zealand</t>
  </si>
  <si>
    <t>Office of Polar Programs of the United States National Science Foundation; Antarctic Division of the Department of Scientific and Industrial Research, New Zealand</t>
  </si>
  <si>
    <t>In the 1980s, M. Dagel and F. Judd pioneered research on the sections and carbonate lake beds of Marshall Valley under the guidance of G. Denton and C. Hendy. We are grateful for excellent logistical support from staff working with Raytheon Polar Services, Leidos, Petroleum Helicopters Incorporated, the Polar Geospatial Center, and UNAVCO. We also thank R. Arnold, E. Dengler, M. Jackson, T. Koffman, C. Mako, G. McKinney, P. Ryan, and P. Strand for assistance in the field and S. Roberts and an anonymous reviewer for constructive comments. This work was funded by the Office of Polar Programs of the United States National Science Foundation grants OPP-0944150 and OPP-1643248. The early work by C. Hendy was supported by the Antarctic Division of the Department of Scientific and Industrial Research, New Zealand.</t>
  </si>
  <si>
    <t>10.1016/j.quascirev.2022.107379</t>
  </si>
  <si>
    <t>WOS:000766911200015</t>
  </si>
  <si>
    <t>Ye, WJ; Zhu, RB; Yuan, LX; Zhang, WY; Zang, HW; Jiao, Y; Yin, XB</t>
  </si>
  <si>
    <t>Ye, Wenjuan; Zhu, Renbin; Yuan, Linxi; Zhang, Wanying; Zang, Huawei; Jiao, Yi; Yin, Xuebin</t>
  </si>
  <si>
    <t>The influence of sea animals on selenium distribution in tundra soils and lake sediments in maritime Antarctica</t>
  </si>
  <si>
    <t>CHEMOSPHERE</t>
  </si>
  <si>
    <t>Selenium; Selenium fractions; Penguin; Seal; Tundra soil; Antarctica</t>
  </si>
  <si>
    <t>ADSORPTION-DESORPTION REACTIONS; ORGANIC-MATTER; SOUTH-DAKOTA; SPECIATION; BIOAVAILABILITY; ISLAND; RICH; EMISSIONS; MARINE; FRACTIONATION</t>
  </si>
  <si>
    <t>The biogeochemical behavior of selenium (Se) has been extensively studied in Se-enriched or Se contaminated soils at low and middle latitudes. However, the Se distribution patterns have not been studied in tundra ecosystems of remote Antarctica. Here, the soils/sediments were collected from penguin and seal colonies, their adjacent tundra and lakes, tundra marsh, human-activity areas, normal tundra and the periglacial in maritime Antarctica, and total Se and seven operationally defined Se fractions were analyzed. Overall the regional distribution of Se levels showed high spatial heterogeneity (coefficient of variation, CV = 114%) in tundra soils, with the highest levels in penguin (mean 6.12 +/- 2.66 mu g g(-1)) and seal (mean 2.29 +/- 1.43 mu g g(-1)) colony soils, and the lowest in normal tundra soils and periglacial sediments (&lt;0.5 mu g g(-1)). The contribution rates of penguins and seals to tundra soil Se levels amounted to 91.7% and 78.0%. The lake sediment Se levels (mean 2.15 +/- 0.87 mu g g(-1)) close to penguin colonies were one order of magnitude higher than those (mean 0.49 +/- 0.87 mu g g(-1)) around normal tundra. Strong positive correlations (p &lt; 0.01) of Se concentrations between lake sediments and adjacent tundra soils, and lower Se: P (&lt;0.001) and S: P (&lt;1) ratios in the lake sediments close to penguin colonies, indicated the infiltration or leaching of penguin guano as the predominant Se source in lake sediment. The Se species in penguin and seal guano were dominated by SeCys(2) (76.6%) and SeMet (73.5%), respectively. The evidence from the predominant proportions of total organic matter-bound Se (Se-om, 67%-70% of total Se) in penguin or seal colony soils further supported penguin or seal guano had a great influence on the distribution patterns of Se fractions in the tundra. This study confirmed that sea animal activities transported substantial amount Se from ocean to land, and significantly altered the biogeochemical cycle of Se in maritime Antarctica.</t>
  </si>
  <si>
    <t>[Ye, Wenjuan; Zhu, Renbin; Zhang, Wanying; Zang, Huawei] Univ Sci &amp; Technol China, Sch Earth &amp; Space Sci, Anhui Prov Key Lab Polar Environm &amp; Global Change, Hefei 230026, Peoples R China; [Ye, Wenjuan] Shanghai Acad Environm Sci, Shanghai 200233, Peoples R China; [Yuan, Linxi] Xian Jiaotong Liverpool Univ, Dept Hlth &amp; Environm Sci, Suzhou 215123, Jiangsu, Peoples R China; [Jiao, Yi] Univ Calif Berkeley, Dept Geog, Berkeley, CA 94720 USA; [Yin, Xuebin] Univ Sci &amp; Technol China, Suzhou Res Inst, Key Lab Funct Agr, Suzhou 215123, Jiangsu, Peoples R China</t>
  </si>
  <si>
    <t>Chinese Academy of Sciences; University of Science &amp; Technology of China, CAS; Xi'an Jiaotong-Liverpool University; University of California System; University of California Berkeley; Chinese Academy of Sciences; University of Science &amp; Technology of China, CAS</t>
  </si>
  <si>
    <t>Zhu, RB; Zhang, WY (corresponding author), Univ Sci &amp; Technol China, Sch Earth &amp; Space Sci, Anhui Prov Key Lab Polar Environm &amp; Global Change, Hefei 230026, Peoples R China.;Yuan, LX (corresponding author), Xian Jiaotong Liverpool Univ, Dept Hlth &amp; Environm Sci, Suzhou 215123, Jiangsu, Peoples R China.</t>
  </si>
  <si>
    <t>zhurb@ustc.edu.cn; linxi.yuan@xjtlu.edu.cn; zzwy@ustc.edu.cn</t>
  </si>
  <si>
    <t>Yuan, Linxi/Y-9313-2019; Jiao, Yi/HNP-9992-2023; Zang, Huawei/IST-8648-2023; Zhang, Wanying/IXD-8104-2023</t>
  </si>
  <si>
    <t>Yuan, Linxi/0000-0002-1043-8933; Jiao, Yi/0000-0001-5027-3144; Zhang, Wanying/0000-0001-9874-9834; Zhu, RenBin/0000-0001-7757-3622</t>
  </si>
  <si>
    <t>National Natural Science Foundation of China [41776190, 41976220]; National Key Research and Development Program of China [2020YFA0608501]</t>
  </si>
  <si>
    <t>This study is funded by the National Natural Science Foundation of China (No. 41776190; 41976220) and the National Key Research and Development Program of China (No. 2020YFA0608501) . We acknowl-edgment the members of Chinese Antarctic Research Expedition and The Chinese Arctic and Antarctic Administration of the State Oceanic Administration for support and help in fieldwork.</t>
  </si>
  <si>
    <t>0045-6535</t>
  </si>
  <si>
    <t>1879-1298</t>
  </si>
  <si>
    <t>Chemosphere</t>
  </si>
  <si>
    <t>10.1016/j.chemosphere.2021.132748</t>
  </si>
  <si>
    <t>ZD0FQ</t>
  </si>
  <si>
    <t>WOS:000757884800005</t>
  </si>
  <si>
    <t>Wang, YY; Li, GC</t>
  </si>
  <si>
    <t>Wang, Yuanyuan; Li, Guicai</t>
  </si>
  <si>
    <t>Global Land Cover Mapping Using Annual Clear-sky Composites from FY3D/MERSI-II</t>
  </si>
  <si>
    <t>INTERNATIONAL JOURNAL OF REMOTE SENSING</t>
  </si>
  <si>
    <t>SPATIAL-RESOLUTION; DATA SET; MODIS; AVHRR; VEGETATION; CLASSIFICATION; PERFORMANCE; ALGORITHMS; SATELLITE; MAPS</t>
  </si>
  <si>
    <t>Medium Resolution Spectral Imager-II (MERSI-II) on board FY-3D satellite is a visible and infrared spectral imaging instrument featured with six 250-m spatial resolution channels (blue, green, red, NIR, 10.8 mu m, 12.0 mu m). Such unique spectral and spatial attributes provide significant opportunities and challenges for land cover (LC) mapping research. This paper reports the production of a 250-m spatial resolution global LC classification (under IGBP scheme) from MERSI-II NDVI operational products from May 2019 to April 2020. To extract robust features for discriminating LC types, we adopted three classic compositing criteria (MaxNDVI, Mean8NDVI, and Mean4BT) and two new compositing criteria (3minRedBlue and 3minRedNIR) to obtain high-quality annual composites. Random Forest (RF) algorithm was used for supervised learning, and 10-fold cross validation (CV) based on 'site-splits' was implemented to evaluate classification accuracy. The derived MERIS-II LC map was compared at pixel level with two widely used LC products (MODIS and VIIRS), and consistency among the three maps was investigated. Results showed that the higher resolution afforded by 250-m MERSI-II data in combination with a refined input features produced a global LC map with an overall accuracy of 79-86%. Most classes exhibited low commission and omission errors except for some classes of mixed nature (i.e. wetland, cropland/natural vegetation mosaic, savanna, woody savanna). The MERSI-II LC map generally agreed better with MODIS than with VIIRS, and the proportion of land pixels (excluding Antarctic) for which MERSI-II shows the same LC label with either MODIS or VIIRS is very large (0.70-0.82). Composite data contributed differently to total accuracy, with Mean8NDVI being the most spatial coherent and most contributive and MaxNDVI being the opposite. The other three composites (Mean4BT, 3minRedBlue, and 3minRedNIR) showed moderate spatial coherence and contributed to classification variedly by extracting information from different phenology phases. The unique 250-m blue and green bands of MERSI-II were found to be helpful to discriminate between wetland and needleleaf forest in high latitudes and between cities and grassland. This study confirms that with the RF algorithm (one of the state-of-art supervised machine learning algorithms) and image compositing techniques, accurate LC map can be derived from MERSI-II. Future work will attempt to include more bands and compositing criteria to further improve classification accuracy.</t>
  </si>
  <si>
    <t>[Wang, Yuanyuan; Li, Guicai] China Meteorol Adm, Key Lab Radiometr Calibrat &amp; Validat Environm Sat, Natl Satellite Meteorol Ctr, Beijing, Peoples R China; [Wang, Yuanyuan; Li, Guicai] FengYun Meteorol Satellite Innovat Ctr FY MSIC, Beijing, Peoples R China</t>
  </si>
  <si>
    <t>China Meteorological Administration</t>
  </si>
  <si>
    <t>Wang, YY (corresponding author), China Meteorol Adm, Key Lab Radiometr Calibrat &amp; Validat Environm Sat, Natl Satellite Meteorol Ctr, Beijing, Peoples R China.</t>
  </si>
  <si>
    <t>wangyuany@cma.gov.cn</t>
  </si>
  <si>
    <t>WANG, YUANYUAN/IQR-4295-2023; yuan yuan, wang/JCW-0563-2023</t>
  </si>
  <si>
    <t>National Key Research and Development Program of China [2018YFC1506501, 2018YFC1506605]</t>
  </si>
  <si>
    <t>National Key Research and Development Program of China</t>
  </si>
  <si>
    <t>This research is funded by the National Key Research and Development Program of China [No. 2018YFC1506501; No.2018YFC1506605].</t>
  </si>
  <si>
    <t>0143-1161</t>
  </si>
  <si>
    <t>1366-5901</t>
  </si>
  <si>
    <t>INT J REMOTE SENS</t>
  </si>
  <si>
    <t>Int. J. Remote Sens.</t>
  </si>
  <si>
    <t>10.1080/01431161.2021.2019848</t>
  </si>
  <si>
    <t>Remote Sensing; Imaging Science &amp; Photographic Technology</t>
  </si>
  <si>
    <t>YF3TO</t>
  </si>
  <si>
    <t>WOS:000741733500001</t>
  </si>
  <si>
    <t>Gomez-Fell, R; Rack, W; Purdie, H; Marsh, O</t>
  </si>
  <si>
    <t>Gomez-Fell, Rodrigo; Rack, Wolfgang; Purdie, Heather; Marsh, Oliver</t>
  </si>
  <si>
    <t>Parker Ice Tongue Collapse, Antarctica, Triggered by Loss of Stabilizing Land-Fast Sea Ice</t>
  </si>
  <si>
    <t>Antarctica; Antarctic Calving; ice tongue dynamics; ice shelves; land-fast sea ice; ice tongues</t>
  </si>
  <si>
    <t>OUTLET GLACIERS; EAST ANTARCTICA; MASS-BALANCE; ROSS SEA; VELOCITY; SHELF; VARIABILITY; DYNAMICS; MELANGE; DRIVEN</t>
  </si>
  <si>
    <t>After a likely multi-century period of intermittent calving, the full length of Parker Ice Tongue (18 km or 41 km(2)), calved in March 2020 co-incident with repeated summer break-outs of the surrounding land-fast sea ice. A complete ice tongue collapse for these otherwise stable glaciological landmarks along the Victoria Land Coast is previously unrecorded. Prior to break-off, we found an inverse correlation between fast ice extent and ice tongue velocities (R = -0.62; R-2 = 0.39). The short summer period, characterized by decreased land-fast sea ice extent, showed around 11% higher velocities compared to winter. Any previous events of comparable magnitude could not have occurred since at least similar to 1,850, assuming continuous growth (similar to 193m yr(-1)) derived from the last 60 years of satellite observations. We highlight the vulnerability of the ice tongue once left exposed to oceanic processes, which poses questions about the fate of other ice tongues if land-fast sea ice decreases more broadly in the future.</t>
  </si>
  <si>
    <t>[Gomez-Fell, Rodrigo; Rack, Wolfgang] Univ Canterbury, Sch Earth &amp; Environm, Gateway Antarctica, Christchurch, New Zealand; [Purdie, Heather] Univ Canterbury, Sch Earth &amp; Environm, Christchurch, New Zealand; [Marsh, Oliver] British Antarctic Survey, Cambridge, England</t>
  </si>
  <si>
    <t>University of Canterbury; University of Canterbury; UK Research &amp; Innovation (UKRI); Natural Environment Research Council (NERC); NERC British Antarctic Survey</t>
  </si>
  <si>
    <t>Gomez-Fell, R (corresponding author), Univ Canterbury, Sch Earth &amp; Environm, Gateway Antarctica, Christchurch, New Zealand.</t>
  </si>
  <si>
    <t>rodrigo.gomezfell@pg.canterbury.ac.nz</t>
  </si>
  <si>
    <t>Marsh, Oliver J/K-7436-2014; Rack, Wolfgang/U-8898-2017</t>
  </si>
  <si>
    <t>Rack, Wolfgang/0000-0003-2447-377X; Gomez Fell, Rodrigo/0000-0002-0391-1323</t>
  </si>
  <si>
    <t>University of Canterbury; Antarctic New Zealand Sir Robin Irvine Doctoral Scholarships; New Zealand Antarctic Science Platform</t>
  </si>
  <si>
    <t>R. Gomez-Fell acknowledges the support by the University of Canterbury and the Antarctic New Zealand Sir Robin Irvine Doctoral Scholarships. W. Rack was partially funded by the New Zealand Antarctic Science Platform. The comments of the two reviewers (Craig Stevens and one anonymous) greatly improved the final manuscript.</t>
  </si>
  <si>
    <t>JAN 16</t>
  </si>
  <si>
    <t>e2021GL096156</t>
  </si>
  <si>
    <t>10.1029/2021GL096156</t>
  </si>
  <si>
    <t>YI6XN</t>
  </si>
  <si>
    <t>WOS:000743989800003</t>
  </si>
  <si>
    <t>Zhang, R; Li, Y; Liu, QH; Song, PQ; Li, H; Wang, R; Ding, SX; Lin, LS</t>
  </si>
  <si>
    <t>Zhang, Ran; Li, Yuan; Liu, Qiaohong; Song, Puqing; Li, Hai; Wang, Rui; Ding, Shaoxiong; Lin, Longshan</t>
  </si>
  <si>
    <t>Glacier lanternfish (Benthosema glaciale) first found on the continental slope of the Pacific Arctic</t>
  </si>
  <si>
    <t>Benthosema glaciale; Species composition; Distribution; Pacific Arctic; Interchange</t>
  </si>
  <si>
    <t>FISH ASSEMBLAGES; CHUKCHI; DEMERSAL; SEA</t>
  </si>
  <si>
    <t>The first record of a lanternfish (Myctophidae) found on the continental slope of the Pacific Arctic region occurred in 2020 when six live glacier lanternfish (Benthosema glaciale) were sampled in the southwest Chukchi Sea (75.04 degrees N, 179.99 degrees E). The glacier lanternfish is widespread throughout the North Atlantic and adjacent Arctic. Previously, there was only one verified occurrence of this species found dead near Point Barrow in 1952. These individuals collected by us likely reached the Pacific Arctic through the exchange of Atlantic water given that the water mass of the station was consistent with the warm (&gt; 0 degrees C) and highly salinity (&gt; 34.5) Atlantic Water, and two additional Atlantic Arctic fish species were collected simultaneously, bigeye sculpin (Triglops nybelini) and longear eelpout (Lycodes seminudus). This account could be an instance of the more frequent biota interchange between the Atlantic and Pacific fauna anticipated with climate change.</t>
  </si>
  <si>
    <t>[Zhang, Ran; Liu, Qiaohong; Ding, Shaoxiong] Xiamen Univ, Coll Ocean &amp; Earth Sci, Marine Biodivers &amp; Global Change Res Ctr, Xiamen 361102, Peoples R China; [Li, Yuan; Liu, Qiaohong; Song, Puqing; Li, Hai; Wang, Rui; Lin, Longshan] Minist Nat Resources, Inst Oceanog 3, Lab Marine Biol &amp; Ecol, Xiamen 361005, Peoples R China</t>
  </si>
  <si>
    <t>Xiamen University; Ministry of Natural Resources of the People's Republic of China; Third Institute of Oceanography, Ministry of Natural Resources</t>
  </si>
  <si>
    <t>Ding, SX (corresponding author), Xiamen Univ, Coll Ocean &amp; Earth Sci, Marine Biodivers &amp; Global Change Res Ctr, Xiamen 361102, Peoples R China.;Lin, LS (corresponding author), Minist Nat Resources, Inst Oceanog 3, Lab Marine Biol &amp; Ecol, Xiamen 361005, Peoples R China.</t>
  </si>
  <si>
    <t>sxding@xmu.edu.cn; linlongshan@tio.org.cn</t>
  </si>
  <si>
    <t>National Natural Science Foundation of China [41876176]; Scientific Research Foundation of Third Institute of Oceanography, MNR [2016011]; Chinese Arctic and Antarctic Administration; Chinese Polar Environment Comprehensive Investigation &amp; Assessment Programme [CHINARE 2012-2016-03-05, CHINARE 2012-2016-04-03]</t>
  </si>
  <si>
    <t>National Natural Science Foundation of China(National Natural Science Foundation of China (NSFC)); Scientific Research Foundation of Third Institute of Oceanography, MNR; Chinese Arctic and Antarctic Administration; Chinese Polar Environment Comprehensive Investigation &amp; Assessment Programme</t>
  </si>
  <si>
    <t>This research was funded by the National Natural Science Foundation of China [Grant Number 41876176], the Scientific Research Foundation of Third Institute of Oceanography, MNR [Grant Number 2016011], the Chinese Arctic and Antarctic Administration, and the Chinese Polar Environment Comprehensive Investigation &amp; Assessment Programme [Grant Numbers CHINARE 2012-2016-03-05 and CHINARE 2012-2016-04-03].</t>
  </si>
  <si>
    <t>10.1007/s00300-021-02988-0</t>
  </si>
  <si>
    <t>WOS:000742789900002</t>
  </si>
  <si>
    <t>Zhang, WB; Pang, HX; Wu, SY; Song, J; Zou, X; Hou, SG</t>
  </si>
  <si>
    <t>Zhang, Wangbin; Pang, Hongxi; Wu, Shuangye; Song, Jing; Zou, Xiang; Hou, Shugui</t>
  </si>
  <si>
    <t>Decadal Temperature Variations Over the Northwestern Tibetan Plateau Deduced From a 489-Year Ice Core stable Isotopic Record</t>
  </si>
  <si>
    <t>ATLANTIC MULTIDECADAL OSCILLATION; NORTHERN-HEMISPHERE TEMPERATURES; SEA-SURFACE TEMPERATURE; SUMMER TEMPERATURE; LAST MILLENNIUM; KARAKORAM TEMPERATURE; VOLCANIC-ERUPTIONS; PAST MILLENNIUM; CLIMATE; VARIABILITY</t>
  </si>
  <si>
    <t>Information on decadal temperature variations over the northwestern Tibetan Plateau (TP) is still very limited due to a lack of long-term instrumental data. In this paper, we present a 489-year (1524-2012 A.D.) reconstruction of annual mean temperature for the northwestern TP using the delta O-18 record of a 58.82 meter-long shallow ice core retrieved on the Chongce ice cap in the western Kunlun Mountains. The reconstructed temperature exhibits significant decadal variations, which were mainly driven by the Atlantic Multidecadal Variability. Decadal temperature variation during the Little Ice Age (LIA) is significantly larger than that during the post-industrial warming period, possibly due to such external forcing as large fluctuations of solar activity and frequent major volcanic eruptions during the LIA. In addition, our reconstruction shows that the recent warming since the 1980s is moderate, comparable to an earlier warm interval in the mid-20th century, which may partly explain the relatively stable status of glaciers in this region since 1970s.</t>
  </si>
  <si>
    <t>[Zhang, Wangbin; Pang, Hongxi; Song, Jing; Zou, Xiang; Hou, Shugui] Nanjing Univ, Sch Geog &amp; Ocean Sci, Minist Educ, Key Lab Coast &amp; Isl Dev, Nanjing, Peoples R China; [Pang, Hongxi] Collaborat Innovat Ctr Climate Change, Nanjing, Peoples R China; [Wu, Shuangye] Univ Dayton, Dept Geol &amp; Environm Geosci, Dayton, OH 45469 USA; [Hou, Shugui] Shanghai Jiao Tong Univ, Sch Oceanog, Shanghai, Peoples R China</t>
  </si>
  <si>
    <t>Nanjing University; University System of Ohio; University of Dayton; Shanghai Jiao Tong University</t>
  </si>
  <si>
    <t>Pang, HX; Hou, SG (corresponding author), Nanjing Univ, Sch Geog &amp; Ocean Sci, Minist Educ, Key Lab Coast &amp; Isl Dev, Nanjing, Peoples R China.;Pang, HX (corresponding author), Collaborat Innovat Ctr Climate Change, Nanjing, Peoples R China.;Hou, SG (corresponding author), Shanghai Jiao Tong Univ, Sch Oceanog, Shanghai, Peoples R China.</t>
  </si>
  <si>
    <t>hxpang@nju.edu.cn; shuguihou@sjtu.edu.cn</t>
  </si>
  <si>
    <t>Hou, Shugui/0000-0002-0905-3542</t>
  </si>
  <si>
    <t>National Natural Science Foundation of China [91837102, 41830644, 42021001, 42001050]; 333 Project of the Jiangsu Province [BRA2020030]; Chinese Arctic and Antarctic Administration [CXPT2020012]</t>
  </si>
  <si>
    <t>National Natural Science Foundation of China(National Natural Science Foundation of China (NSFC)); 333 Project of the Jiangsu Province; Chinese Arctic and Antarctic Administration</t>
  </si>
  <si>
    <t>The authors are grateful to many scientists, technicians, graduate students, and porters involved in field and lab work, especially to Yaping Liu, Yetang Wang, Yongliang Zhang, and Hao Xu for their great efforts in the high elevations, to Chiara Uglietti and Chaomin Wang for help in measuring the beta activity samples and the 14C samples, and to Guocai Zhu for providing the ground-penetrating radar results of the Chongce ice cap and the Guozha glacier. Many thanks are due to the National Center for Atmospheric Research (NCAR), the High Asia Refined Analysis (HAR), the Climate Research Unit (CRU), and the Hadley Centre for providing the data used in this study. This study was supported by the National Natural Science Foundation of China (91837102, 41830644, 42021001, and 42001050), the Chinese Arctic and Antarctic Administration (CXPT2020012), and the 333 Project of the Jiangsu Province (BRA2020030).</t>
  </si>
  <si>
    <t>e2021JDO36087</t>
  </si>
  <si>
    <t>10.1029/2021JDO36087</t>
  </si>
  <si>
    <t>YE2LD</t>
  </si>
  <si>
    <t>WOS:000740960900014</t>
  </si>
  <si>
    <t>Uemura, R; Masaka, K; Iizuka, Y; Hirabayashi, M; Matsui, H; Matsumoto, R; Uemura, M; Fujita, K; Motoyama, H</t>
  </si>
  <si>
    <t>Uemura, Ryu; Masaka, Kosuke; Iizuka, Yoshinori; Hirabayashi, Motohiro; Matsui, Hitoshi; Matsumoto, Risei; Uemura, Miki; Fujita, Koji; Motoyama, Hideaki</t>
  </si>
  <si>
    <t>Soluble salts in deserts as a source of sulfate aerosols in an Antarctic ice core during the last glacial period</t>
  </si>
  <si>
    <t>EARTH AND PLANETARY SCIENCE LETTERS</t>
  </si>
  <si>
    <t>Antarctic ice core; sulfur isotope; sulfate aerosols; glacial period; gypsum; mineral dust source areas</t>
  </si>
  <si>
    <t>ATACAMA DESERT; DOME-C; EAST ANTARCTICA; ATMOSPHERIC DEPOSITION; CLIMATIC CYCLE; OCEANIC DMSP; DUST; SULFUR; EPICA; VOSTOK</t>
  </si>
  <si>
    <t>Chemical proxy data from ice cores provide information for understanding environmental changes. Despite large climate shifts, the flux of sulfate onto the ice in Antarctica has remained relatively stable over glacial-interglacial cycles. However, the mechanism behind the stable flux is controversial because of a lack of evidence for changes in multiple source emissions. Here, we present the sulfur isotopic record in the Antarctic Dome Fuji ice core, which provides a new constraint on the interpretation of sulfate aerosols. During the Last Glacial Maximum (LGM), the sulfur isotope ratio was depleted compared to that during the Holocene and was negatively correlated with terrestrial contributions. The isotope data suggest that the contributions from terrestrial gypsum were enhanced during the LGM. A potential source area for gypsum in the Antarctic ice core is the high-altitude region around the Atacama Desert, although other regions cannot be excluded. These results suggest that the salts in deserts should be considered a terrestrial source of Antarctic sulfate during the LGM. (C) 2021 The Author(s). Published by Elsevier B.V.</t>
  </si>
  <si>
    <t>[Uemura, Ryu; Matsui, Hitoshi; Fujita, Koji] Nagoya Univ, Grad Sch Environm Studies, Chikusa Ku, Furo Cho, Nagoya, Aichi 4648601, Japan; [Masaka, Kosuke; Matsumoto, Risei; Uemura, Miki] Univ Ryukyus, Fac Sci, Dept Chem Biol &amp; Marine Sci, Nishihara, Okinawa 9030213, Japan; [Iizuka, Yoshinori] Hokkaido Univ, Inst Low Temp Sci, Sapporo, Hokkaido 0600819, Japan; [Hirabayashi, Motohiro; Motoyama, Hideaki] Natl Inst Polar Res, Tokyo 1908518, Japan</t>
  </si>
  <si>
    <t>Nagoya University; University of the Ryukyus; Hokkaido University; Research Organization of Information &amp; Systems (ROIS); National Institute of Polar Research (NIPR) - Japan</t>
  </si>
  <si>
    <t>Uemura, R (corresponding author), Nagoya Univ, Grad Sch Environm Studies, Chikusa Ku, Furo Cho, Nagoya, Aichi 4648601, Japan.</t>
  </si>
  <si>
    <t>ryu.uemura@nagoya-u.jp</t>
  </si>
  <si>
    <t>Uemura, Ryu/C-9793-2012; Fujita, Koji/E-6104-2010; Uemura, Ryu/AGR-0677-2022; Iizuka, Yoshinori/D-9112-2012</t>
  </si>
  <si>
    <t>Uemura, Ryu/0000-0002-4236-0085; Fujita, Koji/0000-0003-3753-4981; Uemura, Ryu/0000-0002-4236-0085; Iizuka, Yoshinori/0000-0001-7241-6062</t>
  </si>
  <si>
    <t>JSPS KAKENHI [21221002, 26550013, 17H06320]; National Institute of Polar Research (NIPR) through General Collaboration Project [23-17]; MEXT [JPMXD1420318865]; Environment Research and Technology Development Fund of the Environmental Restoration and Conservation Agency [JPMEERF20202003]; Grants-in-Aid for Scientific Research [20H00638] Funding Source: KAKEN</t>
  </si>
  <si>
    <t>JSPS KAKENHI(Ministry of Education, Culture, Sports, Science and Technology, Japan (MEXT)Japan Society for the Promotion of ScienceGrants-in-Aid for Scientific Research (KAKENHI)); National Institute of Polar Research (NIPR) through General Collaboration Project; MEXT(Ministry of Education, Culture, Sports, Science and Technology, Japan (MEXT)); Environment Research and Technology Development Fund of the Environmental Restoration and Conservation Agency; Grants-in-Aid for Scientific Research(Ministry of Education, Culture, Sports, Science and Technology, Japan (MEXT)Japan Society for the Promotion of ScienceGrants-in-Aid for Scientific Research (KAKENHI))</t>
  </si>
  <si>
    <t>We thank the members of the Dome Fuji ice core project for obtaining the ice core. We also thank Shohei Hattori, Sakiko Ishino (Tokyo Institute of Technology) and Kanako Omine (University of the Ryukyus) for assistance with ice core cutting and for discussion of the data. We also thank Ichiro Tayasu (Research Institute for Humanity and Nature) for the discussion of the sulfur isotope references, Tomohisa Irino (Hokkaido University) for discussion, Hiroyuki Fujimura for support of isotope analysis. This research was supported by grants from JSPS KAKENHI (Numbers 21221002, 26550013 and 17H06320) and partly supported by the National Institute of Polar Research (NIPR) through General Collaboration Project 23-17. H. Matsui was supported by MEXT Arctic Challenge for Sustainability II (ArCS-II; JPMXD1420318865) project and by the Environment Research and Technology Development Fund 2-2003 (JPMEERF20202003) of the Environmental Restoration and Conservation Agency. Raw data from this study are available as supplementary information.</t>
  </si>
  <si>
    <t>0012-821X</t>
  </si>
  <si>
    <t>1385-013X</t>
  </si>
  <si>
    <t>EARTH PLANET SC LETT</t>
  </si>
  <si>
    <t>Earth Planet. Sci. Lett.</t>
  </si>
  <si>
    <t>JAN 15</t>
  </si>
  <si>
    <t>10.1016/j.epsl.2021.117299</t>
  </si>
  <si>
    <t>3P9UF</t>
  </si>
  <si>
    <t>WOS:000837878700001</t>
  </si>
  <si>
    <t>Nambiar, R; Bhushan, R; Raj, H</t>
  </si>
  <si>
    <t>Nambiar, Romi; Bhushan, Ravi; Raj, Harsh</t>
  </si>
  <si>
    <t>Paleoredox conditions of bottom water in the northern Indian Ocean since 39 ka</t>
  </si>
  <si>
    <t>PALAEOGEOGRAPHY PALAEOCLIMATOLOGY PALAEOECOLOGY</t>
  </si>
  <si>
    <t>Paleoredox conditions; Trace elements; Ocean circulation; LCDW; LGM</t>
  </si>
  <si>
    <t>SOUTHEASTERN ARABIAN SEA; REDOX-SENSITIVE METALS; LAST GLACIAL MAXIMUM; DEEP-WATER; MARINE-SEDIMENTS; SOUTHERN-OCEAN; OXYGENATION HISTORY; BIOGENIC SEDIMENT; EXPORT PRODUCTION; ORGANIC-MATTER</t>
  </si>
  <si>
    <t>Ocean circulation has undergone significant changes during the glacial and interglacial periods. The redox condition at the sediment-water interface is mainly regulated by export productivity and ventilation of abyssal water mass. The changes in the redox condition associated with bottom water circulation in the Indian Ocean are still unclear. The present study assessed multi redox proxies (Mn/Ti, Mo/Ti, U/Ti, V/Ti, Ni/Ca, Cu/Ca, MnEF, U-EF, and V-EF) and C-org in the sediment core collected from the Arabian Sea (NW Indian Ocean) to investigate the past variations in bottom water redox condition. The bottom water in the Arabian Sea is presently bathed with the Lower Circumpolar Deep Water (LCDW), consisting of a fraction of both North Atlantic Deep Water (NADW) and Antarctic Bottom Waters (AABW). Our results show significant changes in oxygenation conditions in response to changes in ocean circulation. The present study revealed that bottom water in the northern Indian Ocean was more oxic during LGM than the deglacial period. We interpret the variability in the contribution of NADW and AABW influenced the redox condition at the study location. Comparing the current study results with previously reported Nd isotopes suggests that the contribution of AABW to the Indian Ocean increased during LGM, resulting in a higher oxic condition in LCDW.</t>
  </si>
  <si>
    <t>[Nambiar, Romi; Bhushan, Ravi; Raj, Harsh] Phys Res Lab, Geosci Div, Ahmadabad 380009, Gujarat, India; [Nambiar, Romi] Goethe Univ Frankfurt, Inst Geosci, D-60438 Frankfurt, Germany</t>
  </si>
  <si>
    <t>Department of Space (DoS), Government of India; Physical Research Laboratory - India; Goethe University Frankfurt</t>
  </si>
  <si>
    <t>Nambiar, R (corresponding author), Phys Res Lab, Geosci Div, Ahmadabad 380009, Gujarat, India.;Nambiar, R (corresponding author), Goethe Univ Frankfurt, Inst Geosci, D-60438 Frankfurt, Germany.</t>
  </si>
  <si>
    <t>romnambiar@gmail.com; bhushan@prl.res.in; harshraj@prl.res.in</t>
  </si>
  <si>
    <t>Nambiar, Romi/0000-0003-4595-2630; Raj, Harsh/0000-0002-6128-2991</t>
  </si>
  <si>
    <t>Ministry of Earth Sciences (MoES), India [MOES/36/OOIS/Siber07]</t>
  </si>
  <si>
    <t>Ministry of Earth Sciences (MoES), India</t>
  </si>
  <si>
    <t>We express our sincere thanks to the Ministry of Earth Sciences (MoES), India, for funding the GEOTRACES project (MOES/36/OOIS/Siber07). We are extremely thankful to the Director, PRL, for his support, encouragement, and providing the necessary facilities required for the present study. We thank all participants of cruise SK-312 for their help during sample collection. We also thank Mr. Ankur J Dabhi and Mr. Ajay Shivam for their support in AURiS lab measurements. We are grateful to the editor, Prof. Thomas Algeo, and anonymous reviewers for their insightful comments, which significantly improved the original manuscript.</t>
  </si>
  <si>
    <t>0031-0182</t>
  </si>
  <si>
    <t>1872-616X</t>
  </si>
  <si>
    <t>PALAEOGEOGR PALAEOCL</t>
  </si>
  <si>
    <t>Paleogeogr. Paleoclimatol. Paleoecol.</t>
  </si>
  <si>
    <t>10.1016/j.palaeo.2021.110766</t>
  </si>
  <si>
    <t>Geography, Physical; Geosciences, Multidisciplinary; Paleontology</t>
  </si>
  <si>
    <t>Physical Geography; Geology; Paleontology</t>
  </si>
  <si>
    <t>2F6RE</t>
  </si>
  <si>
    <t>WOS:000813033900006</t>
  </si>
  <si>
    <t>Quezada-Rodriguez, PR; Taylor, RS; Samsing, F; Rigby, M; Wood, AT; Nowak, BF; Wynne, JW</t>
  </si>
  <si>
    <t>Quezada-Rodriguez, Petra R.; Taylor, Richard S.; Samsing, Francisca; Rigby, Megan; Wood, Andrew T.; Nowak, Barbara F.; Wynne, James W.</t>
  </si>
  <si>
    <t>Effect of a prophylactic treatment with chloramine-T on gill histology and microbiome of Atlantic salmon (Salmo salar) under commercial conditions</t>
  </si>
  <si>
    <t>AQUACULTURE</t>
  </si>
  <si>
    <t>Salmon hatchery; Chloramine-T treatment; Fish microbiome; Atlantic Gill health</t>
  </si>
  <si>
    <t>ONCORHYNCHUS-MYKISS WALBAUM; RAINBOW-TROUT; FRESH-WATER; CONTROL MORTALITY; CHLORINE DIOXIDE; DISEASE; TOXICITY; EXPOSURE; EFFICACY; DISINFECTANTS</t>
  </si>
  <si>
    <t>Chloramine-T (Cl-T) is a disinfectant and sanitizer widely applied to treat bacterial infections on the gill and skin of Atlantic salmon during freshwater culture. It is typically applied as static or flush treatments during periods of disease risk or in response to pathogen detection or gross disease signs. While the efficacy of CI-T to reduce specific bacterial pathogens has been demonstrated previously, its effect on the broader commensal microbial community is largely unknown. To address this knowledge gap, the present study examined the effects of a one-hour Cl-T treatment (nominal 15 mg L-1) on the skin and gill microbiome using a 16S rRNA based amplicon sequencing approach. Furthermore, the total bacterial load and histological changes in the gill were examined following CI-T treatment. Although, bacterial quantification on gills and water confirmed decreased bacterial load at 1 h, these loads returned to pre-treatment levels by 24 h. Microbial richness of bacterial communities on skin and gills varied at 1 h, and 13 d compared to 0 h. Contrary to the gills, microbial diversity on skin decreased after treatment. Gill histology showed subepithelial oedema at 24 h and increased number of lamellar mucous cells at 7 d compared with 0 h. This study reports the effects of commercially deployed Cl-T on two gill health indicators: bacterial microbiome composition and gill morphology in fresh water farmed Atlantic salmon.</t>
  </si>
  <si>
    <t>[Quezada-Rodriguez, Petra R.; Taylor, Richard S.; Samsing, Francisca; Rigby, Megan; Wood, Andrew T.; Wynne, James W.] CSIRO Agr &amp; Food, Aquaculture Program, Hobart, Tas 7000, Australia; [Quezada-Rodriguez, Petra R.; Nowak, Barbara F.] Univ Tasmania, Inst Marine &amp; Antarctic Studies, Launceston, Tas 7250, Australia</t>
  </si>
  <si>
    <t>Commonwealth Scientific &amp; Industrial Research Organisation (CSIRO); University of Tasmania</t>
  </si>
  <si>
    <t>Quezada-Rodriguez, PR (corresponding author), CSIRO Agr &amp; Food, Aquaculture Program, Hobart, Tas 7000, Australia.</t>
  </si>
  <si>
    <t>petra.quezada@utas.edu.au; Richard.taylor@csiro.au; Francisca.Samsingpedrals@csiro.au; Megan.Rigby@csiro.au; Andrew.Wood@csiro.au; b.nowak@utas.edu.au; james.wynne@csiro.au</t>
  </si>
  <si>
    <t>Wynne, James W/H-7957-2013; Taylor, Richard S/E-9961-2012; Quezada-Rodriguez, Petra R/O-7965-2018; Rigby, Megan L/JPL-3059-2023; Taylor, Richard S./T-7996-2019; Nowak, Barbara/J-7261-2014</t>
  </si>
  <si>
    <t>Wynne, James W/0000-0001-6846-757X; Rigby, Megan L/0000-0002-6268-0414; Taylor, Richard S./0000-0003-0312-7317; Samsing, Francisca/0000-0002-6343-2295; Nowak, Barbara/0000-0002-0347-643X</t>
  </si>
  <si>
    <t>Tassal Operations Pty Ltd.; Commonwealth Scientific and Industrial Research Organisation (CSIRO); University of Tasmania</t>
  </si>
  <si>
    <t>Tassal Operations Pty Ltd.; Commonwealth Scientific and Industrial Research Organisation (CSIRO)(Commonwealth Scientific &amp; Industrial Research Organisation (CSIRO)); University of Tasmania</t>
  </si>
  <si>
    <t>This study was co-funded by Tassal Operations Pty Ltd. and The Commonwealth Scientific and Industrial Research Organisation (CSIRO) . We thank Colin Johnston, Mike McMann, Ward Hartman, Kate Bowie and Abby Irish for their assistance with site access, planning and sampling during this study. We also thank Daniela Farias Aqueveque for field sampling assistance and Ben Maynard, Lissette Robertson, Melanie Leef and Khattapan Jantawongsri for their support with laboratory work. The first author wishes to acknowledge the University of Tasmania for the award of an IMAS Tasmania Graduate Research Scholar-ship which co-funded this research.</t>
  </si>
  <si>
    <t>0044-8486</t>
  </si>
  <si>
    <t>1873-5622</t>
  </si>
  <si>
    <t>Aquaculture</t>
  </si>
  <si>
    <t>10.1016/j.aquaculture.2021.737319</t>
  </si>
  <si>
    <t>0U4HP</t>
  </si>
  <si>
    <t>WOS:000787612700004</t>
  </si>
  <si>
    <t>Wise, A; Harle, J; Bruciaferri, D; O'Dea, E; Polton, J</t>
  </si>
  <si>
    <t>Wise, Anthony; Harle, James; Bruciaferri, Diego; O'Dea, Enda; Polton, Jeff</t>
  </si>
  <si>
    <t>The effect of vertical coordinates on the accuracy of a shelf sea model</t>
  </si>
  <si>
    <t>OCEAN MODELLING</t>
  </si>
  <si>
    <t>Vertical coordinates case study; Realistic ocean model; Shelf seas; NEMO; Pressure gradient error</t>
  </si>
  <si>
    <t>PRESSURE-GRADIENT ERRORS; OCEAN MODEL; DENSE WATER; TOPOGRAPHY; RESOLUTION; SYSTEM; CONFIGURATION; CONSEQUENCES; SIMULATIONS; CIRCULATION</t>
  </si>
  <si>
    <t>The vertical coordinates (VC) are one of the most important set of configuration options of an ocean model. Optimisation is, however, a non-trivial exercise. We compare nine configurations to investigate different VC options and contrast the Vanishing Quasi-Sigma (VQS), partial step z-level, s-z hybrid and Multi-Envelope (MEs) approaches. Using NEMO model simulations, a hierarchy of experiments are conducted, including: unforced simulations, multi-year climatological simulations with comparisons against tracer profile observations, and tide-only simulations. Hydrostatic pressure gradient errors on the continental slope in the VQS coordinates are found to be consistent with reduced domain-averaged accuracy in both unforced and realistic simulations. Reduced accuracy on the continental shelf is associated with larger advective tracer transports at the shelfbreak. Accuracy is improved by using separate definitions of the computational surfaces on the shelf and slope using the MEs and s-z hybridisation approaches. MEs configurations employing VQS on the continental slope with a computational slope steepness parameter, rmax, of 0.04-0.07, perform comparably with s-z hybrid configurations. Restrictions on the tilt of computational surfaces on the shelf and upper slope appear less important. In contrast, tide-only experiments without stratification show that tidal simulation quality is linked with accurately representing the shelf bathymetry, which favours terrain-following systems. The experiments support transitioning the vertical coordinates across the shelfbreak using either a MEs or hybrid s-z approach as a flexible route to improving accuracy in regional and global models.</t>
  </si>
  <si>
    <t>[Wise, Anthony; Polton, Jeff] Natl Oceanog Ctr, Liverpool, Merseyside, England; [Harle, James] Natl Oceanog Ctr, Southampton, Hants, England; [Bruciaferri, Diego; O'Dea, Enda] Met Off, Exeter, Devon, England</t>
  </si>
  <si>
    <t>NERC National Oceanography Centre; NERC National Oceanography Centre; Met Office - UK</t>
  </si>
  <si>
    <t>Wise, A (corresponding author), Natl Oceanog Ctr, Liverpool, Merseyside, England.</t>
  </si>
  <si>
    <t>anwise@noc.ac.uk</t>
  </si>
  <si>
    <t>Bruciaferri, Diego/0000-0001-5114-693X</t>
  </si>
  <si>
    <t>NERC, United Kingdom [NE/R015953/1]; EU-Copernicus Marine Environment Monitoring Service; NERC [noc010010, NE/R015953/1] Funding Source: UKRI</t>
  </si>
  <si>
    <t>NERC, United Kingdom(UK Research &amp; Innovation (UKRI)Natural Environment Research Council (NERC)); EU-Copernicus Marine Environment Monitoring Service; NERC(UK Research &amp; Innovation (UKRI)Natural Environment Research Council (NERC))</t>
  </si>
  <si>
    <t>We would like to acknowledge Sonja Van Leeuwen (NIOZ) , Helen Powley (PML) and Yuri Artioli (PML) , for providing the river dataset. We also kindly acknowledge the Copernicus Climate Change and Atmo-sphere Monitoring Services (https://atmosphere.copernicus.eu/) and that this work used the ARCHER2 UK National Supercomputing Ser-vice (http:// www.archer2.ac.uk) and the JASMIN data analysis facility (https:// www.jasmin.ac.uk/) . The research was carried out under the Joint Marine Modelling Programme, a partnership between the Met Office, National Oceanography Centre, British Antarctic Survey and Centre for Polar Observation and Modelling. Funding support provided by NERC, United Kingdom (NE/R015953/1) and the EU-Copernicus Marine Environment Monitoring Service. We also wish to thank the Editor Remi Tailleux and the anonymous reviewers for their comments, which have resulted in an improved paper.</t>
  </si>
  <si>
    <t>1463-5003</t>
  </si>
  <si>
    <t>1463-5011</t>
  </si>
  <si>
    <t>OCEAN MODEL</t>
  </si>
  <si>
    <t>Ocean Model.</t>
  </si>
  <si>
    <t>10.1016/j.ocemod.2021.101935</t>
  </si>
  <si>
    <t>Meteorology &amp; Atmospheric Sciences; Oceanography</t>
  </si>
  <si>
    <t>0U8GJ</t>
  </si>
  <si>
    <t>WOS:000787885400001</t>
  </si>
  <si>
    <t>Whitmore, RJ; Norton, KP; Ashworth, L; Mackintosh, AN</t>
  </si>
  <si>
    <t>Whitmore, Ross J.; Norton, Kevin P.; Ashworth, Luisa; Mackintosh, Andrew N.</t>
  </si>
  <si>
    <t>Sequential quartz purification of 125-63 μm material for in-situ cosmogenic nuclide analysis</t>
  </si>
  <si>
    <t>NUCLEAR INSTRUMENTS &amp; METHODS IN PHYSICS RESEARCH SECTION B-BEAM INTERACTIONS WITH MATERIALS AND ATOMS</t>
  </si>
  <si>
    <t>Quartz Purification; Cosmochemistry; Purifying Greywacke; Meteoric(10)Be purification; HF Leaching</t>
  </si>
  <si>
    <t>SURFACE EXPOSURE AGES; EROSION RATES; BE-10; EXTRACTION</t>
  </si>
  <si>
    <t>Quartz purification is a necessary and critical step to producing robust and reproducible results in terrestrial cosmogenic nuclide studies. Previous quartz purification work has centred on coarse sample material (1 mm-500 mu m) and is anecdotally effective down to-250 mu m. However, sample material with finer grain sizes are usually discarded. The adapted purification procedure outlined here shows that very-fine-sand sized material (125-63 mu m) can be reliably cleaned for use in terrestrial cosmogenic nuclide studies. The results below show that 35% mass loss in very fine-grained quartz is sufficient to remove major elements (Al, Ti, Na, K, Fe, Mg, Ca, Mn,), 9Be, and meteoric 10Be. While other precise analysis (ICP-MS and ICP-OES) can verify sample purity, mass loss is a fast, inexpensive, and easy metric to set a standard by. This work shows that meteoric 10Be is easily removed from very-fine-grained samples while Al takes more effort.</t>
  </si>
  <si>
    <t>[Whitmore, Ross J.] Victoria Univ Wellington, Antarctic Res Ctr, Wellington 6012, New Zealand; [Whitmore, Ross J.; Norton, Kevin P.; Ashworth, Luisa] Victoria Univ Wellington, Sch Geog Environm &amp; Earth Sci, Wellington 6012, New Zealand; [Whitmore, Ross J.; Mackintosh, Andrew N.] Monash Univ, Sch Earth Atmosphere &amp; Environm, Wellington Rd, Melbourne 3168, Australia</t>
  </si>
  <si>
    <t>Victoria University Wellington; Victoria University Wellington; Monash University</t>
  </si>
  <si>
    <t>Whitmore, RJ (corresponding author), 111-233 Dandenong Rd, Windsor, Vic 3181, Australia.</t>
  </si>
  <si>
    <t>ross.whitmore@monash.edu</t>
  </si>
  <si>
    <t>Norton, Kevin/CAF-1290-2022</t>
  </si>
  <si>
    <t>Norton, Kevin/0000-0002-7995-6464; Mackintosh, Andrew/0000-0002-6430-4711; Whitmore, Ross/0000-0002-3922-7777</t>
  </si>
  <si>
    <t>Ministry of Business Innovation and the Employment: Past Climates Program [E1704-541-1]</t>
  </si>
  <si>
    <t>Ministry of Business Innovation and the Employment: Past Climates Program</t>
  </si>
  <si>
    <t>This work was funded by a grant from the Ministry of Business Innovation and the Employment: Past Climates Program (E1704-541-1 to Mackintosh) . We would not have been able to conduct this work without logistical support from Antarctica New Zealand, the New Zea-land Defence Force, Kenn Borek Air Ltd., Southern Lakes Helicopters, and several very accomplished mountaineers. We would also like to thank our reviewer, Shasta Marrero, for a thorough and fair review. A special thanks to Claire Lukins, Jamey Stutz, Annika Taylor, Tracy Bean, James Hamilton, Luke Hasselman, and Karsten Lorentz.</t>
  </si>
  <si>
    <t>0168-583X</t>
  </si>
  <si>
    <t>1872-9584</t>
  </si>
  <si>
    <t>NUCL INSTRUM METH B</t>
  </si>
  <si>
    <t>Nucl. Instrum. Methods Phys. Res. Sect. B-Beam Interact. Mater. Atoms</t>
  </si>
  <si>
    <t>10.1016/j.nimb.2021.11.011</t>
  </si>
  <si>
    <t>Instruments &amp; Instrumentation; Nuclear Science &amp; Technology; Physics, Atomic, Molecular &amp; Chemical; Physics, Nuclear</t>
  </si>
  <si>
    <t>Instruments &amp; Instrumentation; Nuclear Science &amp; Technology; Physics</t>
  </si>
  <si>
    <t>0N0YO</t>
  </si>
  <si>
    <t>WOS:000782574100002</t>
  </si>
  <si>
    <t>Ji, MK; Kong, WD; Jia, HZ; Delgado-Baquerizo, M; Zhou, TQ; Liu, XD; Ferrari, BC; Malard, L; Liang, C; Xue, K; Makhalanyane, TP; Zhu, YG; Wang, YF; Pearce, DA; Cowan, D</t>
  </si>
  <si>
    <t>Ji, Mukan; Kong, Weidong; Jia, Hongzeng; Delgado-Baquerizo, Manuel; Zhou, Tianqi; Liu, Xiaodong; Ferrari, Belinda C.; Malard, Lucie; Liang, Chao; Xue, Kai; Makhalanyane, Thulani P.; Zhu, Yong-Guan; Wang, Yanfen; Pearce, David A.; Cowan, Don</t>
  </si>
  <si>
    <t>Polar soils exhibit distinct patterns in microbial diversity and dominant phylotypes</t>
  </si>
  <si>
    <t>Three poles; Soil microbial diversity; Antarctic; Arctic; Tibetan plateau; Community structure</t>
  </si>
  <si>
    <t>BACTERIAL DIVERSITY; BIOGEOGRAPHY; COMMUNITIES; ENVIRONMENT; GRADIENT; FUNGAL; POLES; LIFE</t>
  </si>
  <si>
    <t>The polar regions, comprising the Antarctic, Arctic and Tibetan Plateau, represent the most extreme environments on Earth. Soils across the polar regions harbor diverse microorganisms, which dominate the biogeochemical cycling. However, polar soil microbial diversity is largely underrepresented, and has not been directly compared with the non-polar regions at a global scale, which hinders our understanding of the potential importance of polar microbial diversity. In this study, we investigated the global microbial diversity and taxonomy by comparing 1114 soils, derived from the Antarctic (203), Arctic (432), Tibetan Plateau (104) and nonpolar regions (375) across all continents. Soil microbial diversity was found to increase gradually from the Antarctic &lt; Arctic &lt; Tibetan Plateau and &lt; non-polar regions. Soil microbial diversity dominantly corresponded to mean summer temperature in the polar regions and to soil pH in non-polar regions, respectively. Soil microbial community structure significantly differed across the different biogeographical regions, while the Antarctic exhibited the highest habitat-specificity. Over 26,000 phylotypes were observed across global soils, of which 21.8% were unique to the three poles, and 21.2% were apparently ubiquitous globally. Polar soils were dominated by fewer phylotypes, but individual phylotype showed greater dominance than that in non-polar regions. Our study reveals unique patterns of soil microbial diversity and taxonomic compositions in polar regions, and highlights the importance of environmental stresses in controlling soil microbial community.</t>
  </si>
  <si>
    <t>[Ji, Mukan; Kong, Weidong; Jia, Hongzeng; Zhou, Tianqi] Chinese Acad Sci, Inst Tibetan Plateau Res, State Key Lab Tibetan Plateau Earth Syst Resource, Beijing 100101, Peoples R China; [Kong, Weidong; Wang, Yanfen] Chinese Acad Sci, CAS Ctr Excellence Tibetan Plateau Earth Sci, Beijing 100101, Peoples R China; [Kong, Weidong; Jia, Hongzeng; Zhou, Tianqi; Xue, Kai; Wang, Yanfen] Univ Chinese Acad Sci, Beijing 100039, Peoples R China; [Delgado-Baquerizo, Manuel] CSIC, Inst Recursos Nat &amp; Agrobiol Sevilla IRNAS, Ave Reina Mercedes 10, E-41012 Seville, Spain; [Liu, Xiaodong] Univ Sci &amp; Technol China, Sch Earth &amp; Space Sci, Anhui Prov Key Lab Polar Environm &amp; Global Change, Hefei 230026, Peoples R China; [Ferrari, Belinda C.] UNSW Sydney, Sch Biotechnol &amp; Biomol Sci, Randwick, NSW 2052, Australia; [Ferrari, Belinda C.] UNSW Sydney, Evolut &amp; Ecol Res Ctr, Randwick, NSW 2052, Australia; [Malard, Lucie] Univ Lausanne, Dept Ecol &amp; Evolut, CH-1015 Lausanne, Switzerland; [Malard, Lucie; Pearce, David A.] Northumbria Univ, Fac Hlth &amp; Life Sci, Newcastle Upon Tyne NE1 8ST, Tyne &amp; Wear, England; [Liang, Chao] Chinese Acad Sci, Inst Appl Ecol, Shenyang 110016, Peoples R China; [Makhalanyane, Thulani P.; Cowan, Don] Univ Pretoria, Ctr Microbial Ecol &amp; Genom, Dept Biochem Genet &amp; Microbiol, ZA-0002 Pretoria, South Africa; [Zhu, Yong-Guan] Chinese Acad Sci, Res Ctr Ecoenvironm Sci, State Key Lab Urban &amp; Reginal Ecol, Beijing 100085, Peoples R China; [Pearce, David A.] British Antarctic Survey, High Cross Madingley Rd, Cambridge CB3 0ET, England</t>
  </si>
  <si>
    <t>Chinese Academy of Sciences; Institute of Tibetan Plateau Research, CAS; Chinese Academy of Sciences; Chinese Academy of Sciences; University of Chinese Academy of Sciences, CAS; Consejo Superior de Investigaciones Cientificas (CSIC); CSIC - Instituto de Recursos Naturales y Agrobiologia de Sevilla (IRNAS); Chinese Academy of Sciences; University of Science &amp; Technology of China, CAS; University of New South Wales Sydney; University of New South Wales Sydney; University of Lausanne; Northumbria University; Chinese Academy of Sciences; Shenyang Institute of Applied Ecology, CAS; University of Pretoria; Chinese Academy of Sciences; UK Research &amp; Innovation (UKRI); Natural Environment Research Council (NERC); NERC British Antarctic Survey</t>
  </si>
  <si>
    <t>Kong, WD (corresponding author), Chinese Acad Sci, Inst Tibetan Plateau Res, State Key Lab Tibetan Plateau Earth Syst Resource, Beijing 100101, Peoples R China.</t>
  </si>
  <si>
    <t>wdkong@itpcas.ac.cn</t>
  </si>
  <si>
    <t>Zhou, Tianqi/GRN-8430-2022; shi, zhensheng/GXN-3967-2022; Xue, Kai/A-3256-2017; Wang, Yanfen/IUM-5374-2023; Makhalanyane, Thulani P./C-6815-2012; Kong, Weidong/H-7432-2012; Zhu, Yong-Guan/A-1412-2009; DELGADO-BAQUERIZO, MANUEL/GLS-0346-2022; Delgado-Baquerizo, Manuel/L-3653-2017; Ji, Mukan/GXV-2104-2022; 贾, 洪增/HGU-0716-2022; Liang, Chao/A-5929-2009; Malard, Lucie/C-1852-2015</t>
  </si>
  <si>
    <t>Makhalanyane, Thulani P./0000-0002-8173-1678; Kong, Weidong/0000-0001-9682-1484; Zhu, Yong-Guan/0000-0003-3861-8482; DELGADO-BAQUERIZO, MANUEL/0000-0002-6499-576X; Delgado-Baquerizo, Manuel/0000-0002-6499-576X; Malard, Lucie/0000-0001-9988-2127; Liang, Chao/0000-0002-9089-6546; Xue, Kai/0000-0002-5990-4448; Ferrari, Belinda/0000-0001-5043-3726; Pearce, David/0000-0001-5292-4596</t>
  </si>
  <si>
    <t>Chinese Academy of Sciences [XDA19070304]; National Natural Science Foundation of China [32161123004, 41771303]; Second Tibetan Plateau Scien-tific Expedition and Research Program (STEP) [2019QZKK0606]; Spanish Ministry of Science and Innovation [RYC2018-025483-I, LRB17\1019]</t>
  </si>
  <si>
    <t>Chinese Academy of Sciences(Chinese Academy of Sciences); National Natural Science Foundation of China(National Natural Science Foundation of China (NSFC)); Second Tibetan Plateau Scien-tific Expedition and Research Program (STEP); Spanish Ministry of Science and Innovation(Spanish Government)</t>
  </si>
  <si>
    <t>Acknowledgement This study was supported by the Chinese Academy of Sciences [XDA19070304] ; National Natural Science Foundation of China [32161123004 and 41771303] and the Second Tibetan Plateau Scien-tific Expedition and Research Program (STEP) [2019QZKK0606] . M.D-B. is also supported by the Spanish Ministry of Science and Innovation [RYC2018-025483-I] and the BES grant agreement [LRB17\1019, MUSGONET] . We thank Professors Yaoming Ma and Binbin Wang for collecting part of Arctic soil samples.</t>
  </si>
  <si>
    <t>10.1016/j.soilbio.2022.108550</t>
  </si>
  <si>
    <t>0F8SB</t>
  </si>
  <si>
    <t>WOS:000777624700004</t>
  </si>
  <si>
    <t>Bosch, NE; McLean, M; Zarco-Perello, S; Bennett, S; Stuart-Smith, RD; Verges, A; Pessarrodona, A; Tuya, F; Langlois, T; Spencer, C; Bell, S; Saunders, BJ; Harvey, ES; Wernberg, T</t>
  </si>
  <si>
    <t>Bosch, Nestor E.; McLean, Matthew; Zarco-Perello, Salvador; Bennett, Scott; Stuart-Smith, Rick D.; Verges, Adriana; Pessarrodona, Albert; Tuya, Fernando; Langlois, Tim; Spencer, Claude; Bell, Sahira; Saunders, Benjamin J.; Harvey, Euan S.; Wernberg, Thomas</t>
  </si>
  <si>
    <t>Persistent thermally driven shift in the functional trait structure of herbivorous fishes: Evidence of top-down control on the rebound potential of temperate seaweed forests?</t>
  </si>
  <si>
    <t>ecosystem resilience; herbivory; marine heatwaves; ocean warming; trait-based ecology; tropicalization</t>
  </si>
  <si>
    <t>BIODIVERSITY CHANGE; CLIMATE-CHANGE; COMMUNITY STRUCTURE; SPECIES RICHNESS; RANGE SHIFTS; MARINE; REEF; SARGASSUM; DIVERSITY; RESPONSES</t>
  </si>
  <si>
    <t>Extreme climatic events can reshape the functional structure of ecological communities, potentially altering ecological interactions and ecosystem functioning. While these shifts have been widely documented, evidence of their persistence and potential flow-on effects on ecosystem structure following relaxation of extreme events remains limited. Here, we investigate changes in the functional trait structure - encompassing dimensions of resource use, thermal affinity, and body size - of herbivorous fishes in a temperate reef system that experienced an extreme marine heatwave (MHW) and subsequent return to cool conditions. We quantify how changes in the trait structure modified the nature and intensity of herbivory-related functions (macroalgae, turf, and sediment removal), and explored the potential flow-on effects on the recovery dynamics of macroalgal foundation species. The trait structure of the herbivorous fish assemblage shifted as a result of the MHW, from dominance of cool-water browsing species to increased evenness in the distribution of abundance among temperate and tropical guilds supporting novel herbivory roles (i.e. scraping, cropping, and sediment sucking). Despite the abundance of tropical herbivorous fishes and intensity of herbivory-related functions declined following a period of cooling after the MHW, the underlying trait structure displayed limited recovery. Concomitantly, algal assemblages displayed a lack of recovery of the formerly dominant foundational species, the kelp Ecklonia radiata, transitioning to an alternative state dominated by turf and Sargassum spp. Our study demonstrates a legacy effect of an extreme MHW and exemplified the value of monitoring phenotypic (trait mediated) changes in the nature of core ecosystem processes to predict and adapt to the future configurations of changing reef ecosystems.</t>
  </si>
  <si>
    <t>[Bosch, Nestor E.; Zarco-Perello, Salvador; Pessarrodona, Albert; Langlois, Tim; Spencer, Claude; Bell, Sahira; Wernberg, Thomas] Univ Western Australia, Sch Biol Sci, UWA Oceans Inst, 35 Stirling Highway, Crawley, WA 6009, Australia; [McLean, Matthew] Dalhousie Univ, Dept Biol, Halifax, NS, Canada; [Bennett, Scott; Stuart-Smith, Rick D.] Univ Tasmania, Inst Marine &amp; Antarctic Studies, Hobart, Tas, Australia; [Verges, Adriana] UNSW Sydney, Evolut &amp; Ecol Res Ctr, Sch Biol Earth &amp; Environm Sci, Ctr Marine Sci &amp; Innovat, Kensington, NSW, Australia; [Verges, Adriana] Sydney Inst Marine Sci, Mosman, NSW, Australia; [Tuya, Fernando] Univ Las Palmas GC, IU ECOAQUA, Grp Biodiversidad &amp; Conservac, Canary Isl, Spain; [Saunders, Benjamin J.; Harvey, Euan S.] Curtin Univ, Sch Mol &amp; Life Sci, Bentley, WA, Australia; [Wernberg, Thomas] Inst Marine Res, His, Norway</t>
  </si>
  <si>
    <t>University of Western Australia; Dalhousie University; University of Tasmania; University of New South Wales Sydney; Sydney Institute of Marine Science; Universidad de Las Palmas de Gran Canaria; Curtin University; Institute of Marine Research - Norway</t>
  </si>
  <si>
    <t>Bosch, NE (corresponding author), Univ Western Australia, Sch Biol Sci, UWA Oceans Inst, 35 Stirling Highway, Crawley, WA 6009, Australia.</t>
  </si>
  <si>
    <t>nbosch1989@gmail.com</t>
  </si>
  <si>
    <t>Bennett, Scott/A-8747-2016; Guerra, Néstor Echedey Bosch/AAI-6774-2020; Pessarrodona, Albert/I-4850-2019; Stuart-Smith, Rick/I-5214-2019; Tuya, Fernando/HGD-4037-2022; Wernberg, Thomas/B-4172-2010; Saunders, Benjamin/J-5220-2013; Verges, Adriana/B-8288-2013</t>
  </si>
  <si>
    <t>Bennett, Scott/0000-0003-2969-7430; Guerra, Néstor Echedey Bosch/0000-0003-0421-8456; Pessarrodona, Albert/0000-0002-6057-9937; Stuart-Smith, Rick/0000-0002-8874-0083; Tuya, Fernando/0000-0001-8316-5887; Wernberg, Thomas/0000-0003-1185-9745; Saunders, Benjamin/0000-0003-1929-518X; Spencer, Claude/0009-0005-6158-450X; Bell, Sahira/0000-0001-9237-7507; Verges, Adriana/0000-0002-3507-1234; Zarco-Perello, Salvador/0000-0001-9435-8545; Langlois, Tim/0000-0001-6404-4000</t>
  </si>
  <si>
    <t>Ecological Society of Australia Holsworth Research Endowment [RA/1/411/101]; Australian Government International Research Training Program; Robson &amp; Robertson UWA PhD awards; Sea World Research &amp; Rescue Foundation [SWR/14/2019]; Australian Research Council [DP170100023, DP190100058]; Hermon Slade Foundation [HSF13/13]</t>
  </si>
  <si>
    <t>Ecological Society of Australia Holsworth Research Endowment; Australian Government International Research Training Program; Robson &amp; Robertson UWA PhD awards; Sea World Research &amp; Rescue Foundation; Australian Research Council(Australian Research Council); Hermon Slade Foundation</t>
  </si>
  <si>
    <t>Ecological Society of Australia Holsworth Research Endowment, Grant/Award Number: RA/1/411/101; Australian Government International Research Training Program; the Robson &amp; Robertson UWA PhD awards; the Sea World Research &amp; Rescue Foundation, Grant/Award Number: SWR/14/2019; the Australian Research Council, Grant/Award Number: DP170100023 and DP190100058; Hermon Slade Foundation, Grant/Award Number: HSF13/13</t>
  </si>
  <si>
    <t>10.1111/gcb.16070</t>
  </si>
  <si>
    <t>ZL5BZ</t>
  </si>
  <si>
    <t>WOS:000742504000001</t>
  </si>
  <si>
    <t>Becagli, S; Marchese, C; Caiazzo, L; Ciardini, V; Lazzara, L; Mori, G; Nuccio, C; Scarchilli, C; Severi, M; Traversi, R</t>
  </si>
  <si>
    <t>Becagli, Silvia; Marchese, Christian; Caiazzo, Laura; Ciardini, Virginia; Lazzara, Luigi; Mori, Giovanna; Nuccio, Caterina; Scarchilli, Claudio; Severi, Mirko; Traversi, Rita</t>
  </si>
  <si>
    <t>Biogenic aerosol in central East Antarctic Plateau as a proxy for the ocean-atmosphere interaction in the Southern Ocean</t>
  </si>
  <si>
    <t>Methane sulfonic acid; Non-sea-salt sulfate; Biogenic aerosol; East Antarctic Plateau; Chlorophyll-a; Sea ice; Southern Annular Mode</t>
  </si>
  <si>
    <t>SEA-SALT SULFATE; METHANESULFONIC-ACID; SULFUR-COMPOUNDS; CHLOROPHYLL-A; ICE-CORE; PHYTOPLANKTON BLOOMS; DIMETHYL SULFIDE; SOLAR-RADIATION; BOUNDARY-LAYER; DMS</t>
  </si>
  <si>
    <t>Ten years of data of biogenic aerosol (methane sulfonic acid, MSA, and non-sea salt sulfate, nssSO(4)(2-)) collected at Concordia Station in the East Antarctic plateau (75 degrees 06' S.123 degrees 20' E) are interpreted as a function of the Southern Annular Mode (SAM), Chlorophyll-a concentration (Chl-a; a proxy for phytoplankton biomass), sea ice extent and area It is possible to draw three different scenarios that link these parameters in early, middle, and late summer. In early summer, the biogenic aerosol is significantly correlated to sea ice retreats through the phytoplankton biomass increases. Chl-a shows a significant correlation with nssSO(4)(2-) in the finest fraction (&lt; 1 mu m). In contrast, only Chl-a in West Pacific and Indian Ocean sectors correlates with MSA in the coarse fraction. The transport routes towards the inner Antarctic plateau and aerosol formation processes could explain the different correlation patterns of the two compounds both resulting from the DMS oxidation. In mid-summer, Chl-a concentrations are at the maximum and are not related to sea ice melting. Due to the complexity of transport processes of air masses towards the Antarctic plateau, the MSA concentrations are low and not related to Chl-a concentration. In late summer, MSA and nssSO(4)(2-) present the highest concentrations in their submicrometric aerosol fraction, and both are significantly correlated with Chl-a but not with the sea ice. In early and mid-summer, the enhanced efficiency of transport processes from all the surrounding oceanic sectors with air masses traveling at low elevation can explain the highest concentrations of nssSO(4)(2-) and especially MSA. Finally, considering the entire time series, MSA shows significant year-to-year variability. This variability is significantly correlated with SAM but with a different time lag in early (0-month lag) and late summer (4-months lag). This correlation likely occurs through the effect of the SAM on phytoplankton blooms. (C) 2021 Elsevier B.V. All rights reserved.</t>
  </si>
  <si>
    <t>[Becagli, Silvia; Caiazzo, Laura; Severi, Mirko; Traversi, Rita] Univ Florence, Dept Chem Ugo Schiff, I-50019 Florence, Italy; [Becagli, Silvia; Severi, Mirko; Traversi, Rita] Univ Venice, Inst Polar Sci, ISP CNR, V Torino 155, I-30172 Venice, Italy; [Marchese, Christian] Univ British Columbia, Inst Oceans &amp; Fisheries, Vancouver, BC V6T1Z4, Canada; [Marchese, Christian] Univ Victoria, Dept Geog, Victoria, BC V8W 2Y2, Canada; [Ciardini, Virginia; Scarchilli, Claudio] ENEA, Lab Observat &amp; Measures Environm &amp; Climate, I-00123 Rome, Italy; [Lazzara, Luigi; Mori, Giovanna; Nuccio, Caterina] Univ Florence, Dept Biol, I-50019 Florence, Italy</t>
  </si>
  <si>
    <t>University of Florence; Universita Ca Foscari Venezia; Consiglio Nazionale delle Ricerche (CNR); Istituto di Scienze Polari (ISP-CNR); University of British Columbia; University of Victoria; Italian National Agency New Technical Energy &amp; Sustainable Economics Development; University of Florence</t>
  </si>
  <si>
    <t>Becagli, S (corresponding author), Univ Florence, Dept Chem Ugo Schiff, I-50019 Florence, Italy.</t>
  </si>
  <si>
    <t>silvia.becagli@unifi.it</t>
  </si>
  <si>
    <t>Becagli, Silvia/GNW-2665-2022; Severi, Mirko/J-2508-2012; Marchese, Christian/HJA-2658-2022; Lazzara, Luigi Carlo/C-6838-2012</t>
  </si>
  <si>
    <t>Marchese, Christian/0000-0002-2414-9251; Lazzara, Luigi Carlo/0000-0002-1351-9683; Scarchilli, Claudio/0000-0002-2414-2439</t>
  </si>
  <si>
    <t>Italian Programma Nazionale di Ricerche in Antartide (PNRA); PNRA project LTCPAA (Long-Term Measurements of Chemical and Physical Properties of Atmospheric Aerosol at Dome C) [PNRA 2015/AC3]</t>
  </si>
  <si>
    <t>Italian Programma Nazionale di Ricerche in Antartide (PNRA); PNRA project LTCPAA (Long-Term Measurements of Chemical and Physical Properties of Atmospheric Aerosol at Dome C)</t>
  </si>
  <si>
    <t>This research was performed in the framework of the AirGlacs1181 Station Concordia project, which theMIUR funded through the Italian Programma Nazionale di Ricerche in Antartide (PNRA). Field measurements at Concordia Station were made possible by the joint FrenchItalian Concordia Program, which established and currently runs the permanent Concordia station at DomeC. We thank the Italian polar program PNRA (Programma Nazionale di Ricerca in Antartide) and the French polar Institute (Institut Paul Emile Victor, IPEV). In particular, this work was supported by the PNRA project LTCPAA (Long-Term Measurements of Chemical and Physical Properties of Atmospheric Aerosol at Dome C, PNRA 2015/AC3). The authors gratefully acknowledge the NOAA Air Resources Laboratory (ARL) for providing the HYSPLIT transport and dispersion model and/or READY website (https://www.ready.noaa.gov) used in this publication, as well as acknowledgment is made for the use of ECMWF's computing and archive facilities in this research.</t>
  </si>
  <si>
    <t>10.1016/j.scitotenv.2021.151285</t>
  </si>
  <si>
    <t>ZQ7CH</t>
  </si>
  <si>
    <t>WOS:000767258100005</t>
  </si>
  <si>
    <t>Trevizani, TH; Montone, RC; Figueira, RCL</t>
  </si>
  <si>
    <t>Trevizani, Tailisi H.; Montone, Rosalinda C.; Figueira, Rubens C. L.</t>
  </si>
  <si>
    <t>Temporal Distribution of Arsenic and Metals in Soil From King George Island, Antarctica</t>
  </si>
  <si>
    <t>heavy metals; monitoring; spatial distribution; Commandant Ferraz Antarctic Station; Antarctic pollution</t>
  </si>
  <si>
    <t>TRACE-ELEMENT CONTAMINATION; ADMIRALTY BAY; FILDES PENINSULA; SEDIMENTS; STATION; IMPACTS; COASTAL</t>
  </si>
  <si>
    <t>The polar regions are vulnerable to impacts caused by local and global pollution. The Antarctic continent has been considered an environment that has remained little affected by human activities. Direct exposure to contaminants may occur in areas continuously occupied by research stations for several decades. Admiralty Bay on the southeast coast of King George Island, has potential for being affected by human activities due research stations operating in the area, including the Brazilian Commandant Ferraz Antarctic Station (CFAS). The levels of metals and arsenic were determined in soils collected near CFAS (points 5, 6, 7, and 9), Base G and at two points distant from the CFAS: Refuge II and Hennequin. Samples were collected after the fire in CFAS occurred in February 2012, up to December 2018 to assess the environmental impacts in the area. Al and As were related with Base G. Refuge II and Hennequin can be considered as control points for this region. As a consequence of the accident, the increased levels for Cd, Cu, Pb, and Zn, especially at point 9 (inside the CFAS) and in the soil surrounding the CFAS in 2013. The results from 2016 to 2018 demonstrated a reduction in levels of all studied metals near CFAS, which may be related to the leaching of metals into Admiralty Bay; it is thus, being important the continue monitoring soil, sediments, and Antarctic biota.</t>
  </si>
  <si>
    <t>[Trevizani, Tailisi H.; Montone, Rosalinda C.; Figueira, Rubens C. L.] Univ Sao Paulo, Inst Oceanog, Sao Paulo, Brazil</t>
  </si>
  <si>
    <t>Trevizani, TH (corresponding author), Univ Sao Paulo, Inst Oceanog, Sao Paulo, Brazil.</t>
  </si>
  <si>
    <t>taihoppe@gmail.com</t>
  </si>
  <si>
    <t>Trevizani, T Hoppe/P-1841-2018; Montone, Rosalinda C/J-9110-2012</t>
  </si>
  <si>
    <t>Trevizani, T Hoppe/0000-0002-6057-5434;</t>
  </si>
  <si>
    <t>Brazilian Ministry of the Environment (MMA) [SBF/MMA009/2012]</t>
  </si>
  <si>
    <t>Brazilian Ministry of the Environment (MMA)</t>
  </si>
  <si>
    <t>Financial support was provided by the Brazilian Ministry of the Environment (MMA) as part of the agreement Environmental monitoring in the direct influence area of the Brazilian Antarctic Station (SBF/MMA009/2012). The Brazilian Antarctic Program (PROANTAR) provided logistic support in Antarctica.</t>
  </si>
  <si>
    <t>JAN 13</t>
  </si>
  <si>
    <t>10.3389/fmars.2021.772742</t>
  </si>
  <si>
    <t>YS4DD</t>
  </si>
  <si>
    <t>WOS:000750628800001</t>
  </si>
  <si>
    <t>Cristi, A; Parada-Pozo, G; Morales-Vicencio, F; Cárdenas, CA; Trefault, N</t>
  </si>
  <si>
    <t>Cristi, Antonia; Parada-Pozo, Genesis; Morales-Vicencio, Felipe; Cardenas, Cesar A.; Trefault, Nicole</t>
  </si>
  <si>
    <t>Variability in Host Specificity and Functional Potential of Antarctic Sponge-Associated Bacterial Communities</t>
  </si>
  <si>
    <t>Antarctic sponges; symbiosis; high-throughput sequencing; 16S rRNA gene; microbiome; host specificity; functional potential; secondary metabolites</t>
  </si>
  <si>
    <t>MICROBIAL COMMUNITY; DIVERSITY</t>
  </si>
  <si>
    <t>Sponge-associated microorganisms are essential for sponge survival. They play an important role in recycling nutrients and, therefore, in the maintenance of the ecosystem. These microorganisms are diverse, species-specific, and different from those in the surrounding seawater. Bacterial sponge symbionts have been extensively studied in the tropics; however, little is known about these microorganisms in sponges from high-latitude environments. Sponges can cover up to 80% of the benthos in Antarctica and are crucial architects for the marine food web. In this study, we present analyses of the bacterial symbionts of three sponges: Haliclona (Rhizoniera) sp., Hymeniacidon torquata, and Isodictya kerguelenensis from the Western Antarctic Peninsula (WAP) with the aim to determine variations on the specificity of the bacteria-sponge interactions and potential signatures on their predicted functional profiles. We use high-throughput 16S rRNA gene sequencing of 30 sponge individuals inhabiting South Bay (Palmer Archipelago, WAP) to describe their microbiome taxonomy and diversity and predict potential functional profiles based on this marker gene. Our work shows similar bacterial community composition profiles among the same sponge species, although the symbiotic relationship is not equally conserved among the three Antarctic sponges. The number of species-specific core operational taxonomic units (OTUs) of these Antarctic sponges was low, with important differences between the total abundance accounted for these OTUs. Only eight OTUs were shared between the three sponge species. Analyses of the functional potential revealed that despite the high host-symbiont specificity, the inferred functions are conserved among these microbiomes, although with differences in the abundance of specific functions. H. torquata showed the highest level of intra-specificity and a higher potential of pathways related to energy metabolism, metabolisms of terpenoids and polyketides, and biosynthesis of other secondary metabolites. Overall, this work shows variations in the specificity of the sponge-associated bacterial communities, differences in how hosts and symbionts establish their relations, and in their potential functional capabilities.</t>
  </si>
  <si>
    <t>[Cristi, Antonia; Parada-Pozo, Genesis; Morales-Vicencio, Felipe; Trefault, Nicole] Univ Mayor, Ecol &amp; Med Ambiente, Fac Ciencias, Ctr GEMA Genom, Santiago, Chile; [Cristi, Antonia] Univ Otago, Dept Marine Sci, Dunedin, New Zealand; [Cristi, Antonia] Natl Inst Water &amp; Atmospher Res, Wellington, New Zealand; [Cardenas, Cesar A.] Inst Antart Chileno, Dept Cient, Punta Arenas, Chile; [Cardenas, Cesar A.] Millennium Inst Biodivers Antarct &amp; Subantarct Ec, Santiago, Chile</t>
  </si>
  <si>
    <t>Universidad Mayor; University of Otago; National Institute of Water &amp; Atmospheric Research (NIWA) - New Zealand</t>
  </si>
  <si>
    <t>Trefault, N (corresponding author), Univ Mayor, Ecol &amp; Med Ambiente, Fac Ciencias, Ctr GEMA Genom, Santiago, Chile.</t>
  </si>
  <si>
    <t>nicole.trefault@umayor.cl</t>
  </si>
  <si>
    <t>Cardenas, Cesar/ABF-1664-2020</t>
  </si>
  <si>
    <t>Cristi, Antonia/0000-0003-1381-8170; Cardenas, Cesar/0000-0001-6662-6899; Parada-Pozo, Genesis/0000-0003-3721-1488</t>
  </si>
  <si>
    <t>10.3389/fmicb.2021.771589</t>
  </si>
  <si>
    <t>YO6IC</t>
  </si>
  <si>
    <t>WOS:000748041700001</t>
  </si>
  <si>
    <t>Luo, YW; Yan, JG; McClure, SC; Li, F</t>
  </si>
  <si>
    <t>Luo, Yaowen; Yan, Jianguo; McClure, Stephen C.; Li, Fei</t>
  </si>
  <si>
    <t>Socioeconomic and environmental factors of poverty in China using geographically weighted random forest regression model</t>
  </si>
  <si>
    <t>ENVIRONMENTAL SCIENCE AND POLLUTION RESEARCH</t>
  </si>
  <si>
    <t>Poverty; Spatial variation; Nonlinear; Variable importance; Random forest</t>
  </si>
  <si>
    <t>ARTIFICIAL NEURAL-NETWORK; VARIABLE IMPORTANCE; MULTIDIMENSIONAL POVERTY; ECOLOGICAL FOOTPRINT; GROWTH; LEVEL</t>
  </si>
  <si>
    <t>Correlations between socioeconomic factors and poverty in regression models do not reflect actual relationships, especially when data exhibit patterns of spatial heterogeneity. Spatial regression models can estimate the relationships between socioeconomic factors and poverty in defined geographical areas, explaining the imbalanced distribution of poverty, but the relationships between these factors and poverty are not always linear however, and conventional simple linear local regression models do not accurately capture these nonlinear relationships. To fill this gap, we used a local regression method, geographically weighted random forest regression (GW-RFR), that integrates a spatial weight matrix (SWM) and random forest (RF). The GW-RFR evaluates the spatial variations in the nonlinear relationships between variables. A county-level poverty data set of China was employed to estimate the performance of the GW-RFR against the random forest (RF). In this poverty application, the value of R-2 was 0.128 higher than that of the RF, the NRMSE value was 1.6% lower than the RF, and the MAE value was 0.295 lower than the RF. These results showed that the relationship between poverty factors and poverty varies with space at the county level in China, and the GW-RFR was suitable for dealing with nonlinear relationships in local regression analysis.</t>
  </si>
  <si>
    <t>[Luo, Yaowen; Li, Fei] Wuhan Univ, Chinese Antarctic Ctr Surveying &amp; Mapping, Wuhan 430070, Peoples R China; [Yan, Jianguo; McClure, Stephen C.; Li, Fei] Wuhan Univ, State Key Lab Informat Engn Surveying Mapping &amp; R, Wuhan 430070, Peoples R China</t>
  </si>
  <si>
    <t>Li, F (corresponding author), Wuhan Univ, Chinese Antarctic Ctr Surveying &amp; Mapping, Wuhan 430070, Peoples R China.;Yan, JG; Li, F (corresponding author), Wuhan Univ, State Key Lab Informat Engn Surveying Mapping &amp; R, Wuhan 430070, Peoples R China.</t>
  </si>
  <si>
    <t>jgyan@whu.edu.cn; fli@whu.edu.cn</t>
  </si>
  <si>
    <t>National Scientific Foundation of China [41874010, 42030110]; Pre-research Project on CivilAerospace Technologies [D020103]; fundamental research funds for the central universities [2042018KF0231]</t>
  </si>
  <si>
    <t>National Scientific Foundation of China(National Natural Science Foundation of China (NSFC)); Pre-research Project on CivilAerospace Technologies; fundamental research funds for the central universities(Fundamental Research Funds for the Central Universities)</t>
  </si>
  <si>
    <t>National Scientific Foundation of China (Grant No. 41874010 and 42030110), Pre-research Project on CivilAerospace Technologies (No. D020103), and the fundamental research funds for the central universities (2042018KF0231).</t>
  </si>
  <si>
    <t>0944-1344</t>
  </si>
  <si>
    <t>1614-7499</t>
  </si>
  <si>
    <t>ENVIRON SCI POLLUT R</t>
  </si>
  <si>
    <t>Environ. Sci. Pollut. Res.</t>
  </si>
  <si>
    <t>10.1007/s11356-021-17513-3</t>
  </si>
  <si>
    <t>1A1DH</t>
  </si>
  <si>
    <t>Bronze, Green Published</t>
  </si>
  <si>
    <t>WOS:000741964200014</t>
  </si>
  <si>
    <t>Bai, J; Fan, Y; Zhu, LL; Wang, YC; Hou, H</t>
  </si>
  <si>
    <t>Bai, Jing; Fan, Yan; Zhu, Lulu; Wang, Yanchao; Hou, Hu</t>
  </si>
  <si>
    <t>Characteristic flavor of Antarctic krill (Euphausia superba) and white shrimp (Penaeus vannamei) induced by thermal treatment</t>
  </si>
  <si>
    <t>Antarctic krill; White shrimp; Thermal treatment; Taste extracts; Flavor compounds</t>
  </si>
  <si>
    <t>FREE AMINO-ACIDS; VOLATILE COMPOUNDS; TASTE COMPOUNDS; IDENTIFICATION; MICROEXTRACTION; WATER</t>
  </si>
  <si>
    <t>For the good acceptance and preference of heated shrimp, characteristic flavor composition analysis was necessary. The sensory evaluation, electronic tongue, electronic nose, and gas chromatography-ion mobility spectrometry were employed in this study. After steaming or cooking, the sensory scores of Antarctic krill (KM) and white shrimp (PM) were significantly increased, and five basic tastes were remarkably changed by electronic tongue analysis. Free glycine level increased from 86.48 to 687.12 mg/100 g in PM after steaming, but no significant changes in KM. 5 '-nucleotides in heated PM were higher than those in heated KM. In two kinds of shrimp, inorganic ions and lactic acids contents exhibited the decrease trends after cooking, and the response intensities of S4, S5, and S6 showed increase trends after steaming. Nonanal, benzaldehyde, (Z)-3-hexen-1-ol, 18-cineol and limonene were produced by thermal treatment. Therefore, characteristic flavor formation was related to thermal treatment.</t>
  </si>
  <si>
    <t>[Bai, Jing; Fan, Yan; Zhu, Lulu; Wang, Yanchao; Hou, Hu] Ocean Univ China, Coll Food Sci &amp; Engn, 5 Yu Shan Rd, Qingdao 266003, Shandong, Peoples R China; [Hou, Hu] Qingdao Natl Lab Marine Sci &amp; Technol, Lab Marine Drugs &amp; Bioprod, Qingdao 266237, Shandong, Peoples R China</t>
  </si>
  <si>
    <t>Ocean University of China; Laoshan Laboratory</t>
  </si>
  <si>
    <t>Fan, Y; Hou, H (corresponding author), Ocean Univ China, Coll Food Sci &amp; Engn, 5 Yu Shan Rd, Qingdao 266003, Shandong, Peoples R China.</t>
  </si>
  <si>
    <t>fanyan@ouc.edu.cn; houhu@ouc.edu.cn</t>
  </si>
  <si>
    <t>National Natural Science Foundation of China [31901721, 31772046]; Taishan Scholar Foundation of Shandong Province [tsqn202103033]</t>
  </si>
  <si>
    <t>National Natural Science Foundation of China(National Natural Science Foundation of China (NSFC)); Taishan Scholar Foundation of Shandong Province</t>
  </si>
  <si>
    <t>This work was supported by National Natural Science Foundation of China (Nos. 31901721 and 31772046) and Taishan Scholar Foundation of Shandong Province (No. tsqn202103033) .</t>
  </si>
  <si>
    <t>10.1016/j.foodchem.2022.132074</t>
  </si>
  <si>
    <t>YM4LR</t>
  </si>
  <si>
    <t>WOS:000746548300004</t>
  </si>
  <si>
    <t>Vaughan, A; Tebbutt, W; Hosking, JS; Turner, RE</t>
  </si>
  <si>
    <t>Vaughan, Anna; Tebbutt, Will; Hosking, J. Scott; Turner, Richard E.</t>
  </si>
  <si>
    <t>Convolutional conditional neural processes for local climate downscaling</t>
  </si>
  <si>
    <t>BIAS CORRECTION; DAILY PRECIPITATION; CHANGE PROJECTIONS; EURO-CORDEX; TEMPERATURE; FRAMEWORK; CONFIGURATION; SIMULATIONS; WEATHER; EVENTS</t>
  </si>
  <si>
    <t>A new model is presented for multisite statistical downscaling of temperature and precipitation using convolutional conditional neural processes (convCNPs). ConvCNPs are a recently developed class of models that allow deep-learning techniques to be applied to off-the-grid spatiotemporal data. In contrast to existing methods that map from low-resolution model output to high-resolution predictions at a discrete set of locations, this model outputs a stochastic process that can be queried at an arbitrary latitude-longitude coordinate. The convCNP model is shown to outperform an ensemble of existing downscaling techniques over Europe for both temperature and precipitation taken from the VALUE intercomparison project. The model also outperforms an approach that uses Gaussian processes to interpolate single-site downscaling models at unseen locations. Importantly, substantial improvement is seen in the representation of extreme precipitation events. These results indicate that the convCNP is a robust downscaling model suitable for generating localised projections for use in climate impact studies.</t>
  </si>
  <si>
    <t>[Vaughan, Anna; Tebbutt, Will; Turner, Richard E.] Univ Cambridge, Dept Engn, Cambridge, England; [Hosking, J. Scott] British Antarctic Survey, Cambridge, England; [Hosking, J. Scott] Alan Turing Inst, London, England</t>
  </si>
  <si>
    <t>Vaughan, A (corresponding author), Univ Cambridge, Dept Engn, Cambridge, England.</t>
  </si>
  <si>
    <t>av555@cam.ac.uk</t>
  </si>
  <si>
    <t>UKRI Centre for Doctoral Training in the Application of Artificial Intelligence to the study of Environmental Risks (AI4ER); Google DeepMind; NERC [bas0100032] Funding Source: UKRI</t>
  </si>
  <si>
    <t>UKRI Centre for Doctoral Training in the Application of Artificial Intelligence to the study of Environmental Risks (AI4ER)(UK Research &amp; Innovation (UKRI)); Google DeepMind(Google Incorporated); NERC(UK Research &amp; Innovation (UKRI)Natural Environment Research Council (NERC))</t>
  </si>
  <si>
    <t>This research has been supported by the UKRI Centre for Doctoral Training in the Application of Artificial Intelligence to the study of Environmental Risks (AI4ER), led by the University of Cambridge and British Antarctic Survey, and by Google DeepMind.</t>
  </si>
  <si>
    <t>10.5194/gmd-15-251-2022</t>
  </si>
  <si>
    <t>YM3DF</t>
  </si>
  <si>
    <t>Green Accepted, Green Submitted, gold</t>
  </si>
  <si>
    <t>WOS:000746457000001</t>
  </si>
  <si>
    <t>Yoon, ST; Lee, WS; Nam, S; Lee, CK; Yun, SY; Heywood, K; Boehme, L; Zheng, YX; Lee, I; Choi, Y; Jenkins, A; Jin, EK; Larter, R; Wellner, J; Dutrieux, P; Bradley, AT</t>
  </si>
  <si>
    <t>Yoon, Seung-Tae; Lee, Won Sang; Nam, SungHyun; Lee, Choon-Ki; Yun, Sukyoung; Heywood, Karen; Boehme, Lars; Zheng, Yixi; Lee, Inhee; Choi, Yeon; Jenkins, Adrian; Jin, Emilia Kyung; Larter, Robert; Wellner, Julia; Dutrieux, Pierre; Bradley, Alexander T.</t>
  </si>
  <si>
    <t>Ice front retreat reconfigures meltwater-driven gyres modulating ocean heat delivery to an Antarctic ice shelf</t>
  </si>
  <si>
    <t>PINE ISLAND GLACIER; SEA CONTINENTAL-SHELF; OCEANOGRAPHIC CONTROLS; CIRCULATION; VARIABILITY; SHEET; STABILITY; IMPACT; FATE; MELT</t>
  </si>
  <si>
    <t>Glacial melt can modify heat transport, and therefore ocean processes, associated with ice front retreat, as revealed by direct observations from the Pine Island Bay region of Antarctica. Pine Island Ice Shelf (PIIS) buttresses the Pine Island Glacier, the key contributor to sea-level rise. PIIS has thinned owing to ocean-driven melting, and its calving front has retreated, leading to buttressing loss. PIIS melting depends primarily on the thermocline variability in its front. Furthermore, local ocean circulation shifts adjust heat transport within Pine Island Bay (PIB), yet oceanic processes underlying the ice front retreat remain unclear. Here, we report a PIB double-gyre that moves with the PIIS calving front and hypothesise that it controls ocean heat input towards PIIS. Glacial melt generates cyclonic and anticyclonic gyres near and off PIIS, and meltwater outflows converge into the anticyclonic gyre with a deep-convex-downward thermocline. The double-gyre migrated eastward as the calving front retreated, placing the anticyclonic gyre over a shallow seafloor ridge, reducing the ocean heat input towards PIIS. Reconfigurations of meltwater-driven gyres associated with moving ice boundaries might be crucial in modulating ocean heat delivery to glacial ice.</t>
  </si>
  <si>
    <t>[Yoon, Seung-Tae] Kyungpook Natl Univ, Sch Earth Syst Sci, 80 Daehak Ro, Daegu 41566, South Korea; [Lee, Won Sang; Lee, Choon-Ki; Yun, Sukyoung; Jin, Emilia Kyung] Korea Polar Res Inst, Div Glacial Environm Res, Incheon 21990, South Korea; [Nam, SungHyun; Choi, Yeon] Seoul Natl Univ, Sch Earth &amp; Environm Sci, Res Inst Oceanog, Seoul 08826, South Korea; [Heywood, Karen; Zheng, Yixi] Univ East Anglia, Sch Environm Sci, Norwich NF4 7TJ, Norfolk, England; [Boehme, Lars] Univ St Andrews, Scottish Oceans Inst, St Andrews KY16 8LB, Fife, Scotland; [Lee, Inhee] Pusan Natl Univ, Dept Oceanog, Busan 46241, South Korea; [Jenkins, Adrian] Northumbria Univ, Dept Geog &amp; Environm Sci, Newcastle Upon Tyne NE1 8ST, Tyne &amp; Wear, England; [Larter, Robert; Dutrieux, Pierre; Bradley, Alexander T.] British Antarctic Survey, Cambridge CB3 0ET, England; [Wellner, Julia] Univ Houston, Dept Earth &amp; Atmospher Sci, Houston, TX 77004 USA</t>
  </si>
  <si>
    <t>Kyungpook National University; Korea Polar Research Institute (KOPRI); Seoul National University (SNU); University of East Anglia; University of St Andrews; Pusan National University; Northumbria University; UK Research &amp; Innovation (UKRI); Natural Environment Research Council (NERC); NERC British Antarctic Survey; University of Houston System; University of Houston</t>
  </si>
  <si>
    <t>Lee, WS (corresponding author), Korea Polar Res Inst, Div Glacial Environm Res, Incheon 21990, South Korea.;Nam, S (corresponding author), Seoul Natl Univ, Sch Earth &amp; Environm Sci, Res Inst Oceanog, Seoul 08826, South Korea.</t>
  </si>
  <si>
    <t>wonsang@kopri.re.kr; namsh@snu.ac.kr</t>
  </si>
  <si>
    <t>Jenkins, Adrian/IUN-2406-2023; Dutrieux, Pierre/GVS-2890-2022; Yoon, Seung-Tae/GXV-4573-2022; Bradley, Alex/GRO-6619-2022; Boehme, Lars/B-6567-2009; Heywood, Karen/L-1757-2016</t>
  </si>
  <si>
    <t>Dutrieux, Pierre/0000-0002-8066-934X; Yoon, Seung-Tae/0000-0002-0540-7577; Boehme, Lars/0000-0003-3513-6816; Lee, Won Sang/0000-0002-1074-7672; Jenkins, Adrian/0000-0002-9117-0616; Zheng, Yixi/0000-0003-3136-1311; Nam, SungHyun/0000-0002-3338-0105; Heywood, Karen/0000-0001-9859-0026; Bradley, Alexander/0000-0001-8381-5317</t>
  </si>
  <si>
    <t>Korean Ministry of Oceans and Fisheries [KIMST20190361, PM21020]; National Science Foundation; Natural Environment Research Council (NERC) [NE/S006419/1, NE/S006591/1]; NERC [NE/J005746/1, NE/T012803/1, NE/S006591/1, NE/S010475/1, bas0100033, NE/J005770/1, NE/S006419/1] Funding Source: UKRI</t>
  </si>
  <si>
    <t>Korean Ministry of Oceans and Fisheries; National Science Foundation(National Science Foundation (NSF)); Natural Environment Research Council (NERC)(UK Research &amp; Innovation (UKRI)Natural Environment Research Council (NERC)); NERC(UK Research &amp; Innovation (UKRI)Natural Environment Research Council (NERC))</t>
  </si>
  <si>
    <t>This study was sponsored by a research grant from the Korean Ministry of Oceans and Fisheries (KIMST20190361; PM21020) and supported by the National Science Foundation and Natural Environment Research Council (NERC: Grants NE/S006419/1 and NE/S006591/1) for the TARSAN and the THOR projects, components of the International Thwaites Glacier Collaboration (ITGC). ITGC Contribution No. ITGC-061. The numerical simulation was carried out on ARCHER2, the U.K. national HPC facility (http://archer2.ac.uk/).</t>
  </si>
  <si>
    <t>10.1038/s41467-022-27968-8</t>
  </si>
  <si>
    <t>YG3RM</t>
  </si>
  <si>
    <t>gold, Green Accepted, Green Published</t>
  </si>
  <si>
    <t>WOS:000742409800005</t>
  </si>
  <si>
    <t>Cerdá, MF</t>
  </si>
  <si>
    <t>Fernanda Cerda, Maria</t>
  </si>
  <si>
    <t>A small-sized DSSC panel based on the Uruguayan national flower dye tested at the Antarctic Artigas Base</t>
  </si>
  <si>
    <t>EPJ PHOTOVOLTAICS</t>
  </si>
  <si>
    <t>Anthocyanins; Erythrina crista-galli; dye-sensitized solar cell</t>
  </si>
  <si>
    <t>SENSITIZED SOLAR-CELLS; EFFICIENCY</t>
  </si>
  <si>
    <t>The construction of a small-sized panel based on anthocyanins from Erythrina crista-galli as sensitizers is reported in this work. The device, named KD12, was placed indoors at the Artigas Antarctic Scientific Base from March 2019 to December 2020. Here is released for the first time, the indoor installation of dye-sensitized solar cells based on pigments from the Uruguayan national flower at an Antarctic Base and the evaluation of their performance during nineteen months. The panel showed good stability and maintained its efficiency conversion performance over the period. The output power, voltage and conversion efficiency generated for this device mainly depended on irradiance and external factors as light reflection due to snow or artificial bulbs near the area. Additional protection was provided by the double-glass window in front of the panel, lowering lighting irradiance and changing spectral characteristics of the light incident the device. A new prospect raised here: the potential application of anthocyanins as sensitizers for indoor electricity generation in the Antarctic area with long term operability, where low temperatures are helpful considering the thermal stability of the dyes. These constitute an interesting first step of a low-cost alternative searching for clean energy generation sources, focusing on a cold region like Antarctica.</t>
  </si>
  <si>
    <t>[Fernanda Cerda, Maria] Univ La Republ, Fac Ciencias, Inst Quim Biol, Lab Biomat, Montevideo 11400, Uruguay</t>
  </si>
  <si>
    <t>Universidad de la Republica, Uruguay</t>
  </si>
  <si>
    <t>Cerdá, MF (corresponding author), Univ La Republ, Fac Ciencias, Inst Quim Biol, Lab Biomat, Montevideo 11400, Uruguay.</t>
  </si>
  <si>
    <t>fcerda@fcien.edu.uy</t>
  </si>
  <si>
    <t>Cerda, Maria Fernanda/0000-0002-9049-2728</t>
  </si>
  <si>
    <t>PEDECIBA; ANII</t>
  </si>
  <si>
    <t>Special thanks to Ing. Maria Pia Olave (MIEM-DNE, Direccion Nacional de Energia, area Energias Renovables) and to Dr. Santiago Botasini and Ing. Andreo Benech. I would like to extend my sincere thanks to CP (ELE) Eduardo Rivero and Sub Oficial de Primera Clase Philippe Lanz. I would like to express my gratitude to the Instituto Antartico Uruguayo. I thank PEDECIBA and ANII for their support.</t>
  </si>
  <si>
    <t>EDP SCIENCES S A</t>
  </si>
  <si>
    <t>LES ULIS CEDEX A</t>
  </si>
  <si>
    <t>17, AVE DU HOGGAR, PA COURTABOEUF, BP 112, F-91944 LES ULIS CEDEX A, FRANCE</t>
  </si>
  <si>
    <t>2105-0716</t>
  </si>
  <si>
    <t>EPJ PHOTOVOLT</t>
  </si>
  <si>
    <t>EPJ Photovolt.</t>
  </si>
  <si>
    <t>10.1051/epjpv/2021015</t>
  </si>
  <si>
    <t>Physics, Applied</t>
  </si>
  <si>
    <t>YG0FN</t>
  </si>
  <si>
    <t>WOS:000742174200002</t>
  </si>
  <si>
    <t>He, XY; Liu, NH; Lin, CY; Sun, ML; Chen, XL; Zhang, YZ; Zhang, YQ; Zhang, XY</t>
  </si>
  <si>
    <t>He, Xiao-yan; Liu, Ning-hua; Lin, Chao-yi; Sun, Mei-ling; Chen, Xiu-lan; Zhang, Yu-zhong; Zhang, Yu-qiang; Zhang, Xi-ying</t>
  </si>
  <si>
    <t>Description of Aureibaculum luteum sp. nov. and Aureibaculum flavum sp. nov. isolated from Antarctic intertidal sediments</t>
  </si>
  <si>
    <t>ANTONIE VAN LEEUWENHOEK INTERNATIONAL JOURNAL OF GENERAL AND MOLECULAR MICROBIOLOGY</t>
  </si>
  <si>
    <t>Aureibaculum luteum sp; nov; Aureibaculum flavum sp; nov; Flavobacteriaceae; Polyphasic taxonomy; Antarctic intertidal sediments; Polysaccharide utilization loci</t>
  </si>
  <si>
    <t>GEN. NOV.; FAMILY FLAVOBACTERIACEAE; BACTERIUM; MARINE; MEMBER; IDENTIFICATION; SEQUENCES</t>
  </si>
  <si>
    <t>Two Gram-stain-negative, aerobic, non-motile, and rod-shaped bacterial strains, designated SM1352(T) and A20(T), were isolated from intertidal sediments collected from King George Island, Antarctic. They shared 99.8% 16S rRNA gene sequence similarity with each other and had the highest sequence similarity of 98.1% to type strain of Aureibaculum marinum but &lt; 93.4% sequence similarity to those of other known bacterial species. The genomes of strains SM1352(T) and A20(T) consisted of 5,108,092 bp and 4,772,071 bp, respectively, with the G + C contents both being 32.0%. They respectively encoded 4360 (including 37 tRNAs and 6 rRNAs) and 4032 (including 36 tRNAs and 5 rRNAs) genes. In the phylogenetic trees based on 16S rRNA gene and single-copy orthologous clusters (OCs), both strains clustered with Aureibaculum marinum and together formed a separate branch within the family Flavobacteriaceae. The ANI and DDH values between the two strains and Aureibaculum marinum BH-SD17(T) were all below the thresholds for species delineation. The major cellular fatty acids (&gt; 10%) of the two strains included iso-C-15:0, iso-C-15:1 G, iso-C-17:0 3-OH. Their polar lipids predominantly included phosphatidylethanolamine, one unidentified aminophospholipid, one unidentified aminolipid, and two unidentified lipids. Genomic comparison revealed that both strains possessed much more glycoside hydrolases and sulfatase-rich polysaccharide utilization loci (PULs) than Aureibaculum marinum BH-SD17(T). Based on the above polyphasic evidences, strains SM1352(T) and A20(T) represent two novel species within the genus Aureibaculum, for which the names Aureibaculum luteum sp. nov. and Aureibaculum flavum sp. nov. are proposed. The type strains are SM1352(T) (= CCTCC AB 2014243( T) = JCM 30335( T)) and A20(T) (= CCTCC AB 2020370( T) = KCTC 82503( T)), respectively.</t>
  </si>
  <si>
    <t>[He, Xiao-yan; Liu, Ning-hua; Lin, Chao-yi; Chen, Xiu-lan; Zhang, Yu-zhong; Zhang, Yu-qiang; Zhang, Xi-ying] Shandong Univ, Marine Biotechnol Res Ctr, State Key Lab Microbial Technol, Qingdao 266237, Peoples R China; [Sun, Mei-ling; Zhang, Yu-zhong] Ocean Univ China, Coll Marine Life Sci, Qingdao 266003, Peoples R China; [Sun, Mei-ling; Zhang, Yu-zhong] Ocean Univ China, Frontiers Sci Ctr Deep Ocean Multispheres &amp; Earth, Qingdao 266003, Peoples R China; [Chen, Xiu-lan; Zhang, Yu-qiang; Zhang, Xi-ying] Qingdao Natl Lab Marine Sci &amp; Technol, Lab Marine Biol &amp; Biotechnol, Qingdao 266237, Peoples R China</t>
  </si>
  <si>
    <t>Shandong University; Ocean University of China; Ocean University of China; Laoshan Laboratory</t>
  </si>
  <si>
    <t>Zhang, YQ; Zhang, XY (corresponding author), Shandong Univ, Marine Biotechnol Res Ctr, State Key Lab Microbial Technol, Qingdao 266237, Peoples R China.</t>
  </si>
  <si>
    <t>201990900087@sdu.edu.cn; zhangxiying@sdu.edu.cn</t>
  </si>
  <si>
    <t>Zhang, Xi/HJH-1211-2023</t>
  </si>
  <si>
    <t>National Key Research and Development Program of China [2018YFC1406700, 2018YFC1406704, 2018YFC0310704]; National Science Foundation of China [91851205, 31630012, 42076151]; Major Scientific and Technological Innovation Project (MSTIP) of Shandong Province [2019JZZY010817]; Program of Shandong for Taishan Scholars [tspd20181203]</t>
  </si>
  <si>
    <t>National Key Research and Development Program of China; National Science Foundation of China(National Natural Science Foundation of China (NSFC)); Major Scientific and Technological Innovation Project (MSTIP) of Shandong Province; Program of Shandong for Taishan Scholars</t>
  </si>
  <si>
    <t>This work was supported by the National Key Research and Development Program of China (grants 2018YFC1406700, 2018YFC1406704, and 2018YFC0310704), the National Science Foundation of China (grants 91851205, 31630012, and 42076151), Major Scientific and Technological Innovation Project (MSTIP) of Shandong Province (2019JZZY010817), the Program of Shandong for Taishan Scholars (tspd20181203). Persons employed by the funders had no role in the study or in the preparation of the article or decision to publish.</t>
  </si>
  <si>
    <t>0003-6072</t>
  </si>
  <si>
    <t>1572-9699</t>
  </si>
  <si>
    <t>ANTON LEEUW INT J G</t>
  </si>
  <si>
    <t>Antonie Van Leeuwenhoek</t>
  </si>
  <si>
    <t>10.1007/s10482-021-01702-8</t>
  </si>
  <si>
    <t>ZI0PO</t>
  </si>
  <si>
    <t>WOS:000741872700001</t>
  </si>
  <si>
    <t>Zhao, SH; Yan, JP; Lin, Q; Yao, L; Park, K; Jung, J; Chen, LQ; Xu, SQ; Sun, MP; Wang, SS; Yang, H; Shi, J; Zhang, MM; Sun, H</t>
  </si>
  <si>
    <t>Zhao, Shuhui; Yan, Jinpei; Lin, Qi; Yao, Lei; Park, Keyhong; Jung, Jinyoung; Chen, Liqi; Xu, Suqing; Sun, Meiping; Wang, Shanshan; Yang, Hang; Shi, Jun; Zhang, Miming; Sun, Heng</t>
  </si>
  <si>
    <t>Changes in aerosol particle composition during sea fog formation events in the sea ice regions of the Arctic Ocean</t>
  </si>
  <si>
    <t>ATMOSPHERIC ENVIRONMENT</t>
  </si>
  <si>
    <t>Sea fog; Aerosol; Arctic ocean; Sea salt aerosol; Non-sea salt sulfate(nss-SO42-)</t>
  </si>
  <si>
    <t>SOLUBLE INORGANIC-IONS; METHANESULFONIC-ACID; DIMETHYL SULFIDE; CHEMICAL-COMPOSITION; SIZE DISTRIBUTION; NORTH PACIFIC; SALT SULFATE; WATER; DEPENDENCE; STRATUS</t>
  </si>
  <si>
    <t>Water soluble ions (WSIs) of aerosol particles is one of the important parameters to study the aerosol-fog in-teractions. To study the changes of aerosol WSIs during sea fog events, hourly real-time measurements of WSIs (Na+, K+, Mg2+, Ca2+, MSA(-), Cl- , NO3-, and SO42-) in total suspended aerosol particles (TSP) were conducted in the atmosphere over Arctic Ocean ice floe regions from August 1 to 12, 2017, when the sea fog events were frequently observed. There were significant differences in Na+, Cl-, Mg2+, methanesulfonic acid (MSA-), sea salt sulfate (ss-SO42-) and non-sea salt sulfate (nss-SO42-) ions during sea fog events vs. non-sea fog periods. The mass concentrations of sea salt ions, such as Na+, Mg2+, Cl- and ss-SO42-, clearly increased before the occurrence of sea fog and then decreased substantially with the formation of sea fog; however, nss-SO42- levels did not decrease but remained high during the sea fog processes. These results suggest that sea salt aerosol particles were more likely to serve as condensation nuclei for fog and could be more effectively removed by sea fog than nss-SO42- particles. MSA(-) only combined with sea salt particles, which were likely to serve as condensation nuclei and be removed by sea fog. Condensation may be the primary factor leading to the reduction of sea salt ions during the sea fog periods, while other factors like the presence of dense sea ice and long-range transport input may also affect the decreasing rate.</t>
  </si>
  <si>
    <t>[Zhao, Shuhui; Yan, Jinpei; Lin, Qi; Chen, Liqi; Xu, Suqing; Wang, Shanshan; Yang, Hang; Shi, Jun; Zhang, Miming; Sun, Heng] Minist Nat Resources, Key Lab Global Change &amp; Marine Atmospher Chem, Xiamen 361005, Peoples R China; [Zhao, Shuhui; Yan, Jinpei; Lin, Qi; Chen, Liqi; Xu, Suqing; Wang, Shanshan; Yang, Hang; Shi, Jun; Zhang, Miming; Sun, Heng] Minist Nat Resources, Inst Oceanog 3, Xiamen 361005, Peoples R China; [Yao, Lei] Fudan Univ, Dept Environm Sci &amp; Engn, Shanghai Key Lab Atmospher Particle Pollut &amp; Preve, Shanghai 200438, Peoples R China; [Yao, Lei] Univ Helsinki, Inst Atmospher &amp; Earth Syst Res, Fac Sci, Helsinki, Finland; [Park, Keyhong; Jung, Jinyoung] Korea Polar Res Inst, Div Polar Ocean Sci, 26 Songdomirae Ro, Incheon 21990, South Korea; [Sun, Meiping] Northwest Normal Univ, Coll Geog &amp; Environm Sci, Lanzhou 730070, Peoples R China; [Yan, Jinpei] Minist Nat Resources, Inst Oceanog 3, Key Lab Global Change, Marine Atmospher Chem, Daxue Rd 178, Xiamen 361005, Peoples R China</t>
  </si>
  <si>
    <t>Ministry of Natural Resources of the People's Republic of China; Ministry of Natural Resources of the People's Republic of China; Third Institute of Oceanography, Ministry of Natural Resources; Fudan University; University of Helsinki; Korea Polar Research Institute (KOPRI); Northwest Normal University - China; Ministry of Natural Resources of the People's Republic of China; Third Institute of Oceanography, Ministry of Natural Resources</t>
  </si>
  <si>
    <t>Yan, JP (corresponding author), Minist Nat Resources, Inst Oceanog 3, Key Lab Global Change, Marine Atmospher Chem, Daxue Rd 178, Xiamen 361005, Peoples R China.</t>
  </si>
  <si>
    <t>jpyan@tio.org.cn</t>
  </si>
  <si>
    <t>Yao, Lei/AAJ-5063-2021</t>
  </si>
  <si>
    <t>Yao, Lei/0000-0002-2680-1629; Yan, Jin Pei/0000-0002-1273-9422</t>
  </si>
  <si>
    <t>Scientific Research Foundation of Third Institute of Oceanography, Ministry of Natural Resources (MNR, China) [2019024]; National Natural Science Foundation of China [41941014]; Chinese Projects for Investigations and Assessments of the Arctic and Antarctica [CHI-NARE2017-2020]; Qingdao National Laboratory for Marine Science and Technology, China [QNLM2016ORP0109]; Natural Science Foundation of Fujian Province, China [2019J01120]; China Postdoctoral Science Foundation [2021M693779]; Korea Polar Research Institute (KOPRI, South Korea) Asian Polar Science Fellowship Program; Korea-Arctic Ocean Warming and Response of Ecosystem project - MOF, South Korea [1525011760]; [KOPRI,1525011760]</t>
  </si>
  <si>
    <t>Scientific Research Foundation of Third Institute of Oceanography, Ministry of Natural Resources (MNR, China); National Natural Science Foundation of China(National Natural Science Foundation of China (NSFC)); Chinese Projects for Investigations and Assessments of the Arctic and Antarctica; Qingdao National Laboratory for Marine Science and Technology, China; Natural Science Foundation of Fujian Province, China(Natural Science Foundation of Fujian Province); China Postdoctoral Science Foundation(China Postdoctoral Science Foundation); Korea Polar Research Institute (KOPRI, South Korea) Asian Polar Science Fellowship Program(Korea Polar Research Institute of Marine Research Placement (KOPRI)); Korea-Arctic Ocean Warming and Response of Ecosystem project - MOF, South Korea(Ministry of Oceans &amp; Fisheries (MOF), Republic of Korea);</t>
  </si>
  <si>
    <t>This study is Financially supported by the Project Sponsored by the Scientific Research Foundation of Third Institute of Oceanography, Ministry of Natural Resources (MNR, China), NO. 2019024, National Natural Science Foundation of China (No.41941014), Chinese Projects for Investigations and Assessments of the Arctic and Antarctica (CHI-NARE2017-2020), Qingdao National Laboratory for Marine Science and Technology, China (No. QNLM2016ORP0109), the Natural Science Foundation of Fujian Province, China (No. 2019J01120), the fellowship of China Postdoctoral Science Foundation (2021M693779). We thank the Chinese Arctic and Antarctic Administration (CAA) of State Oceanic Administration, China (SOA, China), the crew of R/V Xue Long for support with field operations, and the data/samples collected by the 8th Chinese National Arctic Research Expedition (CHINARE). We also thank the Korea Polar Research Institute (KOPRI, South Korea) Asian Polar Science Fellowship Program support for the research collaboration opportunities and partially supported by Korea-Arctic Ocean Warming and Response of Ecosystem project (K-AWARE, KOPRI,1525011760) funded by the MOF, South Korea. The authors gratefully acknowledge Zhangjia Instrument Company Limited for the IGAC data analysis.</t>
  </si>
  <si>
    <t>1352-2310</t>
  </si>
  <si>
    <t>1873-2844</t>
  </si>
  <si>
    <t>ATMOS ENVIRON</t>
  </si>
  <si>
    <t>Atmos. Environ.</t>
  </si>
  <si>
    <t>10.1016/j.atmosenv.2022.118943</t>
  </si>
  <si>
    <t>0V3OW</t>
  </si>
  <si>
    <t>WOS:000788255500004</t>
  </si>
  <si>
    <t>Novillo, M; Desvignes, T; Moreira, E; Barrera-Oro, E</t>
  </si>
  <si>
    <t>Novillo, Manuel; Desvignes, Thomas; Moreira, Eugenia; Barrera-Oro, Esteban</t>
  </si>
  <si>
    <t>Egg predation in Antarctic fish: the ingestion by Notothenia coriiceps of an entire Trematomus bernacchii spawn identified by molecular techniques</t>
  </si>
  <si>
    <t>Notothenioidei; Nest guarding; West Antarctic Peninsula; Reproductive ecology; Trophic interactions</t>
  </si>
  <si>
    <t>TERRA-NOVA BAY; CHAENOCEPHALUS-ACERATUS; NESTING-BEHAVIOR; TROPHIC ECOLOGY; MCMURDO SOUND; N-CORIICEPS; ROSS SEA; REPRODUCTION; PISCES; INSHORE</t>
  </si>
  <si>
    <t>Parental care and nest guarding behaviors have been described for all major clades of Antarctic notothenioid fishes. In possible association with this reproductive behavior, there is no evidence of significant fish egg predation in notothenioids so far. Here, we report a recently ingested fish egg mass in the stomach of a large specimen of the voracious bullhead notothen Notothenia coriiceps caught in Paradise Bay, West Antarctic Peninsula, in mid-January 2019. Using molecular markers, the preyed eggs were identified as being emerald notothens Trematomus bernacchii, which enabled us to discuss aspects of the emerald notothen reproductive ecology. Our estimation of 4443 ingested eggs of 3.94 mm in average diameter, coupled with comparable literature data, suggested that this bullhead notothen ate the entire spawn. Based on an estimated age of the T. bernacchii embryos at 30 to 45 days post-fertilization, the spawning event likely occurred in December. Although it is known from a close location to our study site that emerald notothens use sponge cavities as spawning substrates with females guarding nests, we also recovered a small fragment of algae in the stomach content of the bullhead notothen, suggesting that the egg mass could have also been laid on algae. Our findings suggests that in this case of predator-prey interaction between two sympatric notothenioid species, there was a lack of effectiveness in egg protection, revealing a possible limit of egg guarding in the Antarctic ichthyofauna.</t>
  </si>
  <si>
    <t>[Novillo, Manuel; Moreira, Eugenia; Barrera-Oro, Esteban] Consejo Nacl Invest Cient &amp; Tecn CONICET, C1425FQB, Buenos Aires, DF, Argentina; [Novillo, Manuel; Barrera-Oro, Esteban] Museo Argentino Ciencias Nat Bernardino Rivadavia, C1405DJR, Buenos Aires, DF, Argentina; [Desvignes, Thomas] Univ Oregon, Inst Neurosci, Eugene, OR 97403 USA; [Moreira, Eugenia] Inst Antartico Argentino, RA-1650 San Martin, Buenos Aires, Argentina; [Moreira, Eugenia] UNCPBA CICBA INBIOTEC CONICET, Fac Agronornia, UNCPBA, Lab Biol Func &amp; Biotecnol BIOLAB, RA-7300 Buenos Aires, DF, Argentina</t>
  </si>
  <si>
    <t>Consejo Nacional de Investigaciones Cientificas y Tecnicas (CONICET); Museo Argentino de Ciencias Naturales Bernardino Rivadavia (MACN); University of Oregon; Instituto Antartico Argentino</t>
  </si>
  <si>
    <t>Novillo, M (corresponding author), Consejo Nacl Invest Cient &amp; Tecn CONICET, C1425FQB, Buenos Aires, DF, Argentina.</t>
  </si>
  <si>
    <t>jmanuelnovillo@gmail.com; tdesvign@uoregon.edu; eugeniamoreira@yahoo.com; ebarreraoro1@gmail.com</t>
  </si>
  <si>
    <t>Thomas, Desvignes/AAX-3526-2020</t>
  </si>
  <si>
    <t>Thomas, Desvignes/0000-0001-5126-8785; MOREIRA, EUGENIA/0000-0002-3704-1696</t>
  </si>
  <si>
    <t>Direccion Nacional del Antartico; Instituto Antartico Argentino [PICTA 0100]; Consejo Nacional de Investigaciones Cientificas y Tecnicas [PIP2017-2019: 11220170100219CO]; Fondo para la Investigacion Cientifica y Tecnologica [OPP-1947040, PICT 2018:03310]; National Science Foundation Office of Polar Programs [OPP-1947040]; [401/19]</t>
  </si>
  <si>
    <t>Direccion Nacional del Antartico; Instituto Antartico Argentino; Consejo Nacional de Investigaciones Cientificas y Tecnicas(Consejo Nacional de Investigaciones Cientificas y Tecnicas (CONICET)); Fondo para la Investigacion Cientifica y Tecnologica; National Science Foundation Office of Polar Programs(National Science Foundation (NSF)NSF - Directorate for Geosciences (GEO));</t>
  </si>
  <si>
    <t>We are grateful to Carlos Bellisio and Agustin Zarco for their help in field activities and laboratory tasks. This work was supported by grants from Direccion Nacional del Antartico, Instituto Antartico Argentino [Grant number PICTA 0100] , Consejo Nacional de Investigaciones Cientificas y Tecnicas [Grant number PIP2017-2019: 11220170100219CO, Resolution 2018-8-APN-DIR#CONICET] and Fondo para la Investigacion Cientifica y Tecnologica [Grant number PICT 2018:03310, Resolution 401/19] . TD was supported by the National Science Foundation Office of Polar Programs (OPP-1947040) .</t>
  </si>
  <si>
    <t>MAR 5</t>
  </si>
  <si>
    <t>10.1016/j.ecss.2022.107742</t>
  </si>
  <si>
    <t>0X4RG</t>
  </si>
  <si>
    <t>WOS:000789695100005</t>
  </si>
  <si>
    <t>Espina, G; Munoz-Ibacache, SA; Caceres-Moreno, P; Amenabar, MJ; Blamey, JM</t>
  </si>
  <si>
    <t>Espina, Giannina; Munoz-Ibacache, Sebastian A.; Caceres-Moreno, Paulina; Amenabar, Maximiliano J.; Blamey, Jenny M.</t>
  </si>
  <si>
    <t>From the Discovery of Extremozymes to an Enzymatic Product: Roadmap Based on Their Applications</t>
  </si>
  <si>
    <t>FRONTIERS IN BIOENGINEERING AND BIOTECHNOLOGY</t>
  </si>
  <si>
    <t>biocatalysts; extremophiles; catalase; laccase; amine-transaminase; Antarctica</t>
  </si>
  <si>
    <t>LACCASE; INDUSTRIAL; FUTURE</t>
  </si>
  <si>
    <t>With the advent of the industrial revolution, the use of toxic compounds has grown exponentially, leading to a considerable pollution of the environment. Consequently, the development of more environmentally conscious technologies is an urgent need. Industrial biocatalysis appears as one potential solution, where a higher demand for more robust enzymes aims to replace toxic chemical catalysts. To date, most of the commercially available enzymes are of mesophilic origin, displaying optimal activity in narrow ranges of temperature and pH (i.e., between 20 degrees C and 45 degrees C, neutral pH), limiting their actual application under industrial reaction settings, where they usually underperform, requiring larger quantities to compensate loss of activity. In order to obtain novel biocatalysts better suited for industrial conditions, an efficient solution is to take advantage of nature by searching and discovering enzymes from extremophiles. These microorganisms and their macromolecules have already adapted to thrive in environments that present extreme physicochemical conditions. Hence, extremophilic enzymes stand out for showing higher activity, stability, and robustness than their mesophilic counterparts, being able to carry out reactions at nonstandard conditions. In this brief research report we describe three examples to illustrate a stepwise strategy for the development and production of commercial extremozymes, including a catalase from an Antarctic psychrotolerant microorganism, a laccase from a thermoalkaliphilic bacterium isolated from a hot spring and an amine-transaminase from a thermophilic bacterium isolated from a geothermal site in Antarctica. We will also explore some of their interesting biotechnological applications and comparisons with commercial enzymes.</t>
  </si>
  <si>
    <t>[Espina, Giannina; Munoz-Ibacache, Sebastian A.; Caceres-Moreno, Paulina; Amenabar, Maximiliano J.; Blamey, Jenny M.] Fdn Biociencia, Santiago, Chile; [Blamey, Jenny M.] Univ Santiago Chile, Fac Quim &amp; Biol, Santiago, Chile</t>
  </si>
  <si>
    <t>Universidad de Santiago de Chile</t>
  </si>
  <si>
    <t>Espina, G; Blamey, JM (corresponding author), Fdn Biociencia, Santiago, Chile.;Blamey, JM (corresponding author), Univ Santiago Chile, Fac Quim &amp; Biol, Santiago, Chile.</t>
  </si>
  <si>
    <t>gespina@bioscience.cl; jblamey@bioscience.cl</t>
  </si>
  <si>
    <t>Amenabar, Maximiliano/AAD-5354-2020; Espina, Giannina/AAD-5275-2020; Muñoz-Ibacache, Sebastian/JDD-7351-2023</t>
  </si>
  <si>
    <t>Amenabar, Maximiliano/0000-0003-1890-5353; Espina, Giannina/0000-0002-6308-7217</t>
  </si>
  <si>
    <t>2296-4185</t>
  </si>
  <si>
    <t>FRONT BIOENG BIOTECH</t>
  </si>
  <si>
    <t>Front. Bioeng. Biotechnol.</t>
  </si>
  <si>
    <t>JAN 12</t>
  </si>
  <si>
    <t>10.3389/fbioe.2021.752281</t>
  </si>
  <si>
    <t>Biotechnology &amp; Applied Microbiology; Engineering, Biomedical</t>
  </si>
  <si>
    <t>YO4IJ</t>
  </si>
  <si>
    <t>WOS:000747904700001</t>
  </si>
  <si>
    <t>Bensi, M; Kovacevic, V; Donda, F; O'Brien, PE; Armbrecht, L; Armand, LK</t>
  </si>
  <si>
    <t>Bensi, Manuel; Kovacevic, Vedrana; Donda, Federica; O'Brien, Philip Edward; Armbrecht, Linda; Armand, Leanne Kay</t>
  </si>
  <si>
    <t>Water masses distribution offshore the Sabrina Coast (East Antarctica)</t>
  </si>
  <si>
    <t>ICE-SHEET; TOTTEN GLACIER; SHELF; BED</t>
  </si>
  <si>
    <t>Current glacier melt rates in West Antarctica substantially exceed those around the East Antarctic margin. The exception is Wilkes Land, where for example Totten Glacier underwent significant retreat between 2000 and 2012, underlining its sensitivity to climate change. This process is strongly influenced by ocean dynamics, which in turn changes in accordance with the evolution of the ice caps. Here, we present new oceanographic data (temperature, salinity, and disso lved oxygen) collected during austral summer 2017 offshore the Sabrina Coast (East Antarctica) from the continental shelf break to ca 3000 m depth. This area is characterized by very few oceanographic in situ observations. The main water masses of the study area, identified by analysing thermohaline properties, are the Antarctic Surface Water with potential temperature theta&gt;-1.5 circle C and salinity S&lt;34.2 (sigma theta&lt;27.55 kgm-3), the Winter Water with -1.92&lt;-1.75 circle C and 34.0&lt;34.5 (potential density, 27.550 circle C and S&gt;34.5 (sigma theta&gt;27.7 kgm-3), and Antarctic Bottom Water with -0.50&lt;0 circle C and 34.63&lt;34.67 (27.8328.30 kgm-3). The latter is a mixture of dense waters from the Ross Sea and Adelie Land continental shelves. Such waters are influenced by the mixing processes they undergo as they move westward along the Antarctic margin, also interacting with the warmer Circumpolar Deep Water. The spatial distribution of water masses offshore the Sabrina Coast also appears to be strongly linked with the complex morpho-bathymetry of the slope and rise area, supporting the hypothesis that downslope processes contribute to shaping the architecture of the distal portion of the continental margin. Oceanographic data presented here can be downloaded from (CSIRO; Van Graas, 2021).</t>
  </si>
  <si>
    <t>[Bensi, Manuel; Kovacevic, Vedrana; Donda, Federica] Natl Inst Oceanog &amp; Appl Geophys OGS, I-34010 Trieste, Italy; [O'Brien, Philip Edward] Macquarie Univ, Dept Environm Sci, Sydney, NSW, Australia; [Armbrecht, Linda] Univ Tasmania, Inst Marine &amp; Antarctic Studies, Battery Point, Tas 7004, Australia; [Armand, Leanne Kay] Australian Natl Univ, Res Sch Earth Sci, Canberra, ACT, Australia</t>
  </si>
  <si>
    <t>Istituto Nazionale di Oceanografia e di Geofisica Sperimentale; Macquarie University; University of Tasmania; Australian National University</t>
  </si>
  <si>
    <t>Bensi, M (corresponding author), Natl Inst Oceanog &amp; Appl Geophys OGS, I-34010 Trieste, Italy.</t>
  </si>
  <si>
    <t>mbensi@inogs.it</t>
  </si>
  <si>
    <t>Armbrecht, Linda/GZB-0547-2022; Bensi, Manuel/JXN-8991-2024</t>
  </si>
  <si>
    <t>Donda, Federica/0000-0002-1284-5866; Bensi, Manuel/0000-0002-0548-7351</t>
  </si>
  <si>
    <t>Australian Government's Australian Antarctic Science Grant Program [4333]; Australian Research Council [DP170100557]; Italian National Antarctic Research Program (Programma Nazionale di Ricerche in Antartide, PNRA) [2015/B2.02]</t>
  </si>
  <si>
    <t>Australian Government's Australian Antarctic Science Grant Program(Australian Government); Australian Research Council(Australian Research Council); Italian National Antarctic Research Program (Programma Nazionale di Ricerche in Antartide, PNRA)</t>
  </si>
  <si>
    <t>This research was supported through funding from the Australian Government's Australian Antarctic Science Grant Program (AAS no. 4333) and the Australian Research Council's Discovery Projects funding scheme (DP170100557). We would like also to acknowledge the financial support of the Italian National Antarctic Research Program (Programma Nazionale di Ricerche in Antartide, PNRA) that funded the participation of the Italian team to the cruise through the project TYTAN (Totten Glacier dYnamics and Southern Ocean circulation impact on deposiTional processes since the mid-lAte CeNozoic, PNRA no. 2015/B2.02) led by Federica Donda.</t>
  </si>
  <si>
    <t>10.5194/essd-14-65-2022</t>
  </si>
  <si>
    <t>YM2TK</t>
  </si>
  <si>
    <t>WOS:000746431300001</t>
  </si>
  <si>
    <t>Shao, HB; He, JF; Wu, L; Wei, L</t>
  </si>
  <si>
    <t>Shao, Hebin; He, Jianfeng; Wu, Li; Wei, Li</t>
  </si>
  <si>
    <t>Elemental and Sr-Nd isotopic compositions of surface clay-size sediments in the front end of major ice shelves around Antarctica and indications for provenance</t>
  </si>
  <si>
    <t>Provenance; Clay-size sediment; Antarctic margin; Ice shelf; Sr and Nd isotopes</t>
  </si>
  <si>
    <t>PRINCE CHARLES MOUNTAINS; PINE ISLAND GLACIER; RARE-EARTH-ELEMENTS; MARIE BYRD LAND; EAST ANTARCTICA; PRYDZ BAY; ROSS-SEA; U-PB; DETRITAL ZIRCONS; WEST ANTARCTICA</t>
  </si>
  <si>
    <t>Geochemical observations of continental outcrops and marine sediments provide insights into the nature of bedrock and erosion in Antarctica. The accelerated melt of ice shelves has increased the flux of terrigenous materials to the marginal seas and has changed the sedimentological environment. We characterized the provenance of the surficial fine-grained detrital sediments in the front ends of major ice shelves in the Amundsen Sea, Ross Sea, and Prydz Bay sections through comparisons to proximal rocks using the elemental compositions, as well as the Sr and Nd isotopic compositions, of the clay-size (&lt;2 mu m) fraction, rock samples, and bulk sediments and some residual fractions. The results show that the 87Sr/86Sr ratios of clay-size sediments range from 0.70962 to 0.71662, 0.70936 to 0.71960, and 0.72569 to 0.73492, and that the epsilon Nd values range from -2.1 to +0.8, -10.9 to -1.43, and -22.3 to - 17. 3 in the Amundsen Sea, Ross Sea, and Prydz Bay, respectively, while those of rocks range from 0.70350 to 0.77080 and from 5.1 to -22.4 in all three areas. Elemental compositions of both bulk sediments and the clay-size fraction in the Western Ross Sea have similar patterns to those in Prydz Bay, showing that most major elements (e.g., Mg, Ca, and Fe) are lower than in the upper continental crust (UCC). Chondrite-normalized rare earth elements (REEs) are highest in the bulk sediments of the Amundsen Sea and lowest in the clay-size fraction of all three sections. We concluded that clay-size sediments in the Western Amundsen Sea shelf are largely from the Eastern Amundsen Sea coastal area, while some sediments reflect contributions from the Hobbs Coast due to gravitational currents. The Western Ross Sea can receive sediments from both East Antarctica and West Antarctica, while the clay-size fractions of western sites in Transect R (a latitudinal transect near Inexpressible Island, East Antarctica) in this study are mainly from southeastern Victoria Land, transported northward by bottom currents. The contribution from coarse ice-rafted debris (IRD) is minor, possibly because of blocking by the Drygalski Ice Tongue. The clay-size sediments of Eastern Prydz Bay are largely contributed by Princess Elisabeth Land and western Wilhelm II Land, while those in Western Prydz Bay are possibly derived from the Lambert-Amery Ice Shelf system and the western coast. These very fine-grained sediments are generally affected by oceanic currents (e.g., Antarctic Coastal Currents and Antarctic Bottom Currents). Most residual fraction show very similar epsilon Nd values to the bulk of clay-size sediments. It indicates that authigenic phases are generally sourced from similar regions to the silicate component of clay-size sediments.</t>
  </si>
  <si>
    <t>[Shao, Hebin; He, Jianfeng; Wei, Li] Polar Res Inst China, Key Lab Polar Sci, Minist Nat Resources, Shanghai 200136, Peoples R China; [Wu, Li] Tongji Univ, State Key Lab Marine Geol, Shanghai 20092, Peoples R China</t>
  </si>
  <si>
    <t>Polar Research Institute of China; Ministry of Natural Resources of the People's Republic of China; Tongji University</t>
  </si>
  <si>
    <t>He, JF (corresponding author), Polar Res Inst China, Key Lab Polar Sci, Minist Nat Resources, Shanghai 200136, Peoples R China.</t>
  </si>
  <si>
    <t>hejianfeng@pric.org.cn</t>
  </si>
  <si>
    <t>WU, Li/KHX-2389-2024; Shao, Hebin/KHE-1441-2024</t>
  </si>
  <si>
    <t>Shao, Hebin/0000-0002-3648-3265</t>
  </si>
  <si>
    <t>Ministry of Natural Resources of the People's Republic of China (Impact and Response of Antarctic Seas to Climate Change) [IRASCC 02-04-01]; Natural Science Foundation of China [41806229]</t>
  </si>
  <si>
    <t>Ministry of Natural Resources of the People's Republic of China (Impact and Response of Antarctic Seas to Climate Change); Natural Science Foundation of China(National Natural Science Foundation of China (NSFC))</t>
  </si>
  <si>
    <t>This work was supported by Ministry of Natural Resources of the People's Republic of China (Impact and Response of Antarctic Seas to Climate Change, Grant No: IRASCC 02-04-01) and the Natural Science Foundation of China (Grant No: 41806229). This research used samples provided by the China Polar Sample Repository in Polar Research Institute of China. We would like to thank all on-board scientists and crew of R/V XUELONG for their help during the Chinese Research Expeditions of the Antarctic. We are grateful to Dr. Ni Su, Dr. Nengping Shen, M.S. Pengfei Liu, M.S. Lu Yang for helping in the clean lab and for the beneficial discussions during the preparation of this manuscript.</t>
  </si>
  <si>
    <t>10.1016/j.dsr2.2021.105011</t>
  </si>
  <si>
    <t>YI7MG</t>
  </si>
  <si>
    <t>WOS:000744028400003</t>
  </si>
  <si>
    <t>Wei, Z; Zhang, ZR; Wang, XQ; Chen, YJ; Zhou, M</t>
  </si>
  <si>
    <t>Wei, Zheng; Zhang, Zhaoru; Wang, Xiaoqiao; Chen, Yuanjie; Zhou, Meng</t>
  </si>
  <si>
    <t>The thermodynamic and dynamic control of the sensible heat polynya in the western Cosmonaut Sea</t>
  </si>
  <si>
    <t>West Cosmonaut Sea Polynya; Heat budget analysis; Dynamical processes; Cyclonic wind field</t>
  </si>
  <si>
    <t>SOUTHERN ANNULAR MODE; WEDDELL POLYNYA; ICE PRODUCTION; NORTH; WATER; FLUX</t>
  </si>
  <si>
    <t>A prominent feature in the west Cosmonaut Sea is the reoccurrence of a sensible heat polynya - the western Cosmonaut Sea Polynya (wCSP), which normally exists in late austral autumn and early winter. The Southern Ocean Sate Estimate (SOSE) reanalysis product is employed to investigate the thermodynamic and dynamic processes controlling the formation and evolution of a real wCSP event in 2009, when the polynya properties revealed from satellite observations are reasonably simulated by SOSE. An oceanic heat budget analysis was conducted for the surface layer above the thermocline, and the results reveal that heat advection is the major term contributing to the surface heat content variation in this area. The precursor of wCSP - an embayment - was formed during cyclonic atmospheric circulations. The negative wind stress curl from a cyclone induced upwelling that brought the warm circumpolar deep water to the surface and presumably melted ice. Meanwhile, the location of the cyclone relative to the wCSP created weaker easterlies over the northern boundary of polynya and stronger easterlies over the southern boundary of polynya. This leads to difference in the meridional oceanic heat transports across the northern and southern boundaries, resulting in net positive meridional oceanic heat transport into the polynya. Both the vertical heat advection and the meridional heat advection contribute significantly to increased heat content in the surface layer of wCSP, causing sea-ice melt and formation of the embayment. The cyclonic wind field promotes convergence of sea ice over the northern area of the embayment and results in the polynya. The formation of wCSP is likely related to the strength and position of Southern Annular Mode on interannual scale, and may potentially affect the biological productivity by controlling the availability of light in the mixed layer.</t>
  </si>
  <si>
    <t>[Wei, Zheng; Zhang, Zhaoru; Wang, Xiaoqiao; Chen, Yuanjie; Zhou, Meng] Shanghai Jiao Tong Univ, Sch Oceanog, 1954 Huashan Rd, Shanghai 200030, Peoples R China</t>
  </si>
  <si>
    <t>Shanghai Jiao Tong University</t>
  </si>
  <si>
    <t>Zhang, ZR (corresponding author), Shanghai Jiao Tong Univ, Sch Oceanog, 1954 Huashan Rd, Shanghai 200030, Peoples R China.</t>
  </si>
  <si>
    <t>zrzhang@sjtu.edu.cn</t>
  </si>
  <si>
    <t>LIU, JIALIN/JXN-8034-2024</t>
  </si>
  <si>
    <t>Wei, Zheng/0000-0002-6904-7961</t>
  </si>
  <si>
    <t>Impact and Response of Antarctic Seas to Climate Change [IRASCC 1-02-01B, 583]; Shanghai Sci-ence and Technology Committee [20230711100, 21QA1404300]; National Natural Science Foundation of China [41876221, 41941008]; National Key Research and Development Program of China [2019YFC1509102]; Advanced Polar Science Institute of Shanghai (APSIS)</t>
  </si>
  <si>
    <t>Impact and Response of Antarctic Seas to Climate Change; Shanghai Sci-ence and Technology Committee(Shanghai Science &amp; Technology Committee); National Natural Science Foundation of China(National Natural Science Foundation of China (NSFC)); National Key Research and Development Program of China; Advanced Polar Science Institute of Shanghai (APSIS)</t>
  </si>
  <si>
    <t>This work is funded by the Impact and Response of Antarctic Seas to Climate Change (Grant 583 No: IRASCC 1-02-01B) , the Shanghai Sci-ence and Technology Committee (Grant No. 20230711100 and Grant No. 21QA1404300) , the National Natural Science Foundation of China (Grant No. 41876221 and 41941008) , the National Key Research and Development Program of China (Grant No. 2019YFC1509102) and the Advanced Polar Science Institute of Shanghai (APSIS) . The SOSE solu-tion for years 2005-2010 is available from sose.ucsd.edu. The satellite data used for model validation are available from the NASA National Snow and Ice Data Center (NSIDC) (https://nsidc.org/) . The in situ observation data used for model validation is available from the BROKE-West voyage (https://data.aad.gov.au/metadata/records/200506030) .</t>
  </si>
  <si>
    <t>10.1016/j.dsr2.2021.105000</t>
  </si>
  <si>
    <t>YI8LG</t>
  </si>
  <si>
    <t>WOS:000744093700002</t>
  </si>
  <si>
    <t>Shi, K; Touge, Y</t>
  </si>
  <si>
    <t>Shi, Ke; Touge, Yoshiya</t>
  </si>
  <si>
    <t>Characterization of global wildfire burned area spatiotemporal patterns and underlying climatic causes</t>
  </si>
  <si>
    <t>MULTIPLE-WAVELET COHERENCE; SEA-SURFACE TEMPERATURE; GRASS-FIRE CYCLE; TROPICAL ATLANTIC; ANTARCTIC OSCILLATION; GEOPOTENTIAL HEIGHT; VARIABILITY; TELECONNECTIONS; SEVERITY; RAINFALL</t>
  </si>
  <si>
    <t>Wildfires are widespread disasters and are concurrently influenced by global climatic drivers. Due to the widespread and far-reaching influence of climatic drivers, separate regional wildfires may have similar climatic cause mechanisms. Determining a suite of global climatic drivers that explain most of the variations in different homogeneous wildfire regions will be of great significance for wildfire management, wildfire prediction, and global wildfire climatology. Therefore, this study first identified spatiotemporally homogeneous regions of burned area worldwide during 2001-2019 using a distinct empirical orthogonal function. Eight patterns with different spatiotemporal characteristics were identified. Then, the relationships between major burned area patterns and sixteen global climatic drivers were quantified based on wavelet analysis. The most significant global climatic drivers that strongly impacted each of the eight major wildfire patterns were identified. The most significant combinations of hotspots and climatic drivers were Atlantic multidecadal Oscillation-East Pacific/North Pacific Oscillation (EP/NP)-Pacific North American Pattern (PNA) with the pattern around Ukraine and Kazakhstan, El Nino/Southern Oscillation-Arctic Oscillation (AO)-East Atlantic/Western Russia Pattern (EA/WR) with the pattern in Australia, and PNA-AO-Polar/Eurasia Pattern-EA/WR with the pattern in Brazil. Overall, these results provide a reference for predicting wildfire and understanding wildfire homogeneity.</t>
  </si>
  <si>
    <t>[Shi, Ke; Touge, Yoshiya] Tohoku Univ, Dept Civil &amp; Environm Engn, Sendai, Miyagi 9808579, Japan</t>
  </si>
  <si>
    <t>Tohoku University</t>
  </si>
  <si>
    <t>Shi, K (corresponding author), Tohoku Univ, Dept Civil &amp; Environm Engn, Sendai, Miyagi 9808579, Japan.</t>
  </si>
  <si>
    <t>ke.dlut@outlook.com</t>
  </si>
  <si>
    <t>touge, Yoshiya/GNW-4300-2022</t>
  </si>
  <si>
    <t>touge, Yoshiya/0000-0002-3002-4789; Shi, Ke/0000-0003-0441-8554</t>
  </si>
  <si>
    <t>[2020-2023]; [20H02248]; Grants-in-Aid for Scientific Research [20H02248] Funding Source: KAKEN</t>
  </si>
  <si>
    <t>; ; Grants-in-Aid for Scientific Research(Ministry of Education, Culture, Sports, Science and Technology, Japan (MEXT)Japan Society for the Promotion of ScienceGrants-in-Aid for Scientific Research (KAKENHI))</t>
  </si>
  <si>
    <t>This research was partially supported by the Grant-in Aid for Scientific Research (B), 2020-2023 (20H02248, Yoshiya Touge). We thank the editor and two anonymous reviewers for their comments.</t>
  </si>
  <si>
    <t>10.1038/s41598-021-04726-2</t>
  </si>
  <si>
    <t>YF9YM</t>
  </si>
  <si>
    <t>WOS:000742155800033</t>
  </si>
  <si>
    <t>Rodriguez, ID; Marina, TI; Schloss, IR; Saravia, LA</t>
  </si>
  <si>
    <t>Diamela Rodriguez, Iara; Marina, Tomas, I; Ruth Schloss, Irene; Ariel Saravia, Leonardo</t>
  </si>
  <si>
    <t>Marine food webs are more complex but less stable in sub-Antarctic (Beagle Channel, Argentina) than in Antarctic (Potter Cove, Antarctic Peninsula) regions</t>
  </si>
  <si>
    <t>MARINE ENVIRONMENTAL RESEARCH</t>
  </si>
  <si>
    <t>Anthropogenic activities; Climate change; Food web; Marine ecosystems; Sub-Antarctic; West Antarctic Peninsula</t>
  </si>
  <si>
    <t>SALMON ONCORHYNCHUS-TSHAWYTSCHA; TIERRA-DEL-FUEGO; CLIMATE-CHANGE; ECOLOGICAL NETWORKS; COASTAL WATERS; ECOSYSTEM; STABILITY; INVASION; OMNIVORY; COMPARTMENTS</t>
  </si>
  <si>
    <t>Food web structure plays an important role in determining ecosystem stability against perturbations. High-latitude marine ecosystems are being affected by environmental stressors and biological invasions. In the West Antarctic Peninsula these transformations are mainly driven by climate change, while in the sub-Antarctic region by anthropogenic activities. Understanding the differences between these areas is necessary to monitor the changes that are expected to occur in the upcoming decades. Here, we compared the structure and stability of Antarctic (Potter Cove) and sub-Antarctic (Beagle Channel) marine food webs. We compiled species trophic interactions (predator-prey) and calculated complexity, structure and stability metrics. Even if both food webs presented the same connectance, we found important differences between them. The Beagle Channel food web is more complex, but less stable and sensitive to the loss of its most connected species, while the Potter Cove food web presented lower complexity and greater stability against perturbations.</t>
  </si>
  <si>
    <t>[Diamela Rodriguez, Iara; Ariel Saravia, Leonardo] Univ Nacl Gen Sarmiento UNGS, Inst Ciencias ICI, Biol &amp; Bioinformat Area, Juan Maria Gutierrez 1150, RA-1613 Los Polvorines, Buenos Aires, Argentina; [Diamela Rodriguez, Iara; Marina, Tomas, I; Ruth Schloss, Irene] Consejo Nacl Invest Cient &amp; Tecn, Buenos Aires, DF, Argentina; [Marina, Tomas, I; Ruth Schloss, Irene] Consejo Nacl Invest Cient &amp; Tecn, Lab Oceanog Biol, Ctr Austral Invest Cient CADIC, Bernardo Houssay 200, RA-9410 Ushuaia, Argentina; [Ruth Schloss, Irene] Inst Antart Argentino IAA, Av 25 Mayo 1147, RA-1650 San Martin, Buenos Aires, Argentina</t>
  </si>
  <si>
    <t>Consejo Nacional de Investigaciones Cientificas y Tecnicas (CONICET); Consejo Nacional de Investigaciones Cientificas y Tecnicas (CONICET)</t>
  </si>
  <si>
    <t>Saravia, LA (corresponding author), Univ Nacl Gen Sarmiento UNGS, Inst Ciencias ICI, Biol &amp; Bioinformat Area, Juan Maria Gutierrez 1150, RA-1613 Los Polvorines, Buenos Aires, Argentina.</t>
  </si>
  <si>
    <t>lsaravia@campus.ungs.edu.ar</t>
  </si>
  <si>
    <t>Marina, Tomas Ignacio/U-3460-2018; Saravia, Leonardo/AAM-3461-2021</t>
  </si>
  <si>
    <t>Saravia, Leonardo/0000-0002-7911-4398; Rodriguez, Iara Diamela/0000-0002-9153-9815</t>
  </si>
  <si>
    <t>Consejo Nacional de Investigaciones Cientificas y Tecnicas (CONICET, Argentina); Universidad Nacional de General Sarmiento (UNGS); CONICET-UNGS Argentina [PIO 144-20140100035-CO]</t>
  </si>
  <si>
    <t>Consejo Nacional de Investigaciones Cientificas y Tecnicas (CONICET, Argentina)(Consejo Nacional de Investigaciones Cientificas y Tecnicas (CONICET)); Universidad Nacional de General Sarmiento (UNGS); CONICET-UNGS Argentina</t>
  </si>
  <si>
    <t>This research was supported by Consejo Nacional de Investigaciones Cientificas y T ' ecnicas (CONICET, Argentina) and Universidad Nacional de General Sarmiento (UNGS). The work was partially funded by PIO 144-20140100035-CO CONICET-UNGS Argentina and conducted in the frame of IDR Ph.D. studies, whose scholarship (CONICET, Argentina) supported the rest of the study. There was no additional external funding received for this study.</t>
  </si>
  <si>
    <t>0141-1136</t>
  </si>
  <si>
    <t>1879-0291</t>
  </si>
  <si>
    <t>MAR ENVIRON RES</t>
  </si>
  <si>
    <t>Mar. Environ. Res.</t>
  </si>
  <si>
    <t>10.1016/j.marenvres.2022.105561</t>
  </si>
  <si>
    <t>Environmental Sciences; Marine &amp; Freshwater Biology; Toxicology</t>
  </si>
  <si>
    <t>Environmental Sciences &amp; Ecology; Marine &amp; Freshwater Biology; Toxicology</t>
  </si>
  <si>
    <t>ZL5HY</t>
  </si>
  <si>
    <t>WOS:000763709300001</t>
  </si>
  <si>
    <t>Ma, T; Tarasov, PE; Huang, KY; Leipe, C; Man, ML; Zheng, Z</t>
  </si>
  <si>
    <t>Ma, Ting; Tarasov, Pavel E.; Huang, Kangyou; Leipe, Christian; Man, Meiling; Zheng, Zhuo</t>
  </si>
  <si>
    <t>Intensified climate drying and cooling during the last glacial culmination (20.8-17.5 cal ka BP) in the south-eastern Asian monsoon domain inferred from a high-resolution pollen record</t>
  </si>
  <si>
    <t>Last glacial maximum; Pollen record; Vegetation; East asian summer monsoon; The western pacific ocean</t>
  </si>
  <si>
    <t>VEGETATION RESPONSE; LAKE RECORDS; NEW-ZEALAND; SEA-LEVEL; CHINA SEA; MAXIMUM; ICE; MIDHOLOCENE; LGM; PALAEOVEGETATION</t>
  </si>
  <si>
    <t>Recent global sea-level data indicate that a final growth of ice volume occurred towards the end of the Last Glacial Maximum (LGM). The LGM culmination, LGM-b, lasted from about 21 to 17 ka and was followed by rapid deglaciation. This finding suggests a millennial-scale state with extreme glacial conditions (at least regionally) that immediately preceded the onset of full deglaciation marked by Heinrich event 1. In order to check how regional climate and vegetation in subtropical East Asia responded to the global-scale LGM culmination and the deglaciation onset, a new high-resolution pollen record from the Lijiafang peatland (LJF: 26 degrees 36.849'N, 116 degrees 08.463'E, 270 m) in Southeast China was generated. This record demonstrates a massive expansion of herbs during LGM-b. The dominance of herbaceous pollen suggests sparse forest cover in the lowlands of the subtropical East Asian Summer Monsoon (EASM) region and indicates an approximately 3300-year-long interval of the driest climate conditions of the entire last glacial-interglacial cycle. The LJF pollen-based reconstruction is consistent with the other vegetation records from the larger region, suggesting the climate change during LGM-b significantly impacted terrestrial ecosystems. The environmental change in the EASM region is likely linked to the Sea Surface Temperatures (SSTs) decrease that weakened the Walker cell convection over the western Pacific Ocean and reduced convection and moisture content in the Intertropical Convergence Zone. The strengthened decrease in moisture supply during LGM-b seems to have resulted in extreme and widespread mega-droughts in the EASM and Australian regions. Our data indicate that the cold SSTs may have also decreased air temperatures in the neighboring parts of the continents. We suggest that the widespread SSTs decline in the western Pacific may have been linked to the cooling of the Southern Ocean and the expansion of Antarctic sea ice during LGM-b. (C) 2022 Elsevier Ltd. All rights reserved.</t>
  </si>
  <si>
    <t>[Ma, Ting] Beijing Normal Univ, Zhuhai Branch State Key Lab Earth Surface Proc &amp;, Zhuhai 519087, Peoples R China; [Tarasov, Pavel E.] Free Univ Berlin, Inst Geol Sci, Paleontol Sect, D-12249 Berlin, Germany; [Huang, Kangyou; Man, Meiling; Zheng, Zhuo] Sun Yat Sen Univ, Sch Earth Sci &amp; Engn, Zhuhai 519082, Peoples R China; [Leipe, Christian] Nagoya Univ, Inst Space Earth Environm Res, Nagoya, Aichi 4648601, Japan; [Zheng, Zhuo] Southern Marine Sci &amp; Engn Guangdong Lab, Zhuhai 519082, Peoples R China</t>
  </si>
  <si>
    <t>Beijing Normal University; Free University of Berlin; Sun Yat Sen University; Nagoya University; Southern Marine Science &amp; Engineering Guangdong Laboratory</t>
  </si>
  <si>
    <t>Zheng, Z (corresponding author), Sun Yat Sen Univ, Sch Earth Sci &amp; Engn, Zhuhai 519082, Peoples R China.</t>
  </si>
  <si>
    <t>eeszzhuo@mail.sysu.edu.cn</t>
  </si>
  <si>
    <t>huang, kangyou/JPL-4936-2023</t>
  </si>
  <si>
    <t>/0000-0002-7219-5009; Zheng, Zhuo/0000-0003-1698-1440; Ma, Ting/0000-0001-8661-5097; Man, Meiling/0000-0002-8982-5222; Leipe, Christian/0000-0002-0805-2345</t>
  </si>
  <si>
    <t>National Natural Science Foundation of China [42072205, 41701222]; China Postdoctoral Science Foundation [2017M612793]; Innovation Group Project of Southern Marine Science and Engineering Guangdong Laboratory at Zhuhai [311020002]</t>
  </si>
  <si>
    <t>National Natural Science Foundation of China(National Natural Science Foundation of China (NSFC)); China Postdoctoral Science Foundation(China Postdoctoral Science Foundation); Innovation Group Project of Southern Marine Science and Engineering Guangdong Laboratory at Zhuhai</t>
  </si>
  <si>
    <t>We thank Jun Cheng for discussions relating to driving mechanisms of the climate change in the subtropical EASM region. This work was supported by National Natural Science Foundation of China (grants 42072205 and 41701222), China Postdoctoral Science Foundation (grant 2017M612793), and the Innovation Group Project of Southern Marine Science and Engineering Guangdong Laboratory at Zhuhai (grant 311020002).</t>
  </si>
  <si>
    <t>10.1016/j.quascirev.2022.107371</t>
  </si>
  <si>
    <t>WOS:000766911200008</t>
  </si>
  <si>
    <t>Mills, WF; Ibañez, AE; Bustamante, P; Carneiro, APB; Bearhop, S; Cherel, Y; Mariano-Jelicich, R; McGill, RAR; Montalti, D; Votier, SC; Phillips, RA</t>
  </si>
  <si>
    <t>Mills, William F.; Ibanez, Andres E.; Bustamante, Paco; Carneiro, Ana P. B.; Bearhop, Stuart; Cherel, Yves; Mariano-Jelicich, Rocio; McGill, Rona A. R.; Montalti, Diego; Votier, Stephen C.; Phillips, Richard A.</t>
  </si>
  <si>
    <t>Spatial and sex differences in mercury contamination of skuas in the Southern Ocean</t>
  </si>
  <si>
    <t>Seabird; Pollutants; Metals; Stable isotopes; Antarctica; Southern hemisphere</t>
  </si>
  <si>
    <t>PERSISTENT ORGANIC POLLUTANTS; CATHARACTA-ANTARCTICA-LONNBERGI; STABLE-ISOTOPE SIGNATURES; LONG-TERM CHANGES; BROWN SKUAS; FORAGING AREAS; MIGRATION STRATEGIES; HABITAT PREFERENCES; SIZE DIMORPHISM; POPULATION-SIZE</t>
  </si>
  <si>
    <t>Antarctic marine ecosystems are often considered to be pristine environments, yet wildlife in the polar regions may still be exposed to high levels of environmental contaminants. Here, we measured total mercury (THg) concentrations in blood samples from adult brown skuas Stercorarius antarcticus lonnbergi (n = 82) from three breeding colonies south of the Antarctic Polar Front in the Southern Ocean (southwest Atlantic region): (i) Bahia Esperanza/Hope Bay, Antarctic Peninsula; (ii) Signy Island, South Orkney Islands; and, (iii) Bird Island, South Georgia. Blood THg concentrations increased from the Antarctic Peninsula towards the Antarctic Polar Front, such that Hg contamination was lowest at Bahia Esperanza/Hope Bay (mean +/- SD, 0.95 +/- 0.45 mu g g(-1) dw), intermediate at Signy Island (3.42 +/- 2.29 mu g g(-1) dw) and highest at Bird Island (4.47 +/- 1.10 mu g g(-1) dw). Blood THg concentrations also showed a weak positive correlation with delta N-15 values, likely reflecting the biomagnification process. Males had higher Hg burdens than females, which may reflect deposition of Hg into eggs by females or potentially differences in their trophic ecology. These data provide important insights into intraspecific variation in contamination and the geographic transfer of Hg to seabirds in the Southern Ocean.</t>
  </si>
  <si>
    <t>[Mills, William F.; Phillips, Richard A.] NERC, British Antarctic Survey, Cambridge CB3 0ET, England; [Mills, William F.; Bearhop, Stuart] Univ Exeter, Ctr Ecol &amp; Conservat, Exeter TR10 9EZ, Cornwall, England; [Ibanez, Andres E.; Montalti, Diego] Museo La Plata FCNyM UNLP, CONICET, Secc Ornitol, Museo La Plata,Div Zool Vert, Paseo Bosque S-N,B1900FWA, La Plata, Buenos Aires, Argentina; [Bustamante, Paco] La Rochelle Univ, CNRS, Littoral Environm &amp; Soc LIENSs, UMR 7266, 2 Rue Olympe de Gouges, F-17000 La Rochelle, France; [Bustamante, Paco] Inst Univ France IUF, 1 Rue Descartes, F-75005 Paris, France; [Carneiro, Ana P. B.] BirdLife Int, David Attenborough Bldg,Pembroke St, Cambridge CB2 3QZ, England; [Cherel, Yves] La Rochelle Univ, Ctr Etud Biol Chize CEBC, CNRS, UMR 7372, F-79360 Villiers En Bois, France; [Mariano-Jelicich, Rocio] Univ Nacl Mar del Plata, UNMdP CONICET, Inst Invest Marinas &amp; Costeras IIMyC, Mar Del Plata, Argentina; [McGill, Rona A. R.] Scottish Univ Environm Res Ctr, Stable Isotope Ecol Lab, Nat Environm Isotope Facil, E Kilbride G75 0QF, Lanark, Scotland; [Montalti, Diego] Inst Antartico Argentino, 25 Mayo 1143,B1650HMK, San Martin, Buenos Aires, Argentina; [Votier, Stephen C.] Heriot Watt Univ, Lyell Ctr, Edinburgh, Midlothian, Scotland</t>
  </si>
  <si>
    <t>UK Research &amp; Innovation (UKRI); Natural Environment Research Council (NERC); NERC British Antarctic Survey; University of Exeter; National University of La Plata; Museo La Plata; Consejo Nacional de Investigaciones Cientificas y Tecnicas (CONICET); Centre National de la Recherche Scientifique (CNRS); CNRS - Institute of Ecology &amp; Environment (INEE); Institut Universitaire de France; BirdLife International; Centre National de la Recherche Scientifique (CNRS); CNRS - Institute of Ecology &amp; Environment (INEE); Consejo Nacional de Investigaciones Cientificas y Tecnicas (CONICET); National University of Mar del Plata; Scottish Universities Research &amp; Reactor Center; Instituto Antartico Argentino; Heriot Watt University</t>
  </si>
  <si>
    <t>Mills, WF (corresponding author), NERC, British Antarctic Survey, Cambridge CB3 0ET, England.</t>
  </si>
  <si>
    <t>wilmil23@bas.ac.uk</t>
  </si>
  <si>
    <t>McGill, Rona/JAC-6969-2023; Bustamante, Paco/G-5833-2011; Carneiro, Ana Paula/IQT-6077-2023; Mills, William F/AAV-5737-2020; Votier, Stephen/IUO-0154-2023; McGill, Rona/F-1793-2010; Bearhop, Stuart/G-3105-2012</t>
  </si>
  <si>
    <t>Bustamante, Paco/0000-0003-3877-9390; Mills, William F/0000-0001-7170-5794; Votier, Stephen/0000-0002-0976-0167; McGill, Rona/0000-0003-0400-7288; Bearhop, Stuart/0000-0002-5864-0129; , Ana/0000-0003-0573-7549</t>
  </si>
  <si>
    <t>NERC GW4+ Doctoral Training Partnership studentship from the Natural Environment Research Council (NERC) [NE/L002434/1]; Institut Universitaire de France (IUF); Natural Environment Isotope Facility [2325.0920]; CPER (Contrat de Projet Etat-Region); FEDER (Fonds Europeen de Developpement Regional); CONICET; Agencia Nacional de Promocion Cientifica y Tecnologica (ANPCyT); Natural Environment Research Council</t>
  </si>
  <si>
    <t>NERC GW4+ Doctoral Training Partnership studentship from the Natural Environment Research Council (NERC)(UK Research &amp; Innovation (UKRI)Natural Environment Research Council (NERC)); Institut Universitaire de France (IUF); Natural Environment Isotope Facility; CPER (Contrat de Projet Etat-Region); FEDER (Fonds Europeen de Developpement Regional)(European Union (EU)); CONICET(Consejo Nacional de Investigaciones Cientificas y Tecnicas (CONICET)); Agencia Nacional de Promocion Cientifica y Tecnologica (ANPCyT)(ANPCyTSpanish Government); Natural Environment Research Council(UK Research &amp; Innovation (UKRI)Natural Environment Research Council (NERC))</t>
  </si>
  <si>
    <t>William Mills is supported by a NERC GW4+ Doctoral Training Partnership studentship from the Natural Environment Research Council (NERC; grant no. NE/L002434/1). The Institut Universitaire de France (IUF) is acknowledged for its support to Paco Bustamante as a Senior Member. Stable isotope analyses were funded by the Natural Environment Isotope Facility (grant no. 2325.0920). The authors are grateful to Maud Brault-Favrou for her assistance with Hg analyses. Thanks are also due to the CPER (Contrat de Projet Etat-Region) and the FEDER (Fonds Europeen de Developpement Regional) for funding the AMA of LIENSs laboratory. The authors are also grateful to the Direccion Nacional del Antartico (DNA) and Instituto Antartico Argentino (IAA) for the support of the field-work activities and logistics in the Antarctic. Thanks to CONICET and Agencia Nacional de Promocion Cientifica y Tecnologica (ANPCyT) for the financial support. Comments from two anonymous reviewers greatly improved the manuscript. This work represents a contribution to the Ecosystems component of the British Antarctic Survey Polar Science for Planet Earth Programme, funded by the Natural Environment Research Council.</t>
  </si>
  <si>
    <t>10.1016/j.envpol.2022.118841</t>
  </si>
  <si>
    <t>ZG3CK</t>
  </si>
  <si>
    <t>WOS:000760136500004</t>
  </si>
  <si>
    <t>Rybak, M; Peszek, L; Skoczylas, L; Ludwig, TAV</t>
  </si>
  <si>
    <t>Rybak, Mateusz; Peszek, Lukasz; Skoczylas, Lukasz; Ludwig, Thelma Alvim Veiga</t>
  </si>
  <si>
    <t>A new small-celled diatom from Brazil-Luticola minutissima sp. nov., with comparison to the type of the Antarctic L. neglecta Zidarova, Levkov &amp; Van de Vijver</t>
  </si>
  <si>
    <t>PHYTOTAXA</t>
  </si>
  <si>
    <t>Bacillariophyta; new taxa; Luticola; bryophytes; South America</t>
  </si>
  <si>
    <t>SPECIES BACILLARIOPHYTA; ISLAND</t>
  </si>
  <si>
    <t>The samples for this study were collected from terrestrial mosses and lichens growing on palm tree trunks and concrete walls in the city of Rio de Janeiro, south-eastern Brazil. During the investigation on diatom diversity, a new species from the genus Luticola was found. The new species occurred individually at all sampling sites. The aim of this paper is to provide a morphological and ecological description of Luticola minutissima sp. nov. from an aerophytic environment. The species is characterized by a small valve size (5.2-16.8 mu m length and 3.7-4.4 wide) and abruptly hooked proximal raphe endings (ca. 90-degree angle). Additionally for comparison, type material of the most similar species, Luticola neglecta Zidarova, Levkov &amp; Van de Vijver, was studied and new information for the ultrastructure of the latter species is provided as well.</t>
  </si>
  <si>
    <t>[Rybak, Mateusz; Peszek, Lukasz] Univ Rzeszow, Inst Agr Sci Land Management &amp; Environm Protect, Dept Agroecol &amp; Foret Utilizat, Ul Cwiklinskiej 1A, PL-35601 Rzeszow, Poland; [Skoczylas, Lukasz] Uniwersytecki Szpital Kliniczny J Mikulicza Radec, Ul Borowska 213, PL-50556 Wroclaw, Poland; [Ludwig, Thelma Alvim Veiga] Univ Fed Parana, Bot Dept, Ctr Politecn, CP 19031, BR-81531990 Curitiba, PR, Brazil</t>
  </si>
  <si>
    <t>University of Rzeszow; Universidade Federal do Parana</t>
  </si>
  <si>
    <t>Peszek, L (corresponding author), Univ Rzeszow, Inst Agr Sci Land Management &amp; Environm Protect, Dept Agroecol &amp; Foret Utilizat, Ul Cwiklinskiej 1A, PL-35601 Rzeszow, Poland.</t>
  </si>
  <si>
    <t>matrybak91@gmail.com; lpeszek@ur.edu.pl; lukasz.skoczylas93@gmail.com; veiga13ufpr@gmail.com</t>
  </si>
  <si>
    <t>LUDWIG, THELMA Veiga/GXA-1143-2022</t>
  </si>
  <si>
    <t>LUDWIG, THELMA Veiga/0000-0003-0576-3499; Peszek, Lukasz/0000-0002-9132-2210; Rybak, Mateusz/0000-0001-8998-9537</t>
  </si>
  <si>
    <t>statutory founding of department of Agroecology and Forest Utilization; Ministry of Science and Higher Education [026/RID/2018/19]</t>
  </si>
  <si>
    <t>statutory founding of department of Agroecology and Forest Utilization; Ministry of Science and Higher Education(Ministry of Science and Higher Education, Poland)</t>
  </si>
  <si>
    <t>Studies were supported by statutory founding of department of Agroecology and Forest Utilization and by the project, funded by the Ministry of Science and Higher Education under the name Regional Excellence Initiative in the years 2019-2022, Project No. 026/RID/2018/19.</t>
  </si>
  <si>
    <t>MAGNOLIA PRESS</t>
  </si>
  <si>
    <t>AUCKLAND</t>
  </si>
  <si>
    <t>250F Marua Road Mt Wellington, AUCKLAND, ST LUKES 1023, NEW ZEALAND</t>
  </si>
  <si>
    <t>1179-3155</t>
  </si>
  <si>
    <t>1179-3163</t>
  </si>
  <si>
    <t>Phytotaxa</t>
  </si>
  <si>
    <t>JAN 11</t>
  </si>
  <si>
    <t>10.11646/phytotaxa.530.3.4</t>
  </si>
  <si>
    <t>YH9CP</t>
  </si>
  <si>
    <t>WOS:000743457300001</t>
  </si>
  <si>
    <t>Paleari, CI; Mekhaldi, F; Adolphi, F; Christl, M; Vockenhuber, C; Gautschi, P; Beer, J; Brehm, N; Erhardt, T; Synal, HA; Wacker, L; Wilhelms, F; Muscheler, R</t>
  </si>
  <si>
    <t>Paleari, Chiara I.; Mekhaldi, Florian; Adolphi, Florian; Christl, Marcus; Vockenhuber, Christof; Gautschi, Philip; Beer, Jurg; Brehm, Nicolas; Erhardt, Tobias; Synal, Hans-Arno; Wacker, Lukas; Wilhelms, Frank; Muscheler, Raimund</t>
  </si>
  <si>
    <t>Cosmogenic radionuclides reveal an extreme solar particle storm near a solar minimum 9125 years BP</t>
  </si>
  <si>
    <t>ANNUAL BE-10 DATA; ICE CORE PROJECT; COSMIC-RAY EVENT; PROTON EVENTS; AD 774-775; C-14; GREENLAND; CLIMATE; CALIBRATION; ANTARCTICA</t>
  </si>
  <si>
    <t>During solar storms, the Sun expels large amounts of energetic particles (SEP) that can react with the Earth's atmospheric constituents and produce cosmogenic radionuclides such as C-14, Be-10 and Cl-36. Here we present Be-10 and Cl-36 data measured in ice cores from Greenland and Antarctica. The data consistently show one of the largest Be-10 and Cl-36 production peaks detected so far, most likely produced by an extreme SEP event that hit Earth 9125 years BP (before present, i.e., before 1950 CE), i.e., 7176 BCE. Using the Cl-36/Be-10 ratio, we demonstrate that this event was characterized by a very hard energy spectrum and was possibly up to two orders of magnitude larger than any SEP event during the instrumental period. Furthermore, we provide Be-10-based evidence that, contrary to expectations, the SEP event occurred near a solar minimum. Cosmogenic radionuclides from ice cores and tree rings indicate that an extreme solar proton event has hit Earth about 9200 years ago. Contrary to expectations, the event occurred during a quiet phase of the Sun within the 11 year solar cycle.</t>
  </si>
  <si>
    <t>[Paleari, Chiara I.; Mekhaldi, Florian; Muscheler, Raimund] Lund Univ, Dept Geol Quaternary Sci, S-22362 Lund, Sweden; [Mekhaldi, Florian] Ice Dynam &amp; Paleoclimate, British Antarctic Survey, Cambridge CB3 0ET, England; [Adolphi, Florian; Erhardt, Tobias; Wilhelms, Frank] Helmholtz Zentrum Polar &amp; Meeresforsch, Alfred Wegener Inst, D-27570 Bremerhaven, Germany; [Christl, Marcus; Vockenhuber, Christof; Gautschi, Philip; Brehm, Nicolas; Synal, Hans-Arno; Wacker, Lukas] Swiss Fed Inst Technol, Lab Ion Beam Phys, CH-8093 Zurich, Switzerland; [Beer, Jurg] Swiss Fed Inst Aquat Sci &amp; Technol, Dept Surface Waters, CH-8600 Dubendorf, Switzerland; [Erhardt, Tobias] Univ Bern, Inst Phys, Climate &amp; Environm Phys, CH-3012 Bern, Switzerland; [Erhardt, Tobias] Univ Bern, Oeschger Ctr Climate Change Res, CH-3012 Bern, Switzerland; [Wilhelms, Frank] Univ Gottingen, Geosci Ctr, Dept Crystallog, Gottingen, Germany</t>
  </si>
  <si>
    <t>Lund University; UK Research &amp; Innovation (UKRI); Natural Environment Research Council (NERC); NERC British Antarctic Survey; Helmholtz Association; Alfred Wegener Institute, Helmholtz Centre for Polar &amp; Marine Research; Swiss Federal Institutes of Technology Domain; ETH Zurich; Swiss Federal Institutes of Technology Domain; Swiss Federal Institute of Aquatic Science &amp; Technology (EAWAG); University of Bern; University of Bern; University of Gottingen</t>
  </si>
  <si>
    <t>Paleari, CI (corresponding author), Lund Univ, Dept Geol Quaternary Sci, S-22362 Lund, Sweden.</t>
  </si>
  <si>
    <t>chiara.paleari@geol.lu.se</t>
  </si>
  <si>
    <t>Christl, Marcus/J-4769-2016; Erhardt, Tobias/C-4589-2019; Synal, Hans-Arno/JYQ-3205-2024</t>
  </si>
  <si>
    <t>Christl, Marcus/0000-0002-3131-6652; Erhardt, Tobias/0000-0002-6683-6746; Vockenhuber, Christof/0000-0002-2141-0733; Gautschi, Philip/0009-0004-6882-3625; Paleari, Chiara/0000-0002-0007-5155; Mekhaldi, Florian/0000-0001-8323-2955; Adolphi, Florian/0000-0003-0014-8753</t>
  </si>
  <si>
    <t>Royal Physiographic Society of Lund grant; Swedish Research Council [DNR2013-8421, DNR2018-05469, 2020-00420]; RADIATE project under from the EU Research and Innovation programme HORIZON 2020 [824096]; Helmholtz Association [VH-NG-1501]; EGRIP project; Denmark (A. P. MOller Foundation, University of Copenhagen); USA (US National Science Foundation, Office of Polar Programs); Germany (Alfred Wegener Institute, Helmholtz Centre for Polar and Marine Research); Japan (National Institute of Polar Research and Arctic Challenge for Sustainability); Norway (University of Bergen); Norway (Trond Mohn Foundation); Switzerland (Swiss National Science Foundation); France (French Polar Institute Paul-Emile Victor, Institute for Geosciences and Environmental research); Canada (University of Manitoba); China (Chinese Academy of Sciences); China (Beijing Normal University); Denmark (SNF); Belgium (FNRS-CFB); France (IFRTP); France (INSU/CNRS); Germany (AWI); Iceland (RannIs); Japan (MEXT); Sweden (SPRS); Switzerland (SNF); United States of America (NSF); Swedish Research Council [2020-00420] Funding Source: Swedish Research Council</t>
  </si>
  <si>
    <t>Royal Physiographic Society of Lund grant; Swedish Research Council(Swedish Research Council); RADIATE project under from the EU Research and Innovation programme HORIZON 2020; Helmholtz Association(Helmholtz Association); EGRIP project; Denmark (A. P. MOller Foundation, University of Copenhagen); USA (US National Science Foundation, Office of Polar Programs); Germany (Alfred Wegener Institute, Helmholtz Centre for Polar and Marine Research); Japan (National Institute of Polar Research and Arctic Challenge for Sustainability); Norway (University of Bergen); Norway (Trond Mohn Foundation); Switzerland (Swiss National Science Foundation)(Swiss National Science Foundation (SNSF)); France (French Polar Institute Paul-Emile Victor, Institute for Geosciences and Environmental research); Canada (University of Manitoba); China (Chinese Academy of Sciences); China (Beijing Normal University); Denmark (SNF); Belgium (FNRS-CFB)(Fonds de la Recherche Scientifique - FNRS); France (IFRTP); France (INSU/CNRS)(Centre National de la Recherche Scientifique (CNRS)); Germany (AWI); Iceland (RannIs); Japan (MEXT)(Ministry of Education, Culture, Sports, Science and Technology, Japan (MEXT)); Sweden (SPRS); Switzerland (SNF); United States of America (NSF); Swedish Research Council(Swedish Research Council)</t>
  </si>
  <si>
    <t>This project was supported by a Royal Physiographic Society of Lund grant (to C.P.), the Swedish Research Council Grant DNR2013-8421 and DNR2018-05469 (to R.M.) and by the RADIATE project under the Grant Agreement 824096 from the EU Research and Innovation programme HORIZON 2020. F.A. acknowledges funding by the Helmholtz Association (VH-NG-1501). F.M. acknowledges funding from the Swedish Research Council (2020-00420). T.E. acknowledges the long-term support of ice core research at the University of Bern by the Swiss National Science Foundation (SNSF) and the Oeschger Center for Climate Change Research. We thank Stefanie Muller and Minjie Zheng for the help in the preparation of the samples for AMS measurements. The EGRIP CFA campaign was organized and directed by the Continuous Flow Analysis Group at the Climate and Environmental Physics Group by Tobias Erhardt and Camilla Jensen with support by the EGRIP project. EGRIP project is directed and organized by the Centre for Ice and Climate at the Niels Bohr Institute, University of Copenhagen. They are supported by funding agencies and institutions in Denmark (A. P. MOller Foundation, University of Copenhagen), USA (US National Science Foundation, Office of Polar Programs), Germany (Alfred Wegener Institute, Helmholtz Centre for Polar and Marine Research), Japan (National Institute of Polar Research and Arctic Challenge for Sustainability), Norway (University of Bergen and Trond Mohn Foundation), Switzerland (Swiss National Science Foundation), France (French Polar Institute Paul-Emile Victor, Institute for Geosciences and Environmental research), Canada (University of Manitoba) and China (Chinese Academy of Sciences and Beijing Normal University). The NGRIP ice core project is directed and organized by the Ice and Climate Research Group at the Niels Bohr Institute, University of Copenhagen. It is supported by funding agencies in Denmark (SNF), Belgium (FNRS-CFB), France (IFRTP and INSU/CNRS), Germany (AWI), Iceland (RannIs), Japan (MEXT), Sweden (SPRS), Switzerland (SNF) and the United States of America (NSF).</t>
  </si>
  <si>
    <t>10.1038/s41467-021-27891-4</t>
  </si>
  <si>
    <t>YF5ND</t>
  </si>
  <si>
    <t>WOS:000741852200066</t>
  </si>
  <si>
    <t>Eastwood, N; Stubbings, WA; Abdallah, MAAE; Durance, I; Paavola, J; Dallimer, M; Pantel, JH; Johnson, S; Zhou, JR; Hosking, JS; Brown, JB; Ullah, S; Krause, S; Hannah, DM; Crawford, SE; Widmann, M; Orsini, L</t>
  </si>
  <si>
    <t>Eastwood, Niamh; Stubbings, William A.; Abdallah, Mohamed A. Abou-Elwafa; Durance, Isabelle; Paavola, Jouni; Dallimer, Martin; Pantel, Jelena H.; Johnson, Samuel; Zhou, Jiarui; Hosking, J. Scott; Brown, James B.; Ullah, Sami; Krause, Stephan; Hannah, David M.; Crawford, Sarah E.; Widmann, Martin; Orsini, Luisa</t>
  </si>
  <si>
    <t>The Time Machine framework: monitoring and prediction of biodiversity loss</t>
  </si>
  <si>
    <t>TRENDS IN ECOLOGY &amp; EVOLUTION</t>
  </si>
  <si>
    <t>ECOSYSTEM SERVICES; COMMUNITY COMPOSITION; ENVIRONMENTAL DNA; CHALLENGES; MANAGEMENT; LESSONS; MODELS; IMPACT; LAKES; BIAS</t>
  </si>
  <si>
    <t>Transdisciplinary solutions are needed to achieve the sustainability of ecosystem services for future generations. We propose a framework to identify the causes of ecosystem function loss and to forecast the future of ecosystem services under different climate and pollution scenarios. The framework (i) applies an artificial intelligence (AI) time-series analysis to identify relationships among environmental change, biodiversity dynamics and ecosystem functions; (ii) validates relationships between loss of biodiversity and environmental change in fabricated ecosystems; and (iii) forecasts the likely future of ecosystem services and their socioeconomic impact under different pollution and climate scenarios. We illustrate the framework by applying it to watersheds, and provide system-level approaches that enable natural capital restoration by associating multidecadal biodiversity changes to chemical pollution.</t>
  </si>
  <si>
    <t>[Eastwood, Niamh; Zhou, Jiarui; Orsini, Luisa] Univ Birmingham, Environm Genom Grp, Sch Biosci, Birmingham B15 2TT, W Midlands, England; [Stubbings, William A.; Abdallah, Mohamed A. Abou-Elwafa; Ullah, Sami; Krause, Stephan; Hannah, David M.; Widmann, Martin] Univ Birmingham, Sch Geog Earth &amp; Environm Sci, Birmingham B15 2TT, W Midlands, England; [Durance, Isabelle] Cardiff Univ, Sch Biosci, Cardiff CF10 3AX, Wales; [Durance, Isabelle] Cardiff Univ, Water Res Inst, Cardiff CF10 3AX, Wales; [Paavola, Jouni; Dallimer, Martin] Univ Leeds, Sustainabil Res Inst, Sch Earth &amp; Environm, Leeds LS2 9JT, W Yorkshire, England; [Pantel, Jelena H.] Amer Univ Paris, Dept Comp Sci Math &amp; Environm Sci, 6 Rue Colonel Combes, F-75007 Paris, France; [Johnson, Samuel] Univ Birmingham, Sch Math, Birmingham B15 2TT, W Midlands, England; [Hosking, J. Scott] NERC, British Antarctic Survey, Cambridge CB3 0ET, England; [Johnson, Samuel; Hosking, J. Scott; Orsini, Luisa] Alan Turing Inst, British Lib, 96 Euston Rd, London NW1 2DB, England; [Brown, James B.] Lawrence Berkeley Natl Lab, Environm Genom &amp; Syst Biol Div, Berkeley, CA 94720 USA; [Crawford, Sarah E.] Goethe Univ Frankfurt, Dept Evolutionary Ecol &amp; Environm Toxicol, Inst Ecol Evolut &amp; Divers, D-60438 Frankfurt, Germany; [Ullah, Sami] Univ Birmingham, Birmingham Inst Forest Res, Birmingham B15 2TT, W Midlands, England</t>
  </si>
  <si>
    <t>University of Birmingham; University of Birmingham; Cardiff University; Cardiff University; University of Leeds; The American University of Paris; University of Birmingham; UK Research &amp; Innovation (UKRI); Natural Environment Research Council (NERC); NERC British Antarctic Survey; United States Department of Energy (DOE); Lawrence Berkeley National Laboratory; Goethe University Frankfurt; University of Birmingham</t>
  </si>
  <si>
    <t>Orsini, L (corresponding author), Univ Birmingham, Environm Genom Grp, Sch Biosci, Birmingham B15 2TT, W Midlands, England.;Orsini, L (corresponding author), Alan Turing Inst, British Lib, 96 Euston Rd, London NW1 2DB, England.</t>
  </si>
  <si>
    <t>l.orsini@bham.ac.uk</t>
  </si>
  <si>
    <t>Durance, Isabelle/F-4487-2010; Ullah, Sami/IAM-8005-2023; Paavola, Jouni/A-5413-2010; Hannah, David M./B-9221-2015; Stubbings, William A./AAW-8154-2020; Abdallah, Mohamed Abou-Elwafa/P-8813-2014; Widmann, Martin/P-5178-2015; Johnson, Samuel/P-6780-2014</t>
  </si>
  <si>
    <t>Paavola, Jouni/0000-0001-5720-466X; Hannah, David M./0000-0003-1714-1240; Stubbings, William A./0000-0002-8538-4693; Abdallah, Mohamed Abou-Elwafa/0000-0002-4624-4073; Johnson, Samuel/0000-0002-8648-1735; Crawford, Sarah/0000-0003-4341-701X; Dallimer, Martin/0000-0001-8120-3309; ULLAH, SAMI/0000-0002-9153-8847; Eastwood, Niamh/0000-0003-2969-6091</t>
  </si>
  <si>
    <t>Alan Turing Institute under the EPSRC [EP/N510129/1]; Natural Environment Re-search Council [NE/N005716/1]; MIBTP-BBSRC PhD fellowship [BB/M01116X/1]; NERC [NE/J014818/1, NE/N006216/1, NE/J015105/1, NE/N005716/1, NE/N005678/1, bas0100032] Funding Source: UKRI</t>
  </si>
  <si>
    <t>Alan Turing Institute under the EPSRC(UK Research &amp; Innovation (UKRI)Engineering &amp; Physical Sciences Research Council (EPSRC)); Natural Environment Re-search Council(UK Research &amp; Innovation (UKRI)Natural Environment Research Council (NERC)); MIBTP-BBSRC PhD fellowship; NERC(UK Research &amp; Innovation (UKRI)Natural Environment Research Council (NERC))</t>
  </si>
  <si>
    <t>We thank William Scavone, Kestrel Studio, USA, for the artwork in Figure 1 and Chantal Jackson for the artwork in Figure 2. This work was supported by The Alan Turing Institute under the EPSRC grant EP/N510129/1, the Natural Environment Re-search Council (NE/N005716/1) , and a MIBTP-BBSRC PhD fellowship to N.E. (BB/M01116X/1) .</t>
  </si>
  <si>
    <t>CELL PRESS</t>
  </si>
  <si>
    <t>50 HAMPSHIRE ST, FLOOR 5, CAMBRIDGE, MA 02139 USA</t>
  </si>
  <si>
    <t>0169-5347</t>
  </si>
  <si>
    <t>1872-8383</t>
  </si>
  <si>
    <t>TRENDS ECOL EVOL</t>
  </si>
  <si>
    <t>Trends Ecol. Evol.</t>
  </si>
  <si>
    <t>10.1016/j.tree.2021.09.008</t>
  </si>
  <si>
    <t>Ecology; Evolutionary Biology; Genetics &amp; Heredity</t>
  </si>
  <si>
    <t>Environmental Sciences &amp; Ecology; Evolutionary Biology; Genetics &amp; Heredity</t>
  </si>
  <si>
    <t>YH9XH</t>
  </si>
  <si>
    <t>WOS:000743511900006</t>
  </si>
  <si>
    <t>Stoyancheva, G; Dishliyska, V; Miteva-Staleva, J; Kostadinova, N; Abrashev, R; Angelova, M; Krumova, E</t>
  </si>
  <si>
    <t>Stoyancheva, Galina; Dishliyska, Vladislava; Miteva-Staleva, Jeny; Kostadinova, Nedelina; Abrashev, Radoslav; Angelova, Maria; Krumova, Ekaterina</t>
  </si>
  <si>
    <t>Sequencing and gene expression analysis of catalase genes in Antarctic fungal strain Penicillium griseofulvum P29</t>
  </si>
  <si>
    <t>Antarctic; Penicillium griseofulvum; Cold-active catalase; Gene expression; Cold environment; Soil fungi</t>
  </si>
  <si>
    <t>PEROXIDASE GENE; PURIFICATION; BACTERIA; TERRESTRIAL; TEMPERATURE; MECHANISMS; EVOLUTION; ENZYMES</t>
  </si>
  <si>
    <t>Catalases are key antioxidant enzymes in aerobic organisms, including fungi that mitigate oxidative stress by detoxification of cellular hydrogen peroxide. Filamentous fungi possess an increasing number of catalases that have been object of growing interest. Despite the many studies on catalase enzymes, data on cold-active catalases are extremely scarce. The Antarctic strain Penicillium griseofulvum is a producer of a cold-active catalase. The growth at temperature below optimum lead to enhanced enzyme synthesis as a response to low-temperature induced oxidative stress. The aim of the present study was to detect and sequence the catalase genes present in the P. griseofulvum P29 and to determine whether these genes are associated with cell survival at low temperatures. In addition, the expression level of each of them under cold stress was investigated. Using PCR and sequencing the presence of five catalase genes was evaluated. The expression levels of these fungal catalases were quantified with reverse-transcription Quantitative Real-Time PCR (RT-PCR). The results demonstrated that four of the genes were induced by low temperature as a response to oxidative stress. The most pronounced increase in the expression of the gene cat1, encoding catalase-peroxidase enzyme was measured. The present evidence suggested that these four genes and mainly cat1 are involved in the mechanism enables the growth of P. griseofulvum P29 under conditions of oxidative stress induced by low-temperature.</t>
  </si>
  <si>
    <t>[Stoyancheva, Galina] Bulgarian Acad Sci, Stephan Angeloff Inst Microbiol, Dept Gen Microbiol, 26 Georgi Bonchev Str, Sofia 1113, Bulgaria; [Dishliyska, Vladislava; Miteva-Staleva, Jeny; Kostadinova, Nedelina; Abrashev, Radoslav; Angelova, Maria; Krumova, Ekaterina] Bulgarian Acad Sci, Stephan Angeloff Inst Microbiol, Dept Mycol, 26 Georgi Bonchev Str, Sofia 1113, Bulgaria</t>
  </si>
  <si>
    <t>Bulgarian Academy of Sciences; Stephan Angeloff Institute of Microbiology, Bulgarian Academy of Sciences; Bulgarian Academy of Sciences; Stephan Angeloff Institute of Microbiology, Bulgarian Academy of Sciences</t>
  </si>
  <si>
    <t>Stoyancheva, G (corresponding author), Bulgarian Acad Sci, Stephan Angeloff Inst Microbiol, Dept Gen Microbiol, 26 Georgi Bonchev Str, Sofia 1113, Bulgaria.;Krumova, E (corresponding author), Bulgarian Acad Sci, Stephan Angeloff Inst Microbiol, Dept Mycol, 26 Georgi Bonchev Str, Sofia 1113, Bulgaria.</t>
  </si>
  <si>
    <t>galinadinkova@abv.bg; ekrumova@abv.bg</t>
  </si>
  <si>
    <t>Bulgarian National Science Fund [DN-01/1-2016]</t>
  </si>
  <si>
    <t>This work was financially supported by Grant DN-01/1-2016 at Bulgarian National Science Fund to which we extend our sincere thanks. We are sincerely thankful Prof. David Pearce for his significant contribution to the improvement of the manuscript.</t>
  </si>
  <si>
    <t>10.1007/s00300-021-03001-4</t>
  </si>
  <si>
    <t>WOS:000741604500001</t>
  </si>
  <si>
    <t>Scasso, RA; Ramezani, J; Escapa, I; Elgorriaga, A; Capelli, I</t>
  </si>
  <si>
    <t>Scasso, Roberto A.; Ramezani, J.; Escapa, I; Elgorriaga, A.; Capelli, I</t>
  </si>
  <si>
    <t>U-Pb age constraints on the Jurassic succession and paleoflora of Mount Flora, Antarctic Peninsula</t>
  </si>
  <si>
    <t>INTERNATIONAL JOURNAL OF EARTH SCIENCES</t>
  </si>
  <si>
    <t>Jurassic; Stratigraphy; Palaeogeography; Callovian; Hope Bay; Mount Flora; Antarctic Peninsula; Flora; U-Pb geochronology; Volcanism</t>
  </si>
  <si>
    <t>ZIRCON GEOCHRONOLOGY; SILICIC VOLCANISM; FORELAND BASIN; NEW-ZEALAND; PRECISION; EVOLUTION; PART; ARC; CALIBRATION; VEGETATION</t>
  </si>
  <si>
    <t>The spectacular fossil plant assemblage preserved in the non-marine Mount Flora Formation of the northern Antarctic Peninsula represents the diverse Jurassic flora that once covered the Gondwanan continents at high paleolatitudes. The depositional facies of the formation plays a key role in the tectonic interpretations and basin evolution models that attempt to reconcile large igneous province magmatism, continental break up, and magmatic arc development throughout the Jurassic and Cretaceous. Limited U-Pb in situ geochronology reported from the Mount Flora Formation and adjacent units lack the necessary resolution to overcome ambiguous correlations and biostratigraphic discrepancies. We present two high-precision U-Pb zircon ages (CA-ID-TIMS method) from a distinct tuffaceous interval of the Mount Flora Formation at Hope Bay, which document a terminal Middle Jurassic age (Callovian Stage) for the formation and its paleoflora. In excess of 1400 new collected fossil plant specimens exhibit a highly diverse Jurassic plant association that dominated the Antarctic Peninsula nearly 17 million years after its disappearance from northern Patagonia. This suggests similar paleoecological conditions were established diachronously throughout basins of southern Gondwana, possibly facilitating floral migrations in response to local climate change. The depositional facies of the Mount Flora Formation, its age proximity to the marine Nordenskjold Formation in the Antarctic Larsen Basin and its coincidence with a regional unconformity in the northern Patagonia point out to a complex interplay among magmatic arc development, tectonic extension and continental break up that dominated the geologic and paleoenvironmental evolution of southern Gondwana near the end of the Middle Jurassic.</t>
  </si>
  <si>
    <t>[Scasso, Roberto A.; Capelli, I] Univ Buenos Aires, Fac Ciencias Exactas &amp; Nat, Inst Geociencias Basicas Aplicadas &amp; Ambientales, Dept Cs Geol, Int Guiraldes 2160,Ciudad Univ,Pab 2,C1428EHA, Buenos Aires, DF, Argentina; [Ramezani, J.] MIT, Earth Atmospher &amp; Planetary Sci, 77 Massachusetts Ave, Cambridge, MA 02139 USA; [Escapa, I; Elgorriaga, A.] Museo Paleontol Egidio Feruglio, Av Fontana 140, RA-9100 Trelew, Chubut, Argentina</t>
  </si>
  <si>
    <t>University of Buenos Aires; Massachusetts Institute of Technology (MIT)</t>
  </si>
  <si>
    <t>Scasso, RA (corresponding author), Univ Buenos Aires, Fac Ciencias Exactas &amp; Nat, Inst Geociencias Basicas Aplicadas &amp; Ambientales, Dept Cs Geol, Int Guiraldes 2160,Ciudad Univ,Pab 2,C1428EHA, Buenos Aires, DF, Argentina.</t>
  </si>
  <si>
    <t>rscasso@yahoo.com.ar; ramezani@mit.edu; iescapa@mef.org.ar; aelgorriaga@mef.org.ar; igan.capelli@gmail.com</t>
  </si>
  <si>
    <t>Instituto Antartico Argentino, MIT Isotope Lab</t>
  </si>
  <si>
    <t>Instituto Antartico Argentino, MIT Isotope Lab.</t>
  </si>
  <si>
    <t>1437-3254</t>
  </si>
  <si>
    <t>1437-3262</t>
  </si>
  <si>
    <t>INT J EARTH SCI</t>
  </si>
  <si>
    <t>Int. J. Earth Sci.</t>
  </si>
  <si>
    <t>10.1007/s00531-021-02155-0</t>
  </si>
  <si>
    <t>ZV7FG</t>
  </si>
  <si>
    <t>WOS:000741276300001</t>
  </si>
  <si>
    <t>Shaikhutdinov, N; Gusev, O</t>
  </si>
  <si>
    <t>Shaikhutdinov, Nurislam; Gusev, Oleg</t>
  </si>
  <si>
    <t>Chironomid midges (Diptera) provide insights into genome evolution in extreme environments</t>
  </si>
  <si>
    <t>CURRENT OPINION IN INSECT SCIENCE</t>
  </si>
  <si>
    <t>ANHYDROBIOTIC MIDGE; ANTARCTIC MIDGE; POLYPEDILUM-VANDERPLANKI; DESICCATION TOLERANCE; PAROCHLUS-STEINENII; ANTIOXIDANT SYSTEM; ROOM-TEMPERATURE; EXPRESSION; INSECT; LARVAE</t>
  </si>
  <si>
    <t>Extremophiles often undergo marked changes in genomic architecture, likely as a result of adaptation to the harsh environments they inhabit. These changes can involve gene duplications that affect subsequent gene evolution and the regulation of gene expression. Excellent examples of this are provided by two non-biting chironomid midges (Diptera, Chironomidae): Polypedilum vanderplanki, which in its larval form can withstand almost complete water loss, and Belgica antarctica, which exhibits freeze tolerance. This review presents recent studies on the molecular adaptations and evolutionary features of these and other extremophile chironomid genomes, as well as biotechnological applications of a cell line derived from P. vanderplanki that can survive air-drying. We highlight the importance of genomics in identifying molecular pathways and genomic modifications associated with adaptation to extreme environmental conditions.</t>
  </si>
  <si>
    <t>[Shaikhutdinov, Nurislam; Gusev, Oleg] Kazan Fed Univ, Inst Fundamental Med &amp; Biol, Regulatory Genom Res Ctr, Extreme Biol Lab, Kazan 420012, Russia; [Shaikhutdinov, Nurislam] Skolkovo Inst Sci &amp; Technol, Ctr Life Sci, Moscow 121205, Russia; [Gusev, Oleg] Juntendo Univ, Grad Sch Med, Tokyo 1138421, Japan; [Gusev, Oleg] RIKEN, RIKEN Ctr Integrat Med Sci, Yokohama, Kanagawa 230004, Japan</t>
  </si>
  <si>
    <t>Kazan Federal University; Skolkovo Institute of Science &amp; Technology; Juntendo University; RIKEN</t>
  </si>
  <si>
    <t>Gusev, O (corresponding author), Kazan Fed Univ, Inst Fundamental Med &amp; Biol, Regulatory Genom Res Ctr, Extreme Biol Lab, Kazan 420012, Russia.;Gusev, O (corresponding author), Juntendo Univ, Grad Sch Med, Tokyo 1138421, Japan.;Gusev, O (corresponding author), RIKEN, RIKEN Ctr Integrat Med Sci, Yokohama, Kanagawa 230004, Japan.</t>
  </si>
  <si>
    <t>oleg.gusev@riken.jp</t>
  </si>
  <si>
    <t>Gusev, Oleg/D-9383-2011</t>
  </si>
  <si>
    <t>Gusev, Oleg/0000-0002-6203-9758; Shaikhutdinov, Nurislam/0000-0003-3863-356X</t>
  </si>
  <si>
    <t>Federal Target Program 'Research and Development in Priority Areas of Development of the Russian Scientific and Technological Complex for 2014-2020' of the Ministry of Science and Higher Education of Russian Federation [RFMEFI61419X0004]</t>
  </si>
  <si>
    <t>Federal Target Program 'Research and Development in Priority Areas of Development of the Russian Scientific and Technological Complex for 2014-2020' of the Ministry of Science and Higher Education of Russian Federation</t>
  </si>
  <si>
    <t>This research was funded by the Federal Target Program 'Research and Development in Priority Areas of Development of the Russian Scientific and Technological Complex for 2014-2020' of the Ministry of Science and Higher Education of Russian Federation No. RFMEFI61419X0004. We gratefully acknowledge Dinara Kaumova for illustrations.</t>
  </si>
  <si>
    <t>2214-5745</t>
  </si>
  <si>
    <t>2214-5753</t>
  </si>
  <si>
    <t>CURR OPIN INSECT SCI</t>
  </si>
  <si>
    <t>Curr. Opin. Insect Sci.</t>
  </si>
  <si>
    <t>10.1016/j.cois.2021.12.009</t>
  </si>
  <si>
    <t>Biology; Ecology; Entomology</t>
  </si>
  <si>
    <t>Life Sciences &amp; Biomedicine - Other Topics; Environmental Sciences &amp; Ecology; Entomology</t>
  </si>
  <si>
    <t>1A1TW</t>
  </si>
  <si>
    <t>WOS:000791548800009</t>
  </si>
  <si>
    <t>Neelavannan, K; Hussain, SM; Sangode, SJ; Prakasam, M; Sen, IS; Veerasingam, S; Tyagi, A; Kumar, P; Singh, P</t>
  </si>
  <si>
    <t>Neelavannan, Kannaiyan; Hussain, Shaik Mohammad; Sangode, Satish J.; Prakasam, Muthusamy; Sen, Indra Sekhar; Veerasingam, Subramanian; Tyagi, Abhishek; Kumar, Pankaj; Singh, Pramod</t>
  </si>
  <si>
    <t>A 51 ka sedimentary sequence in a seamount basin, Eastern Arabian Sea: Records for paleoceanographic and paleoclimate conditions</t>
  </si>
  <si>
    <t>JOURNAL OF ASIAN EARTH SCIENCES</t>
  </si>
  <si>
    <t>Off Goa; Seamount basin; Marine Isotope Stage; Paleoceanographic; Eastern Arabian Sea</t>
  </si>
  <si>
    <t>DEEP-WATER; PRIMARY PRODUCTIVITY; GEOCHEMICAL EVIDENCE; CONTINENTAL-SHELF; LATE PLEISTOCENE; SOUTHWEST COAST; LATE QUATERNARY; ORGANIC-CARBON; CLIMATE-CHANGE; PACIFIC-OCEAN</t>
  </si>
  <si>
    <t>A 5.4 m thick sediment core at ~ 517 m water depth from a seamount basin off the Goa coast in the Eastern Arabian Sea (EAS) is examined for the mineral magnetic, carbonate and organic carbon variability. The 51 ka BP dated record is represented by Marine Isotope Stages (MIS) 3 to 1 under varying rates of sedimentation from 1.9 to 5.2 cm/ka. Comparison with records from adjacent cores for OC, TN, and CaCO3, this study indicates strong coupling of the seamount basin sedimentation with paleo-oceanographic conditions governed by southwest (SW) monsoon. The mineral magnetic parameters assigned three zones of variable paleo-oceanographic-paleoclimatic conditions marked by the interplay of high coercivity (oxidative) and low coercivity (reducing) mineralogy, that can be attributed to various factors including ocean ventilation governed by bottom water inflow of oxygendepleted Sub-Antarctic Mode Waters and Antarctic Intermediate Water flows (SAMW-AAIW). This study emphasizes the significance of seamount basins as faithful recorders of long-term thermocline changes along with strong coupling to paleoceanographic conditions.</t>
  </si>
  <si>
    <t>[Neelavannan, Kannaiyan; Hussain, Shaik Mohammad] Univ Madras, Dept Geol, Chennai 600025, Tamil Nadu, India; [Neelavannan, Kannaiyan; Sen, Indra Sekhar] Indian Inst Technol Kanpur, Dept Earth Sci, Kanpur 208016, Uttar Pradesh, India; [Sangode, Satish J.] Savitribai Phule Pune Univ, Dept Geol, Pune 411007, Maharashtra, India; [Prakasam, Muthusamy] Wadia Inst Himalayan Geol, Dehra Dun 248001, Uttar Pradesh, India; [Veerasingam, Subramanian] Qatar Univ, Environm Sci Ctr, Doha 2713, Qatar; [Tyagi, Abhishek] Natl Ctr Polar &amp; Ocean Res, Vasco Da Gama 403804, Goa, India; [Kumar, Pankaj] Interuniv Accelerator Ctr, New Delhi 110067, India; [Singh, Pramod] Pondicherry Univ, Dept Earth Sci, Pondicherry 605014, India</t>
  </si>
  <si>
    <t>University of Madras; Indian Institute of Technology System (IIT System); Indian Institute of Technology (IIT) - Kanpur; Savitribai Phule Pune University; Department of Science &amp; Technology (India); Wadia Institute of Himalayan Geology (WIHG); Qatar University; Ministry of Earth Sciences (MoES) - India; National Centre for Polar and Ocean Research (NCPOR); Inter-University Accelerator Centre; Pondicherry University</t>
  </si>
  <si>
    <t>Neelavannan, K (corresponding author), Univ Madras, Dept Geol, Chennai 600025, Tamil Nadu, India.;Neelavannan, K (corresponding author), Indian Inst Technol Kanpur, Dept Earth Sci, Kanpur 208016, Uttar Pradesh, India.</t>
  </si>
  <si>
    <t>neela@iitk.ac.in</t>
  </si>
  <si>
    <t>S, Veerasingam/H-7203-2012; Kumar, Pankaj/M-8612-2015; Sen, Indra/S-4611-2019</t>
  </si>
  <si>
    <t>Kumar, Pankaj/0000-0001-7050-582X; Sen, Indra/0000-0001-7302-2313; Muthusamy, PRAKASAM/0000-0002-2911-5229; Neelavannan, Kannaiyan/0000-0002-0167-4299</t>
  </si>
  <si>
    <t>Department of Science and Technology, Promotion of University Research and Scientific Excellence (DST-PURSE) [C.5/JRF-PURSE Phase II/Geology/2014/655/DT: 15.12.2014]</t>
  </si>
  <si>
    <t>Department of Science and Technology, Promotion of University Research and Scientific Excellence (DST-PURSE)</t>
  </si>
  <si>
    <t>The author K.N is grateful to the Department of Science and Technology, Promotion of University Research and Scientific Excellence (DST-PURSE), for providing Junior Research Fellowship (JRF), File No. C.5/JRF-PURSE Phase II/Geology/2014/655/DT: 15.12.2014.</t>
  </si>
  <si>
    <t>1367-9120</t>
  </si>
  <si>
    <t>1878-5786</t>
  </si>
  <si>
    <t>J ASIAN EARTH SCI</t>
  </si>
  <si>
    <t>J. Asian Earth Sci.</t>
  </si>
  <si>
    <t>10.1016/j.jseaes.2022.105086</t>
  </si>
  <si>
    <t>0W6XU</t>
  </si>
  <si>
    <t>WOS:000789168800003</t>
  </si>
  <si>
    <t>Tekin, Z; Karlidag, NE; Özdogan, N; Kocoglu, ES; Bakirdere, S</t>
  </si>
  <si>
    <t>Tekin, Zeynep; Karlidag, Nazime Ebrar; Ozdogan, Nizamettin; Kocoglu, Elif Seda; Bakirdere, Sezgin</t>
  </si>
  <si>
    <t>Dispersive solid phase extraction based on reduced graphene oxide modified Fe3O4 nanocomposite for trace determination of parabens in rock, soil, moss, seaweed, feces, and water samples from Horseshoe and Faure Islands</t>
  </si>
  <si>
    <t>JOURNAL OF HAZARDOUS MATERIALS</t>
  </si>
  <si>
    <t>Parabens; Reduced graphene oxide; Magnetic nanoparticles; High performance liquid chromatography; Antarctica</t>
  </si>
  <si>
    <t>PERSISTENT ORGANIC POLLUTANTS; WALLED CARBON NANOTUBES; MAGNETIC NANOPARTICLES; GAS-CHROMATOGRAPHY; IMPRINTED POLYMER; REMOVAL; MICROEXTRACTION; PRESERVATIVES; RESIDUES</t>
  </si>
  <si>
    <t>This study reports an efficient, green, sensitive and simple analytical protocol for trace determination of methyl paraben, ethyl paraben, propyl paraben, butylparaben and benzyl paraben by high-performance liquid chromatography-ultraviolet detection (HPLC-UV). The analytes were preconcentrated using an ultrasonication supported (US) dispersive solid phase extraction (DSPE) method based on reduced graphene oxide (rGO) modified iron nanoparticles (US-Fe3O4@rGO-DSPE). A reversed-phase C18 column and an isocratic elution program comprising of 20 mM phosphate buffer (pH 4.50) and acetonitrile(58:42, v/v) were used to elute and separate the analytes for detection. The limits of detection determined for the analytes were very low and were in the range of 0.02 - 0.16 ng mL-1. The coefficients of determination obtained for the analytes ranged from 0.9973 to 0.9998, and this validated good linearity of the method.Percent relative standard deviations obtained in the range of 2.5 - 10.6% verified the method's high intraday repeatability. Accuracy of the proposed method was assessed with spiking experiments performed on complex sample matrices. Percent recoveries calculated for spiked soil, artificial seawater and seaweed samples were in acceptable ranges of 95 - 121%, 87 - 117% and 85 - 111%, respectively. These figures of merit suggest that HPLC-UV coupled with the US-Fe3O4@rGO-DSPEmethod is suitable for the determination of parabens in Antarctic samples.</t>
  </si>
  <si>
    <t>[Tekin, Zeynep; Karlidag, Nazime Ebrar; Kocoglu, Elif Seda; Bakirdere, Sezgin] Yildiz Tech Univ, Dept Chem, TR-34349 Istanbul, Turkey; [Ozdogan, Nizamettin] Bulent Ecevit Univ, Inst Sci, Environm Engineer Dept, TR-67100 Zonguldak, Turkey; [Bakirdere, Sezgin] Turkish Acad Sci TUBA, Vedat Dalokay St 112, TR-06670 Ankara, Turkey</t>
  </si>
  <si>
    <t>Yildiz Technical University; Bulent Ecevit University; Turkish Academy of Sciences</t>
  </si>
  <si>
    <t>Bakirdere, S (corresponding author), Yildiz Tech Univ, Dept Chem, TR-34349 Istanbul, Turkey.</t>
  </si>
  <si>
    <t>bsezgin23@yahoo.com</t>
  </si>
  <si>
    <t>Tekin, Zeynep/HJP-8582-2023; Koçoğlu, Elif Seda/HJY-8895-2023; BAKIRDERE, Sezgin/ABU-6359-2022; koçoğlu, elif seda/GOJ-9371-2022</t>
  </si>
  <si>
    <t>Koçoğlu, Elif Seda/0000-0001-6175-2335; BAKIRDERE, Sezgin/0000-0001-9746-3682;</t>
  </si>
  <si>
    <t>Scientific and Technological Research Council (TuBITAK) of Turkey [119Z846]</t>
  </si>
  <si>
    <t>Scientific and Technological Research Council (TuBITAK) of Turkey(Turkiye Bilimsel ve Teknolojik Arastirma Kurumu (TUBITAK))</t>
  </si>
  <si>
    <t>This study was supported by The Scientific and Technological Research Council (TuBITAK) of Turkey with a grant number of 119Z846.</t>
  </si>
  <si>
    <t>0304-3894</t>
  </si>
  <si>
    <t>1873-3336</t>
  </si>
  <si>
    <t>J HAZARD MATER</t>
  </si>
  <si>
    <t>J. Hazard. Mater.</t>
  </si>
  <si>
    <t>10.1016/j.jhazmat.2021.127819</t>
  </si>
  <si>
    <t>Engineering, Environmental; Environmental Sciences</t>
  </si>
  <si>
    <t>Engineering; Environmental Sciences &amp; Ecology</t>
  </si>
  <si>
    <t>YV1DP</t>
  </si>
  <si>
    <t>WOS:000752472900004</t>
  </si>
  <si>
    <t>Zhang, OYW; Chan, KTF; Xu, LF; Wu, ZZ</t>
  </si>
  <si>
    <t>Zhang, Oscar Y. W.; Chan, Kelvin T. F.; Xu, Lifeng; Wu, Zhenzhen</t>
  </si>
  <si>
    <t>Statistical Seasonal Forecasting of Tropical Cyclone Landfall on South China Utilizing Preseason Predictors</t>
  </si>
  <si>
    <t>seasonal forecast; South China; landfall; preseason predictors; tropical cyclone</t>
  </si>
  <si>
    <t>WESTERN NORTH PACIFIC; ANTARCTIC OSCILLATION; HURRICANE FREQUENCY; GENESIS FREQUENCY; ATLANTIC SST; MODEL; NUMBER; ENSO</t>
  </si>
  <si>
    <t>Predicting tropical cyclone (TC) activities has been a topic of great interest and research. Many existing seasonal forecasting models of TC predict the numbers of TC geneses and landfalls based on the environmental factors in the peak TC season. Here, we utilize the mainstream reanalysis datasets in 1979-2005 and propose a statistical seasonal forecasting model, namely the SYSU model, for predicting the number of TC landfalls on South China based on the preseason environmental factors. The multiple linear regression analysis shows that the April sea level pressure over the tropical central Pacific, the March-April mean sea surface temperature southwest to Australia, the March 850-hPa zonal wind east to Japan, and the April 500-hPa zonal wind over Bay of Bengal are the significant predictors. The model is validated by the leave-one-out cross validation and recent 15-year observations (2006-2020). The correlation coefficient between the modeled results and observations reaches 0.87 (p &lt; 0.01). The SYSU model exhibits 90% hit rate (38 out of 42) in 1979-2020. The Antarctic Oscillation, and the variations of the western North Pacific subtropical high and Intertropical Convergence Zone could be the possible physical linkages or mechanisms. The model demonstrates an operational potential in the seasonal forecasting of TC landfall on South China.</t>
  </si>
  <si>
    <t>[Zhang, Oscar Y. W.; Chan, Kelvin T. F.; Xu, Lifeng; Wu, Zhenzhen] Sun Yat Sen Univ, Sch Atmospher Sci, Zhuhai, Peoples R China; [Zhang, Oscar Y. W.; Chan, Kelvin T. F.; Xu, Lifeng; Wu, Zhenzhen] Southern Marine Sci &amp; Engn Guangdong Lab Zhuhai, Zhuhai, Peoples R China; [Chan, Kelvin T. F.] Sun Yat Sen Univ, Guangdong Prov Key Lab Climate Change &amp; Nat Disas, Zhuhai, Peoples R China; [Chan, Kelvin T. F.] Sun Yat Sen Univ, Key Lab Trop Atmosphere Ocean Syst, Minist Educ, Zhuhai, Peoples R China</t>
  </si>
  <si>
    <t>Sun Yat Sen University; Southern Marine Science &amp; Engineering Guangdong Laboratory; Southern Marine Science &amp; Engineering Guangdong Laboratory (Zhuhai); Sun Yat Sen University; Sun Yat Sen University</t>
  </si>
  <si>
    <t>Chan, KTF (corresponding author), Sun Yat Sen Univ, Sch Atmospher Sci, Zhuhai, Peoples R China.;Chan, KTF (corresponding author), Southern Marine Sci &amp; Engn Guangdong Lab Zhuhai, Zhuhai, Peoples R China.;Chan, KTF (corresponding author), Sun Yat Sen Univ, Guangdong Prov Key Lab Climate Change &amp; Nat Disas, Zhuhai, Peoples R China.;Chan, KTF (corresponding author), Sun Yat Sen Univ, Key Lab Trop Atmosphere Ocean Syst, Minist Educ, Zhuhai, Peoples R China.</t>
  </si>
  <si>
    <t>chenth25@mail.sysu.edu.cn</t>
  </si>
  <si>
    <t>wu, zhenzhen/IQS-9727-2023; ZHANG, Oscar Y. W./KEJ-3558-2024</t>
  </si>
  <si>
    <t>Chan, Kelvin T. F./0000-0001-6150-7612; Zhang, Oscar Y. W./0000-0002-9724-7899</t>
  </si>
  <si>
    <t>JAN 10</t>
  </si>
  <si>
    <t>10.3389/feart.2021.806204</t>
  </si>
  <si>
    <t>YO6EC</t>
  </si>
  <si>
    <t>WOS:000748031300001</t>
  </si>
  <si>
    <t>Pan, XLL; Li, BFF; Watanabe, YW</t>
  </si>
  <si>
    <t>Pan, Xianliang L.; Li, Bofeng F.; Watanabe, Yutaka W.</t>
  </si>
  <si>
    <t>Intense ocean freshening from melting glacier around the Antarctica during early twenty-first century</t>
  </si>
  <si>
    <t>SEA-LEVEL RISE; SPATIOTEMPORAL DISTRIBUTION; WATER</t>
  </si>
  <si>
    <t>With the accelerating mass loss of Antarctic ice sheets, the freshening of the Southern Ocean coastal oceans (SOc, seas around Antarctica) is gradually intensifying, which will reduce the formation of bottom water and weaken the meridional overturning circulation, thus having a significant negative impact on the ocean's role in regulating global climate. Due to the extreme environment of the Southern Ocean and the limitations of observational techniques, our understanding of the glacier-derived freshening of SOc is still vague. We developed a method that first provided us with an expansive understanding of glacier-derived freshening progress over the SOc. Applying this method to the observational data in the SOc from 1926 to 2016, revealed that the rate of glacier-derived freshwater input reached a maximum of 268 +/- 134 Gt year(-1) during the early twenty-first century. Our results indicate that during the same period, glacier melting accounted for 63%, 28%, and 92% of the total freshening occurred in the Atlantic, Indian, and Pacific sectors of the SOc, respectively. This suggests that the ice shelf basal melt in West Antarctica and the Antarctic Peninsula plays a dominant role in the freshening of the surrounding seas.</t>
  </si>
  <si>
    <t>[Pan, Xianliang L.] Hokkaido Univ, Grad Sch Environm Sci, Sapporo, Hokkaido, Japan; [Li, Bofeng F.; Watanabe, Yutaka W.] Hokkaido Univ, Fac Environm Earth Sci, Sapporo, Hokkaido, Japan</t>
  </si>
  <si>
    <t>Hokkaido University; Hokkaido University</t>
  </si>
  <si>
    <t>Pan, XLL (corresponding author), Hokkaido Univ, Grad Sch Environm Sci, Sapporo, Hokkaido, Japan.</t>
  </si>
  <si>
    <t>panxianliang@ees.hokudai.ac.jp</t>
  </si>
  <si>
    <t>Watanabe, Yutaka/0000-0002-9583-8951</t>
  </si>
  <si>
    <t>Ministry of Education, Culture, Sports, Science, and Technology, Japan [KAKEN 18H04131, 20H04962]; Grants-in-Aid for Scientific Research [20H04962] Funding Source: KAKEN</t>
  </si>
  <si>
    <t>Ministry of Education, Culture, Sports, Science, and Technology, Japan(Ministry of Education, Culture, Sports, Science and Technology, Japan (MEXT)); Grants-in-Aid for Scientific Research(Ministry of Education, Culture, Sports, Science and Technology, Japan (MEXT)Japan Society for the Promotion of ScienceGrants-in-Aid for Scientific Research (KAKENHI))</t>
  </si>
  <si>
    <t>We would like to thank the GLODAP group and all researchers who contributed to the construction of the global ocean databases. We are grateful to Dr. Hirano of Hokkaido University for his insightful comments. This study was partially supported by the Ministry of Education, Culture, Sports, Science, and Technology, Japan (Grant number KAKEN 18H04131, 20H04962).</t>
  </si>
  <si>
    <t>10.1038/s41598-021-04231-6</t>
  </si>
  <si>
    <t>YF2LV</t>
  </si>
  <si>
    <t>Green Submitted, gold, Green Published</t>
  </si>
  <si>
    <t>WOS:000741645800180</t>
  </si>
  <si>
    <t>Aylmer, J; Ferreira, D; Feltham, D</t>
  </si>
  <si>
    <t>Aylmer, Jake; Ferreira, David; Feltham, Daniel</t>
  </si>
  <si>
    <t>Different mechanisms of Arctic and Antarctic sea ice response to ocean heat transport</t>
  </si>
  <si>
    <t>Sea ice; Ocean heat transport; Multidecadal variability; Climate models</t>
  </si>
  <si>
    <t>SYSTEM MODEL; CLIMATE VARIABILITY; TEMPERATURE; VERSION; TRENDS; IMPACT</t>
  </si>
  <si>
    <t>Understanding drivers of Arctic and Antarctic sea ice on multidecadal timescales is key to reducing uncertainties in long-term climate projections. Here we investigate the impact of ocean heat transport (OHT) on sea ice, using pre-industrial control simulations of 20 models participating in the latest Coupled Model Intercomparison Project (CMIP6). In all models and in both hemispheres, sea ice extent is negatively correlated with poleward OHT. However, the similarity of the correlations in both hemispheres hides radically different underlying mechanisms. In the northern hemisphere, positive OHT anomalies primarily result in increased ocean heat convergence along the Atlantic sea ice edge, where most of the ice loss occurs. Such strong, localised heat fluxes (similar to 100 W m(-2)) also drive increased atmospheric moist-static energy convergence at higher latitudes, resulting in a pan-Arctic reduction in sea ice thickness. In the southern hemisphere, increased OHT is released relatively uniformly under the Antarctic ice pack, so that associated sea ice loss is driven by basal melt with no direct atmospheric role. These results are qualitatively robust across models and strengthen the case for a substantial contribution of ocean forcing to sea ice uncertainty, and biases relative to observations, in climate models.</t>
  </si>
  <si>
    <t>[Aylmer, Jake; Ferreira, David] Univ Reading, Dept Meteorol, Reading, Berks, England; [Feltham, Daniel] Univ Reading, Ctr Polar Observat &amp; Modelling, Reading, Berks, England</t>
  </si>
  <si>
    <t>University of Reading; University of Reading</t>
  </si>
  <si>
    <t>Aylmer, J (corresponding author), Univ Reading, Dept Meteorol, Reading, Berks, England.</t>
  </si>
  <si>
    <t>j.aylmer@reading.ac.uk</t>
  </si>
  <si>
    <t>Ferreira, David/JNR-2354-2023; Ferreira, David/JJD-6133-2023</t>
  </si>
  <si>
    <t>Aylmer, Jake/0000-0002-5159-0608</t>
  </si>
  <si>
    <t>Natural Environment Research Council (NERC) [NE/L002566/1]; NERC [NE/T009470/1] Funding Source: UKRI</t>
  </si>
  <si>
    <t>Natural Environment Research Council (NERC)(UK Research &amp; Innovation (UKRI)Natural Environment Research Council (NERC)); NERC(UK Research &amp; Innovation (UKRI)Natural Environment Research Council (NERC))</t>
  </si>
  <si>
    <t>We thank Dirk Notz and an anonymous reviewer for their feedback that helped to substantially improve the quality of this manuscript. The corresponding author is funded by the Natural Environment Research Council (NERC) via the SCENARIO Doctoral Training Partnership (NE/L002566/1). We acknowledge the World Climate Research Programme, which, through its Working Group on Coupled Modelling, coordinated and promoted CMIP6. We thank the climate modelling groups for producing and making available their model output, the Earth System Grid Federation (ESGF) for archiving the data and providing access, and the multiple funding agencies who support CMIP6 and ESGF.</t>
  </si>
  <si>
    <t>1-2</t>
  </si>
  <si>
    <t>10.1007/s00382-021-06131-x</t>
  </si>
  <si>
    <t>2L2JO</t>
  </si>
  <si>
    <t>Green Submitted, Green Accepted, hybrid</t>
  </si>
  <si>
    <t>WOS:000741640700001</t>
  </si>
  <si>
    <t>Fogt, RL; Sleinkofer, AM; Raphael, MN; Handcock, MS</t>
  </si>
  <si>
    <t>Fogt, Ryan L.; Sleinkofer, Amanda M.; Raphael, Marilyn N.; Handcock, Mark S.</t>
  </si>
  <si>
    <t>A regime shift in seasonal total Antarctic sea ice extent in the twentieth century</t>
  </si>
  <si>
    <t>NATURE CLIMATE CHANGE</t>
  </si>
  <si>
    <t>CLIMATE; TRENDS; VARIABILITY; RECONSTRUCTIONS; ATLANTIC; DRIVERS; RECORD; INDEX</t>
  </si>
  <si>
    <t>In stark contrast to the Arctic, there have been statistically significant positive trends in total Antarctic sea ice extent since 1979. However, the short and highly variable nature of observed Antarctic sea ice extent limits the ability to fully understand the historical context of these recent changes. To meet this challenge, we have created robust, observation-based reconstruction ensembles of seasonal Antarctic sea ice extent since 1905. Using these reconstructions, here we show that the observed period since 1979 is the only time all four seasons demonstrate significant increases in total Antarctic sea ice in the context of the twentieth century and that the observed increases are juxtaposed against statistically significant decreases throughout much of the early and middle twentieth century. These reconstructions provide reliable estimates of seasonally resolved total Antarctic sea ice extent and are skilful enough to better understand aspects of air-sea-ice interactions within the Antarctic climate system. Antarctic sea ice extent is thought to be stable or increasing, in contrast to Arctic declines. Estimates of seasonal Antarctic sea ice from reconstructions show that increases are confined to the satellite era, post-1979, with substantial decreases in the early and mid-twentieth century.</t>
  </si>
  <si>
    <t>[Fogt, Ryan L.; Sleinkofer, Amanda M.] Ohio Univ, Dept Geog, Athens, OH 45701 USA; [Fogt, Ryan L.; Sleinkofer, Amanda M.] Ohio Univ, Scalia Lab Atmospher Anal, Athens, OH 45701 USA; [Raphael, Marilyn N.] Univ Calif Los Angeles, Dept Geog, Los Angeles, CA 90024 USA; [Handcock, Mark S.] Univ Calif Los Angeles, Dept Stat, Los Angeles, CA USA</t>
  </si>
  <si>
    <t>University System of Ohio; Ohio University; University System of Ohio; Ohio University; University of California System; University of California Los Angeles; University of California System; University of California Los Angeles</t>
  </si>
  <si>
    <t>Fogt, RL (corresponding author), Ohio Univ, Dept Geog, Athens, OH 45701 USA.;Fogt, RL (corresponding author), Ohio Univ, Scalia Lab Atmospher Anal, Athens, OH 45701 USA.</t>
  </si>
  <si>
    <t>fogtr@ohio.edu</t>
  </si>
  <si>
    <t>Fogt, Ryan L/B-6989-2008; Handcock, Mark S./AAY-3318-2021</t>
  </si>
  <si>
    <t>Fogt, Ryan L/0000-0002-5398-3990; Handcock, Mark S./0000-0002-9985-2785</t>
  </si>
  <si>
    <t>National Science Foundation Office of Polar Programs [OPP-1744998, OPP-1745089]</t>
  </si>
  <si>
    <t>National Science Foundation Office of Polar Programs(National Science Foundation (NSF)NSF - Directorate for Geosciences (GEO))</t>
  </si>
  <si>
    <t>All authors acknowledge support from the National Science Foundation Office of Polar Programs. R.L.F. and A.M.S. were supported by grant no. OPP-1744998, and M.N.R. and M.S.H. were supported by grant no. OPP-1745089.</t>
  </si>
  <si>
    <t>1758-678X</t>
  </si>
  <si>
    <t>1758-6798</t>
  </si>
  <si>
    <t>NAT CLIM CHANGE</t>
  </si>
  <si>
    <t>Nat. Clim. Chang.</t>
  </si>
  <si>
    <t>10.1038/s41558-021-01254-9</t>
  </si>
  <si>
    <t>Environmental Sciences; Environmental Studies; Meteorology &amp; Atmospheric Sciences</t>
  </si>
  <si>
    <t>YG7OD</t>
  </si>
  <si>
    <t>WOS:000741629200003</t>
  </si>
  <si>
    <t>Wu, SZ; Lembke-Jene, L; Lamy, F; Arz, HW; Nowaczyk, N; Xiao, WS; Zhang, X; Hass, HC; Titschack, J; Zheng, XF; Liu, JB; Dumm, L; Diekmann, B; Nurnberg, D; Tiedemann, R; Kuhn, G</t>
  </si>
  <si>
    <t>Wu, Shuzhuang; Lembke-Jene, Lester; Lamy, Frank; Arz, Helge W.; Nowaczyk, Norbert; Xiao, Wenshen; Zhang, Xu; Hass, H. Christian; Titschack, Jurgen; Zheng, Xufeng; Liu, Jiabo; Dumm, Levin; Diekmann, Bernhard; Nurnberg, Dirk; Tiedemann, Ralf; Kuhn, Gerhard</t>
  </si>
  <si>
    <t>Orbital- and millennial-scale Antarctic Circumpolar Current variability in Drake Passage over the past 140,000 years (vol 12, 3948, 2021)</t>
  </si>
  <si>
    <t>shuzhuangwu@gmail.com</t>
  </si>
  <si>
    <t>Arz, Helge W/A-6659-2013; Lembke-Jene, Lester/ABC-6275-2020; 郑, 旭/JAO-2624-2023; Zheng, Xufeng/HPC-4252-2023; Xi, Yang/KEH-5204-2024; Zhang, Xu/AFX-8847-2022; Titschack, Jurgen/L-2095-2015; Lembke-Jene, Lester/F-5084-2013</t>
  </si>
  <si>
    <t>Zhang, Xu/0000-0003-1833-9689; Diekmann, Bernhard/0000-0001-5129-3649; Titschack, Jurgen/0000-0001-9373-9688; Arz, Helge Wolfgang/0000-0002-1997-1718; Lembke-Jene, Lester/0000-0002-6873-8533; Wu, Shuzhuang/0000-0002-5134-8395</t>
  </si>
  <si>
    <t>10.1038/s41467-021-27840-1</t>
  </si>
  <si>
    <t>YF9YD</t>
  </si>
  <si>
    <t>WOS:000742154900001</t>
  </si>
  <si>
    <t>dos Santos, GS; Teixeira, TR; Colepicolo, P; Debonsi, HM</t>
  </si>
  <si>
    <t>dos Santos, Gustavo Souza; Teixeira, Thaiz Rodrigues; Colepicolo, Pio; Debonsi, Hosana Maria</t>
  </si>
  <si>
    <t>Natural Products from the Poles: Structural Diversity and Biological Activities</t>
  </si>
  <si>
    <t>REVISTA BRASILEIRA DE FARMACOGNOSIA-BRAZILIAN JOURNAL OF PHARMACOGNOSY</t>
  </si>
  <si>
    <t>Bioprospecting; Drug discovery; Extremophiles; Marine natural products; Cytotoxicity; Antimicrobial</t>
  </si>
  <si>
    <t>FRESH-WATER MICROALGA; DEEP-SEA; SP.; IDENTIFICATION; INFLAMMATION; METABOLITES; BIOACTIVITY; MACROALGAE; BACTERIA; SEAWEEDS</t>
  </si>
  <si>
    <t>Natural products represent a promising strategy for the discovery of new drug leads. Despite the effort of industry and academia, the investigations of natural products are concentrated in tropical and sub-tropical areas. Polar regions, such as the Arctic and Antarctica, are the most extreme and isolated environments on earth. Indeed, their severe climate conditions include low temperatures, high ultraviolet radiation, freeze-thaw cycles, and strong winds. These regions harbor a rich and underexplored biodiversity with immeasurable aggregate biotechnological potential. To survive on the poles, organisms have evolved and acquired different strategies including distinctive biological machineries, leading to the production of a unique and diverse array of organic molecules which can be used as prototypes for the development of new therapeutic agents. In this review, we summarize the occurrence of secondary metabolites from the Arctic and Antarctic organisms as well as their bioactivity from 2018 to 2020. Besides, we illustrate the collection sites and countries contributions to the field of polar natural products.</t>
  </si>
  <si>
    <t>[dos Santos, Gustavo Souza; Teixeira, Thaiz Rodrigues; Debonsi, Hosana Maria] Univ Sao Paulo, Fac Ciencias Farmaceut Ribeirao Preto, Dept Ciencias Biomol, Ribeirao Preto, SP, Brazil; [Colepicolo, Pio] Univ Sao Paulo, Inst Quim, Dept Bioquim, Sao Paulo, SP, Brazil</t>
  </si>
  <si>
    <t>Universidade de Sao Paulo; Universidade de Sao Paulo</t>
  </si>
  <si>
    <t>Debonsi, HM (corresponding author), Univ Sao Paulo, Fac Ciencias Farmaceut Ribeirao Preto, Dept Ciencias Biomol, Ribeirao Preto, SP, Brazil.</t>
  </si>
  <si>
    <t>hosana@fcfrp.usp.br</t>
  </si>
  <si>
    <t>Santos, Gustavo/M-7752-2017; Teixeira, Thaiz R/L-1601-2016; Debonsi, Hosana/C-6120-2012</t>
  </si>
  <si>
    <t>Santos, Gustavo/0000-0002-7288-2466; Rodrigues Teixeira, Thaiz/0000-0001-9514-3327; Debonsi, Hosana/0000-0002-4888-0217</t>
  </si>
  <si>
    <t>Brazilian Antarctic Program (PROANTAR/MCT/CNPq) [64/2013]; Instituto Nacional de Ciencia e Tecnologia em Biodiversidade e Produtos Naturais (INCT: BioNat) [465637/2014-0]; Fundacao de Amparo a Pesquisa do estado de Sao Paulo (FAPESP) [2014/50926-0]; Coordenacao de Aperfeicoamento de Pessoal de Nivel Superior (CAPES); Conselho Nacional de Desenvolvimento Cientifico e Tecnologico (CNPq) [1408011/2018-4]</t>
  </si>
  <si>
    <t>Brazilian Antarctic Program (PROANTAR/MCT/CNPq); Instituto Nacional de Ciencia e Tecnologia em Biodiversidade e Produtos Naturais (INCT: BioNat); Fundacao de Amparo a Pesquisa do estado de Sao Paulo (FAPESP)(Fundacao de Amparo a Pesquisa do Estado de Sao Paulo (FAPESP)); Coordenacao de Aperfeicoamento de Pessoal de Nivel Superior (CAPES)(Coordenacao de Aperfeicoamento de Pessoal de Nivel Superior (CAPES)); Conselho Nacional de Desenvolvimento Cientifico e Tecnologico (CNPq)(Conselho Nacional de Desenvolvimento Cientifico e Tecnologico (CNPQ))</t>
  </si>
  <si>
    <t>This study had financial support from the Brazilian Antarctic Program (PROANTAR/MCT/CNPq No64/2013), Instituto Nacional de Ciencia e Tecnologia em Biodiversidade e Produtos Naturais (INCT: BioNat), Grant #465637/2014-0, and the Fundacao de Amparo a Pesquisa do estado de Sao Paulo (FAPESP), Grant #2014/50926-0. Financial and fellowship support from the Brazilian research funding agencies, Coordenacao de Aperfeicoamento de Pessoal de Nivel Superior (CAPES), and Conselho Nacional de Desenvolvimento Cientifico e Tecnologico (CNPq) for the scholarship provided, Grant #1408011/2018-4.</t>
  </si>
  <si>
    <t>0102-695X</t>
  </si>
  <si>
    <t>1981-528X</t>
  </si>
  <si>
    <t>REV BRAS FARMACOGN</t>
  </si>
  <si>
    <t>Rev. Bras. Farmacogn.-Braz. J. Pharmacogn.</t>
  </si>
  <si>
    <t>10.1007/s43450-021-00203-z</t>
  </si>
  <si>
    <t>Chemistry, Medicinal; Pharmacology &amp; Pharmacy</t>
  </si>
  <si>
    <t>Pharmacology &amp; Pharmacy</t>
  </si>
  <si>
    <t>YG3HQ</t>
  </si>
  <si>
    <t>WOS:000741580100001</t>
  </si>
  <si>
    <t>Tardif, R; Hakim, GJ; Bumbaco, KA; Lazzara, MA; Manning, KW; Mikolajczyk, DE; Powers, JG</t>
  </si>
  <si>
    <t>Tardif, Robert; Hakim, Gregory J.; Bumbaco, Karin A.; Lazzara, Matthew A.; Manning, Kevin W.; Mikolajczyk, David E.; Powers, Jordan G.</t>
  </si>
  <si>
    <t>Assessing observation network design predictions for monitoring Antarctic surface temperature</t>
  </si>
  <si>
    <t>QUARTERLY JOURNAL OF THE ROYAL METEOROLOGICAL SOCIETY</t>
  </si>
  <si>
    <t>Antarctica; data assimilation; network design; optimization; surface observations; validation</t>
  </si>
  <si>
    <t>DATA ASSIMILATION; ADAPTIVE OBSERVATIONS; KALMAN FILTER; SENSITIVITY; REANALYSIS; FASTEX; SYSTEM; IMPACT; MODEL</t>
  </si>
  <si>
    <t>Networks of observations ideally provide adequate sampling of parameters to be monitored for climate and weather forecasting applications. This is a challenge for any network, but is particularly difficult in the harsh environment of the Antarctic continent. We evaluate a network design method providing objective information on station siting for optimal sampling of a variable, here taken to be surface air temperature. The method uses the concept of ensemble sensitivity to predict locations reducing the most total ensemble variance, that is, uncertainty, across the continent. The method is applied to a network of frequently-reporting stations, and validation is performed using results from assimilating station observations. A cost-efficient offline data assimilation framework is used to allow testing over a large sample of experiments, including a large number of randomly chosen networks that serve as a null hypothesis. Network design predictions agree well with observed error reductions from assimilation. The important role of stations on the East Antarctic Plateau in monitoring surface air temperature is evident in network design and data assimilation results, followed by stations in West Antarctica and the Ross Ice Shelf region. Antarctic coastal and Peninsula stations are found to provide the smallest information content integrated over the continent. Validation results are also robust to covariance localization, an essential factor for ensemble methods. Optimal networks outperform randomly chosen-networks in all cases, by up to nearly 50%, depending on the size of the network and the covariance localization distance.</t>
  </si>
  <si>
    <t>[Tardif, Robert; Hakim, Gregory J.] Univ Washington, Dept Atmospher Sci, Seattle, WA 98195 USA; [Bumbaco, Karin A.] Univ Washington, Cooperat Inst Climate Ocean &amp; Ecosyst Studies, Seattle, WA 98195 USA; [Lazzara, Matthew A.; Mikolajczyk, David E.] Univ Wisconsin, Antarctic Meteorol Res Ctr, Space Sci &amp; Engn Ctr, Madison, WI USA; [Lazzara, Matthew A.] Madison Area Tech Coll, Dept Phys Sci, Sch Engn Sci &amp; Math, Madison, WI USA; [Manning, Kevin W.; Powers, Jordan G.] Natl Ctr Atmospher Res, POB 3000, Boulder, CO 80307 USA; [Tardif, Robert] Vaisala Inc, Louisville, CO 80027 USA</t>
  </si>
  <si>
    <t>University of Washington; University of Washington Seattle; University of Washington; University of Washington Seattle; University of Wisconsin System; University of Wisconsin Madison; National Center Atmospheric Research (NCAR) - USA</t>
  </si>
  <si>
    <t>Tardif, R (corresponding author), Vaisala Inc, Louisville, CO 80027 USA.</t>
  </si>
  <si>
    <t>robert.tardif@vaisala.com</t>
  </si>
  <si>
    <t>Mikolajczyk, David/0000-0001-7931-5504; Lazzara, Matthew/0000-0002-4343-498X; Hakim, Gregory/0000-0001-8486-9739</t>
  </si>
  <si>
    <t>National Science Foundation, Office of Polar Programs [1542766, 1542789, 1543305, 1924730]; Office of Polar Programs (OPP); Directorate For Geosciences [1924730, 1542789, 1542766] Funding Source: National Science Foundation; Office of Polar Programs (OPP); Directorate For Geosciences [1543305] Funding Source: National Science Foundation</t>
  </si>
  <si>
    <t>National Science Foundation, Office of Polar Programs(National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</si>
  <si>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National Science Foundation, Office of Polar Programs (Grant 1542766 to the University ofWashington, Grants 1542789, 1543305, 1924730 to the University of Wisconsin-Madison).</t>
  </si>
  <si>
    <t>0035-9009</t>
  </si>
  <si>
    <t>1477-870X</t>
  </si>
  <si>
    <t>Q J ROY METEOR SOC</t>
  </si>
  <si>
    <t>Q. J. R. Meteorol. Soc.</t>
  </si>
  <si>
    <t>10.1002/qj.4226</t>
  </si>
  <si>
    <t>ZN2UC</t>
  </si>
  <si>
    <t>WOS:000740872500001</t>
  </si>
  <si>
    <t>Alp, B</t>
  </si>
  <si>
    <t>Alp, Bill</t>
  </si>
  <si>
    <t>Captain Scott rewrote his story: January-June 1911</t>
  </si>
  <si>
    <t>POLAR RECORD</t>
  </si>
  <si>
    <t>Captain Scott; Captain Scott's journals; Terra Nova expedition; Captain Scott's diary; Carbon Copy Diary</t>
  </si>
  <si>
    <t>This article reveals that Captain Robert Falcon Scott rewrote his Terra Nova journals for the period 24 January to 18 June 1911, making extensive changes, in places. He made carbon copies of his journal from then until 31 October 1911. The Royal Geographical Society (with IBG) holds the combined manuscript as Carbon copy of diary as leader of British Antarctic Expedition, Jan. to Oct. 1911 with reference number RFS/1. This little-known version of Scott's journals has apparently been overlooked by many researchers and scholars. The main research question addressed by the article is: What was the significance of Captain Scott rewriting his story? The article reviews two versions of Scott's story - the published narrative Scott's Last Expedition, and RFS/1. It investigates the provenance of each version and then reviews differences between the two texts. Three key differences stand out, suggesting the underlying pressures that drove Scott to rewrite his story in mid-1911. The article touches upon editorial changes made by Leonard Huxley in compiling Scott's Last Expedition and contrasts those changes with changes made by Scott when rewriting the same passages. It also investigates the provenance of a typescript version of RFS/1 held by Canterbury Museum.</t>
  </si>
  <si>
    <t>bill.alp@xtra.co.nz</t>
  </si>
  <si>
    <t>Alp, William James/0000-0003-4851-1232</t>
  </si>
  <si>
    <t>0032-2474</t>
  </si>
  <si>
    <t>1475-3057</t>
  </si>
  <si>
    <t>POLAR REC</t>
  </si>
  <si>
    <t>POLAR REC.</t>
  </si>
  <si>
    <t>e2</t>
  </si>
  <si>
    <t>10.1017/S0032247421000723</t>
  </si>
  <si>
    <t>YD8IH</t>
  </si>
  <si>
    <t>WOS:000740678600001</t>
  </si>
  <si>
    <t>Ottersen, G; Constable, AJ; Hollowed, AB; Holsman, KK; Melbourne-Thomas, J; Muelbert, MMC; Skern-Mauritzen, M</t>
  </si>
  <si>
    <t>Ottersen, Geir; Constable, Andrew J.; Hollowed, Anne B.; Holsman, Kirstin K.; Melbourne-Thomas, Jess; Muelbert, Monica M. C.; Skern-Mauritzen, Mette</t>
  </si>
  <si>
    <t>Climate Change Impacts on Polar Marine Ecosystems: Toward Robust Approaches for Managing Risks and Uncertainties</t>
  </si>
  <si>
    <t>FRONTIERS IN CLIMATE</t>
  </si>
  <si>
    <t>Arctic; Antarctic; Southern Ocean; polar; marine; ecosystem; SROCC; IPCC</t>
  </si>
  <si>
    <t>EASTERN BERING-SEA; FISH; MODEL</t>
  </si>
  <si>
    <t>The Polar Regions chapter of the Intergovernmental Panel on Climate Change's Special Report on the Ocean and Cryosphere in a Changing Climate (SROCC) provides a comprehensive assessment of climate change impacts on polar marine ecosystems and associated consequences for humans. It also includes identification of confidence for major findings based on agreement across studies and weight of evidence. Sources of uncertainty, from the extent of available datasets, to resolution of projection models, to the complexity and understanding of underlying social-ecological linkages and dynamics, can influence confidence. Here we, marine ecosystem scientists all having experience as lead authors of IPCC reports, examine the evolution of confidence in observed and projected climate-linked changes in polar ecosystems since SROCC. Further synthesis of literature on polar marine ecosystems has been undertaken, especially within IPCC's Sixth Assessment Report (AR6) Working Group II; for the Southern Ocean also the Marine Ecosystem Assessment for the Southern Ocean (MEASO). These publications incorporate new scientific findings that address some of the knowledge gaps identified in SROCC. While knowledge gaps have been narrowed, we still find that polar region assessments reflect pronounced geographical skewness in knowledge regarding the responses of marine life to changing climate and associated literature. There is also an imbalance in scientific focus; especially research in Antarctica is dominated by physical oceanography and cryosphere science with highly fragmented approaches and only short-term funding to ecology. There are clear indications that the scientific community has made substantial progress in its ability to project ecosystem responses to future climate change through the development of coupled biophysical models of the region facilitated by increased computer power allowing for improved resolution in space and time. Lastly, we point forward-providing recommendations for future advances for IPCC assessments.</t>
  </si>
  <si>
    <t>[Ottersen, Geir; Skern-Mauritzen, Mette] Inst Marine Res, Res Grp Oceanog &amp; Climate, Bergen, Norway; [Constable, Andrew J.; Melbourne-Thomas, Jess] Univ Tasmania, Ctr Marine Socioecol, Hobart, Tas, Australia; [Hollowed, Anne B.; Holsman, Kirstin K.] Natl Marine Fisheries Serv NOAA, Alaska Fisheries Sci Ctr, Seattle, WA USA; [Melbourne-Thomas, Jess] Commonwealth Sci &amp; Ind Res Org, Oceans &amp; Atmosphere, Hobart, Tas, Australia; [Muelbert, Monica M. C.] Univ Fed Sao Paulo, Inst Mar, Santos, Brazil</t>
  </si>
  <si>
    <t>Institute of Marine Research - Norway; University of Tasmania; National Oceanic Atmospheric Admin (NOAA) - USA; Commonwealth Scientific &amp; Industrial Research Organisation (CSIRO); Universidade Federal de Sao Paulo (UNIFESP)</t>
  </si>
  <si>
    <t>Ottersen, G (corresponding author), Inst Marine Res, Res Grp Oceanog &amp; Climate, Bergen, Norway.</t>
  </si>
  <si>
    <t>geir.ottersen@ibv.uio.no</t>
  </si>
  <si>
    <t>Melbourne-Thomas, Jess/N-2437-2019; Ottersen, Geir/F-4393-2014</t>
  </si>
  <si>
    <t>Melbourne-Thomas, Jess/0000-0001-6585-876X; Ottersen, Geir/0000-0002-9453-6679</t>
  </si>
  <si>
    <t>Research Council of Norway [288192]; European Research Council [727890]</t>
  </si>
  <si>
    <t>Research Council of Norway(Research Council of Norway); European Research Council(European Research Council (ERC))</t>
  </si>
  <si>
    <t>GO and MS-M received funding from the Research Council of Norway through the project BarentsRISK (Grant No. 288192). GO was also supported by the European Research Council through the H2020 project INTAROS (Grant No.727890).</t>
  </si>
  <si>
    <t>2624-9553</t>
  </si>
  <si>
    <t>FRONT CLIM</t>
  </si>
  <si>
    <t>Front. Clim.</t>
  </si>
  <si>
    <t>10.3389/fclim.2021.733755</t>
  </si>
  <si>
    <t>Environmental Sciences; Environmental Studies</t>
  </si>
  <si>
    <t>L2TX0</t>
  </si>
  <si>
    <t>WOS:001021845300001</t>
  </si>
  <si>
    <t>Smith, P; Arneth, A; Barnes, DKA; Ichii, K; Marquet, PA; Popp, A; Portner, HO; Rogers, AD; Scholes, RJ; Strassburg, B; Wu, JG; Ngo, H</t>
  </si>
  <si>
    <t>Smith, Pete; Arneth, Almut; Barnes, David K. A.; Ichii, Kazuhito; Marquet, Pablo A.; Popp, Alex; Poertner, Hans-Otto; Rogers, Alex D.; Scholes, Robert J.; Strassburg, Bernardo; Wu, Jainguo; Ngo, Hein</t>
  </si>
  <si>
    <t>How do we best synergize climate mitigation actions to co-benefit biodiversity?</t>
  </si>
  <si>
    <t>biodiversity; climate change mitigation; co-benefits; nature-based solutions; trade-offs</t>
  </si>
  <si>
    <t>GREENHOUSE-GAS EMISSIONS; SEA-ICE LOSSES; CARBON STORAGE; ENVIRONMENTAL IMPACTS; INTERNATIONAL-TRADE; INDIGENOUS PEOPLES; FOREST MANAGEMENT; SOLAR-ENERGY; SOIL CARBON; URBAN</t>
  </si>
  <si>
    <t>A multitude of actions to protect, sustainably manage and restore natural and modified ecosystems can have co-benefits for both climate mitigation and biodiversity conservation. Reducing greenhouse emissions to limit warming to less than 1.5 or 2 degrees C above preindustrial levels, as outlined in the Paris Agreement, can yield strong co-benefits for land, freshwater and marine biodiversity and reduce amplifying climate feedbacks from ecosystem changes. Not all climate mitigation strategies are equally effective at producing biodiversity co-benefits, some in fact are counterproductive. Moreover, social implications are often overlooked within the climate-biodiversity nexus. Protecting biodiverse and carbon-rich natural environments, ecological restoration of potentially biodiverse and carbon-rich habitats, the deliberate creation of novel habitats, taking into consideration a locally adapted and meaningful (i.e. full consequences considered) mix of these measures, can result in the most robust win-win solutions. These can be further enhanced by avoidance of narrow goals, taking long-term views and minimizing further losses of intact ecosystems. In this review paper, we first discuss various climate mitigation actions that evidence demonstrates can negatively impact biodiversity, resulting in unseen and unintended negative consequences. We then examine climate mitigation actions that co-deliver biodiversity and societal benefits. We give examples of these win-win solutions, categorized as 'protect, restore, manage and create', in different regions of the world that could be expanded, upscaled and used for further innovation.</t>
  </si>
  <si>
    <t>[Smith, Pete] Univ Aberdeen, Inst Biol &amp; Environm Sci, Aberdeen, Scotland; [Arneth, Almut] Karlsruhe Inst Technol KIT, Atmospher Environm Res, Garmisch Partenkirchen, Germany; [Barnes, David K. A.] British Antarctic Survey, Cambridge, England; [Ichii, Kazuhito] Chiba Univ, Ctr Environm Remote Sensing CeRES, Chiba, Japan; [Marquet, Pablo A.] Pontificia Univ Catolica Chile, Ctr Appl Ecol &amp; Sustainabil CAPES, Santiago, Chile; [Popp, Alex] Potsdam Inst Climate Impact Res PIK, Potsdam, Germany; [Poertner, Hans-Otto] Alfred Wegener Inst Polar &amp; Marine Res, Bremerhaven, Germany; [Rogers, Alex D.] Univ Oxford, Somerville Coll, Oxford, England; [Rogers, Alex D.] REV Ocean, Lysaker, Norway; [Scholes, Robert J.] Univ Witwatersrand, Global Change Inst, Johannesburg, South Africa; [Strassburg, Bernardo] Pontificia Univ Catolica Rio de Janeiro, Dept Geog &amp; Environm, Rio Conservat &amp; Sustainabil Sci Ctr, Rio de Janeiro, Brazil; [Strassburg, Bernardo] Int Inst Sustainabil, Rio De Janeiro, Brazil; [Wu, Jainguo] Chinese Res Inst Environm Sci, Inst Environm Ecol, Beijing, Peoples R China; [Ngo, Hein] Food &amp; Agr Org United Nations FAO, Rome, Italy</t>
  </si>
  <si>
    <t>University of Aberdeen; Helmholtz Association; Karlsruhe Institute of Technology; UK Research &amp; Innovation (UKRI); Natural Environment Research Council (NERC); NERC British Antarctic Survey; Chiba University; Pontificia Universidad Catolica de Chile; Potsdam Institut fur Klimafolgenforschung; Helmholtz Association; Alfred Wegener Institute, Helmholtz Centre for Polar &amp; Marine Research; University of Oxford; University of Witwatersrand; Pontificia Universidade Catolica do Rio de Janeiro; Chinese Research Academy of Environmental Sciences; Food &amp; Agriculture Organization of the United Nations (FAO)</t>
  </si>
  <si>
    <t>Smith, P (corresponding author), Univ Aberdeen, Inst Biol &amp; Environm Sci, Aberdeen, Scotland.</t>
  </si>
  <si>
    <t>pete.smith@abdn.ac.uk</t>
  </si>
  <si>
    <t>Ichii, Kazuhito/D-2392-2010; Marquet, Pablo A/B-7732-2009; Smith, Pete/G-1041-2010</t>
  </si>
  <si>
    <t>Ichii, Kazuhito/0000-0002-8696-8084; Marquet, Pablo A/0000-0001-6369-9339; Smith, Pete/0000-0002-3784-1124; Ngo, Hien/0000-0003-3070-9988; Rogers, Alex David/0000-0002-4864-2980; Barnes, David/0000-0002-9076-7867</t>
  </si>
  <si>
    <t>IPBES-IPCC; NERC [NE/P019455/1, bas0100036] Funding Source: UKRI</t>
  </si>
  <si>
    <t>IPBES-IPCC; NERC(UK Research &amp; Innovation (UKRI)Natural Environment Research Council (NERC))</t>
  </si>
  <si>
    <t>We thank Yuka Otsuki Estrada for help in designing and producing the table, and all other authors of the IPBES-IPCC report on the scientific outcome of the IPBES-IPCC co-sponsored workshop on biodiversity and climate change (Portner et al., 2021) for cross-cutting discussions during preparation of this analysis. Although this paper is based on the report of the IPBES-IPCC co-sponsored workshop, the views expressed here represent the individual views of the authors. We would also like to thank the scientific steering committee of the IPBES-IPCC co-sponsored workshop, review editors, the IPCC and IPBES Secretariat, especially Anne Larigauderie, and Technical Support Units. In memory of our friend and co-author, Bob Scholes, who sadly died during the preparation of this synthesis, and who will be sorely missed by all.</t>
  </si>
  <si>
    <t>10.1111/gcb.16056</t>
  </si>
  <si>
    <t>WOS:000740891100001</t>
  </si>
  <si>
    <t>Martínez-Pérez, C; Greening, C; Bay, SK; Lappan, RJ; Zhao, ZH; De Corte, D; Hulbe, C; Ohneiser, C; Stevens, C; Thomson, B; Stepanauskas, R; González, JM; Logares, R; Herndl, GJ; Morales, SE; Baltar, F</t>
  </si>
  <si>
    <t>Martinez-Perez, Clara; Greening, Chris; Bay, Sean K.; Lappan, Rachael J.; Zhao, Zihao; De Corte, Daniele; Hulbe, Christina; Ohneiser, Christian; Stevens, Craig; Thomson, Blair; Stepanauskas, Ramunas; Gonzalez, Jose M.; Logares, Ramiro; Herndl, Gerhard J.; Morales, Sergio E.; Baltar, Federico</t>
  </si>
  <si>
    <t>Phylogenetically and functionally diverse microorganisms reside under the Ross Ice Shelf</t>
  </si>
  <si>
    <t>SUMMER BACTERIOPLANKTON; MULTIVARIATE ANALYSES; SURFACE; BENEATH; ANTARCTICA; BACTERIA; SEA; CIRCULATION; TEMPERATURE; ALGORITHM</t>
  </si>
  <si>
    <t>Throughout coastal Antarctica, ice shelves separate oceanic waters from sunlight by hundreds of meters of ice. Historical studies have detected activity of nitrifying microorganisms in oceanic cavities below permanent ice shelves. However, little is known about the microbial composition and pathways that mediate these activities. In this study, we profiled the microbial communities beneath the Ross Ice Shelf using a multi-omics approach. Overall, beneath-shelf microorganisms are of comparable abundance and diversity, though distinct composition, relative to those in the open meso- and bathypelagic ocean. Production of new organic carbon is likely driven by aerobic lithoautotrophic archaea and bacteria that can use ammonium, nitrite, and sulfur compounds as electron donors. Also enriched were aerobic organoheterotrophic bacteria capable of degrading complex organic carbon substrates, likely derived from in situ fixed carbon and potentially refractory organic matter laterally advected by the below-shelf waters. Altogether, these findings uncover a taxonomically distinct microbial community potentially adapted to a highly oligotrophic marine environment and suggest that ocean cavity waters are primarily chemosynthetically-driven systems.</t>
  </si>
  <si>
    <t>[Martinez-Perez, Clara; Zhao, Zihao; Baltar, Federico] Univ Vienna, Dept Funct &amp; Evolutionary Ecol, Djerassipl 1, A-1030 Vienna, Austria; [Martinez-Perez, Clara] Univ Vienna, Div Microbial Ecol, Ctr Microbiol &amp; Environm Syst Sci, Djerassipl 1, A-1030 Vienna, Austria; [Greening, Chris; Bay, Sean K.; Lappan, Rachael J.] Monash Univ, Biomed Discovery Inst, Dept Microbiol, Clayton, Vic 3800, Australia; [Greening, Chris; Bay, Sean K.] Monash Univ, Securing Antarct Environm Future, Clayton, Vic 3800, Australia; [De Corte, Daniele] Carl von Ossietzky Univ Oldenburg, Inst Chem &amp; Biol Marine Environm, Oldenburg, Germany; [Hulbe, Christina] Univ Otago, Sch Surveying, Dunedin, New Zealand; [Ohneiser, Christian] Univ Otago, Dept Geol, Dunedin, New Zealand; [Stevens, Craig] Natl Inst Water &amp; Atmospher Res, Wellington 6021, New Zealand; [Stevens, Craig] Univ Auckland, Dept Phys, Auckland, New Zealand; [Thomson, Blair; Baltar, Federico] Univ Otago, Dept Marine Sci, Dunedin, New Zealand; [Stepanauskas, Ramunas] Bigelow Lab Ocean Sci, East Boothbay, ME USA; [Gonzalez, Jose M.] Univ La Laguna, Dept Microbiol, ES-38200 San Cristobal la Laguna, Spain; [Logares, Ramiro] Inst Ciencies Mar CSIC, Dept Marine Biol &amp; Oceanog, Barcelona, Spain; [Herndl, Gerhard J.] Univ Utrecht, Royal Netherlands Inst Sea Res, Dept Marine Microbiol &amp; Biogeochem, NIOZ, POB 59, NL-1790 AB Den Burg, Netherlands; [Herndl, Gerhard J.] Univ Vienna, Vienna Metabol Ctr, Djerassipl 1, A-1030 Vienna, Austria; [Morales, Sergio E.] Univ Otago, Dept Microbiol &amp; Immunol, Dunedin, New Zealand; [Martinez-Perez, Clara] Eidgenoss Tech Hsch ETH Zurich, Inst Environm Engn, Dept Civil Environm &amp; Geomat Engn, CH-8093 Zurich, Switzerland</t>
  </si>
  <si>
    <t>University of Vienna; University of Vienna; Monash University; Monash University; Carl von Ossietzky Universitat Oldenburg; University of Otago; University of Otago; National Institute of Water &amp; Atmospheric Research (NIWA) - New Zealand; University of Auckland; University of Otago; Bigelow Laboratory for Ocean Sciences; Universidad de la Laguna; Consejo Superior de Investigaciones Cientificas (CSIC); CSIC - Centro Mediterraneo de Investigaciones Marinas y Ambientales (CMIMA); CSIC - Instituto de Ciencias del Mar (ICM); Utrecht University; Royal Netherlands Institute for Sea Research (NIOZ); University of Vienna; University of Otago</t>
  </si>
  <si>
    <t>Baltar, F (corresponding author), Univ Vienna, Dept Funct &amp; Evolutionary Ecol, Djerassipl 1, A-1030 Vienna, Austria.;Baltar, F (corresponding author), Univ Otago, Dept Marine Sci, Dunedin, New Zealand.;Morales, SE (corresponding author), Univ Otago, Dept Microbiol &amp; Immunol, Dunedin, New Zealand.</t>
  </si>
  <si>
    <t>sergio.morales@otago.ac.nz; federico.baltar@univie.ac.at</t>
  </si>
  <si>
    <t>Greening, Chris/J-4408-2019; Lappan, Rachael/AAD-7677-2019; Martinez-Perez, Clara/KCK-1663-2024; González, José M./C-3333-2013; Herndl, Gerhard J./B-1513-2013; Zhao, ZiHao/KHT-4413-2024; Zhao, Zihao/HTL-3618-2023; Baltar, Federico/C-3260-2012; Logares, Ramiro/D-5920-2011</t>
  </si>
  <si>
    <t>Greening, Chris/0000-0001-7616-0594; Lappan, Rachael/0000-0002-3543-8243; Martinez-Perez, Clara/0000-0002-9600-3331; González, José M./0000-0002-9926-3323; Zhao, Zihao/0000-0001-7497-3276; Baltar, Federico/0000-0001-8907-1494; Stepanauskas, Ramunas/0000-0003-4458-3108; Herndl, Gerhard J./0000-0002-2223-2852; Ohneiser, Christian/0000-0002-2781-2522; Stevens, Craig/0000-0002-4730-6985; Bay, Sean/0000-0003-4833-3106; Hulbe, Christina/0000-0003-4765-7037; Logares, Ramiro/0000-0002-8213-0604</t>
  </si>
  <si>
    <t>New Zealand Antarctic Research Institute (NZARI); New Zealand Antarctic Science Platform [ANTA1801]; Austrian science fond (FWF) [AP3430411/21]; Rutherford Discovery Fellowship from the Royal Society of New Zealand; US National Science Foundation [DEB-1441717, OCE 1335810]; Simons Foundation [827839]; Austrian Science Fund [P28781-B21]; Spanish Ministry of Science and Innovation (Spanish State Research Agency) [RYC-2013-12554, CTM2015-69936-P, PID2019-110011RB-C32]; NHMRC EL2 Fellowship [APP1178715]; Discovery Project grant [DP180101762]; ARC SRIEAS Grant [SR200100005]; H2020 MSCA Individual Fellowship [886198]</t>
  </si>
  <si>
    <t>New Zealand Antarctic Research Institute (NZARI); New Zealand Antarctic Science Platform; Austrian science fond (FWF)(Austrian Science Fund (FWF)); Rutherford Discovery Fellowship from the Royal Society of New Zealand(Royal Society of New Zealand); US National Science Foundation(National Science Foundation (NSF)); Simons Foundation; Austrian Science Fund(Austrian Science Fund (FWF)); Spanish Ministry of Science and Innovation (Spanish State Research Agency); NHMRC EL2 Fellowship(National Health &amp; Medical Research Council (NHMRC) of Australia); Discovery Project grant(Australian Research Council); ARC SRIEAS Grant(Australian Research Council); H2020 MSCA Individual Fellowship</t>
  </si>
  <si>
    <t>We are grateful to D. V. Meier and P. M. Leung for insightful discussions. We thank the Victoria University of Wellington Hot Water Drilling Team led by A. Pyne and D. Mendeno for fieldwork support. Staff of the Bigelow Laboratory Single Cell Genomics Center are acknowledged for generating SAG data. We also thank L. Montiel and V. Balague from the Institut de Ciencies del Mar (ICM, CSIC) for extracting RNA, and the CNAG staff for RNAseq library preparation and sequencing. Bioinformatics analyses were performed at the LiSC Cluster (University of Vienna), MARBITS platform (ICM, CSIC) and the MonARCH HPC Cluster (Monash University). This research was facilitated by the New Zealand Antarctic Research Institute (NZARI) funded Aotearoa New Zealand Ross Ice Shelf Programme, the New Zealand Antarctic Science Platform ANTA1801, the Austrian science fond (FWF) project AP3430411/21 (FB) and a Rutherford Discovery Fellowship from the Royal Society of New Zealand (FB), the US National Science Foundation grants DEB-1441717 (RS) and OCE 1335810 (RS), the Simons Foundation Grant 827839 (RS), the Austrian Science Fund project P28781-B21 (GJH), the Spanish Ministry of Science and Innovation (Spanish State Research Agency, https://doi.org/10.13039/501100011033) fellowship RYC-2013-12554 (RL) and projects CTM2015-69936-P (RL) and PID2019-110011RB-C32 (JMG), the NHMRC EL2 Fellowship APP1178715 (CG) and Discovery Project grant DP180101762 (CG), the ARC SRIEAS Grant SR200100005 Securing Antarctica's Environmental Future (SKB), and the H2020 MSCA Individual Fellowship 886198 (CMP).</t>
  </si>
  <si>
    <t>10.1038/s41467-021-27769-5</t>
  </si>
  <si>
    <t>M1ZW3</t>
  </si>
  <si>
    <t>WOS:001028243400003</t>
  </si>
  <si>
    <t>Zhang, JK; Zheng, HY; Xu, MA; Yin, QQ; Zhao, SY; Tian, WS; Yang, ZS</t>
  </si>
  <si>
    <t>Zhang, Jiankai; Zheng, Huayi; Xu, Mian; Yin, Qingqing; Zhao, Siyi; Tian, Wenshou; Yang, Zesu</t>
  </si>
  <si>
    <t>Impacts of stratospheric polar vortex changes on wintertime precipitation over the northern hemisphere</t>
  </si>
  <si>
    <t>ANTARCTIC OZONE DEPLETION; TROPOSPHERE; WAVE; ANOMALIES</t>
  </si>
  <si>
    <t>The impacts of Arctic stratospheric polar vortex (SPV) on wintertime precipitation over the Northern Hemisphere are analyzed based on various datasets. Two groups of ensemble climate model experiments with the SPV nudged towards strong and weak states are performed to clarify stratospheric impacts on changes in precipitation. During weak SPV events, precipitation rates over the western and southeastern parts of North Pacific Ocean, the southern part of North Atlantic Ocean, and Southern Europe are larger, whereas the total precipitation rates over the central North Pacific, the northern part of North Atlantic and Northern Europe are smaller than those during strong SPV events. The SPV-induced changes in precipitation over the North Atlantic are stronger than those over the North Pacific. The convective (large-scale) precipitation changes play a major role in the total precipitation changes over the southern (northern) parts of middle latitudes associated with SPV changes. The tropospheric zonal wind deceleration around 60 degrees N associated with weak SPV events is responsible for lower-tropospheric anomalous cyclonic flows over the two oceans at middle latitudes. The anomalous cyclonic flows lead to more large-scale precipitation in the southeastern parts of the oceans and less large-scale precipitation over Northern Europe and the central North Pacific during weak SPV events. The stratosphere-troposphere coupling over the North Atlantic is stronger than that over the North Pacific, leading to stronger large-scale precipitation responses over the former region. In addition, convective precipitation rates between 30 and 45 degrees N are basically larger during weak SPV events than during strong SPV events. This is because more baroclinic waves associated with a southward shift of storm tracks during weak SPV events cause more heat exchanges between the lower latitudes and higher latitudes. Consequently, the upper tropospheric temperature and static ability between 30 and 45 degrees N are reduced, leading to larger convective available potential energy and more convective precipitation during weak SPV events.</t>
  </si>
  <si>
    <t>[Zhang, Jiankai; Zheng, Huayi; Xu, Mian; Yin, Qingqing; Zhao, Siyi; Tian, Wenshou] Lanzhou Univ, Coll Atmospher Sci, Lanzhou 730000, Peoples R China; [Zhang, Jiankai] Southern Marine Sci &amp; Engn Guangdong Lab Zhuhai, Zhuhai 519080, Peoples R China; [Yang, Zesu] Chengdu Univ Informat Technol, Sch Atmospher Sci, Chengdu 610225, Peoples R China</t>
  </si>
  <si>
    <t>Lanzhou University; Southern Marine Science &amp; Engineering Guangdong Laboratory; Southern Marine Science &amp; Engineering Guangdong Laboratory (Zhuhai); Chengdu University of Information Technology</t>
  </si>
  <si>
    <t>Zhang, JK (corresponding author), Lanzhou Univ, Coll Atmospher Sci, Lanzhou 730000, Peoples R China.;Zhang, JK (corresponding author), Southern Marine Sci &amp; Engn Guangdong Lab Zhuhai, Zhuhai 519080, Peoples R China.</t>
  </si>
  <si>
    <t>jkzhang@lzu.edu.cn</t>
  </si>
  <si>
    <t>Zhang, Jiankai/0000-0002-8491-0225</t>
  </si>
  <si>
    <t>Southern Marine Science and Engineering Guangdong Laboratory (Zhuhai) [SML2021SP312]; National Natural Science Foundation of China [42075062, 42130601]; Fundamental Research Funds for the Central Universities [lzujbky-2021-ey04]; Young Doctoral Funds for Gansu Provincial Education Department [2021QB-009]</t>
  </si>
  <si>
    <t>Southern Marine Science and Engineering Guangdong Laboratory (Zhuhai); National Natural Science Foundation of China(National Natural Science Foundation of China (NSFC)); Fundamental Research Funds for the Central Universities(Fundamental Research Funds for the Central Universities); Young Doctoral Funds for Gansu Provincial Education Department</t>
  </si>
  <si>
    <t>This research is supported by Project supported by Southern Marine Science and Engineering Guangdong Laboratory (Zhuhai) (No. SML2021SP312) and the National Natural Science Foundation of China (42075062, 42130601). This research is also supported by the Fundamental Research Funds for the Central Universities (lzujbky-2021-ey04) and Young Doctoral Funds for Gansu Provincial Education Department (2021QB-009). We thank ECWMF and NOAA for providing data. We are grateful that NCAR provides CESM model. We also appreciate the computing support provided by Supercomputing Center of Lanzhou University.</t>
  </si>
  <si>
    <t>11-12</t>
  </si>
  <si>
    <t>10.1007/s00382-021-06088-x</t>
  </si>
  <si>
    <t>1U7GY</t>
  </si>
  <si>
    <t>WOS:000740428700001</t>
  </si>
  <si>
    <t>Mazzochi, MS; Carlos, CJ</t>
  </si>
  <si>
    <t>Mazzochi, Mariana S.; Carlos, Caio J.</t>
  </si>
  <si>
    <t>Skull morphology of four Antarctic fulmarine petrels (Aves: Procellariiformes): insights into their feeding biology</t>
  </si>
  <si>
    <t>Circumpolar seabirds; Fulmarini; Functional anatomy; Morphology</t>
  </si>
  <si>
    <t>GIANT PETRELS; MACRONECTES-GIGANTEUS; ECOLOGICAL SEGREGATION; COMPARATIVE ANATOMY; BIRDS; FOOD; APPARATUS; DIET; OSTEOLOGY; PENGUINS</t>
  </si>
  <si>
    <t>Fulmarine petrels are top predators in the Antarctic region preying mostly on squid, fish, and carrion. Their diets have been widely studied, but less is known about the role of skeletal structures in the processes they use to obtain food. Here, we comparatively describe the skulls of fulmarine petrels, namely, the Giant Petrels (Macronectes), the Southern Fulmar (Fulmarus glacialoides), and the Cape Petrel (Daption capense), emphasizing those structures associated with the muscles responsible for opening/closing the jaws. The skull is dorsoventrally flattened and the bill is hooked-tipped and elongated in the studied species, but we found significant differences for relative bill length and relative cranium depth among them. These characteristics can be related to surface seizing and streamlining for diving and pursuing/capturing prey underwater. Longer bills also indicate that the mandible muscles are more posteriorly positioned relative to the bill tip, an adaptation for a fast bite, which is more pronounced in Giant Petrels. Nevertheless, there are broad areas of origin for the mandible muscles in the fossa musculorum temporalium and in the Os palatinum, especially in Giant Petrels. We thus infer that those muscles are well developed and hypothesize that, despite the adaptation for fast movements, their jaws are still capable of a relatively powerful bite. The Giant Petrels and Cape Petrel present a similar pattern of dorsoventral flattening of the skull, an adaptation for diving in pursuit of prey. In Giant Petrels, a flattened skull with a hooked-tipped bill also facilitates their feeding behavior of inserting the bill and head into carcasses for tearing flesh. We conclude that fulmarine petrels present variable morphological characters adapted to the different feeding strategies they employ in the Antarctic and the Southern Ocean.</t>
  </si>
  <si>
    <t>[Mazzochi, Mariana S.; Carlos, Caio J.] Univ Fed Rio Grande do Sul, Dept Zool, Lab Sistemat &amp; Ecol Aves &amp; Mamiferos Marinhos, Agron, Av Bento Goncalves 9500, BR-91501970 Porto Alegre, RS, Brazil</t>
  </si>
  <si>
    <t>Universidade Federal do Rio Grande do Sul</t>
  </si>
  <si>
    <t>Carlos, CJ (corresponding author), Univ Fed Rio Grande do Sul, Dept Zool, Lab Sistemat &amp; Ecol Aves &amp; Mamiferos Marinhos, Agron, Av Bento Goncalves 9500, BR-91501970 Porto Alegre, RS, Brazil.</t>
  </si>
  <si>
    <t>macronectes1@yahoo.co.uk</t>
  </si>
  <si>
    <t>Carlos, Caio J/G-4345-2010</t>
  </si>
  <si>
    <t>Scain Mazzochi, Mariana/0000-0001-8520-2936; Carlos, Caio J./0000-0001-9071-1444</t>
  </si>
  <si>
    <t>Coordenacao de Aperfeicoamento de Pessoal de Nivel Superior (CAPES); Conselho Nacional de Desenvolvimento Cientifico e Tecnologico (CNPq)</t>
  </si>
  <si>
    <t>Coordenacao de Aperfeicoamento de Pessoal de Nivel Superior (CAPES)(Coordenacao de Aperfeicoamento de Pessoal de Nivel Superior (CAPES)); Conselho Nacional de Desenvolvimento Cientifico e Tecnologico (CNPq)(Conselho Nacional de Desenvolvimento Cientifico e Tecnologico (CNPQ))</t>
  </si>
  <si>
    <t>This research received support from the Coordenacao de Aperfeicoamento de Pessoal de Nivel Superior (CAPES) and Conselho Nacional de Desenvolvimento Cientifico e Tecnologico (CNPq).</t>
  </si>
  <si>
    <t>10.1007/s00300-021-02983-5</t>
  </si>
  <si>
    <t>WOS:000740397500001</t>
  </si>
  <si>
    <t>Saravia, LA; Marina, TI; Kristensen, NP; De Troch, M; Momo, FR</t>
  </si>
  <si>
    <t>Saravia, Leonardo A.; Marina, Tomas, I; Kristensen, Nadiah P.; De Troch, Marleen; Momo, Fernando R.</t>
  </si>
  <si>
    <t>Ecological network assembly: How the regional metaweb influences local food webs</t>
  </si>
  <si>
    <t>JOURNAL OF ANIMAL ECOLOGY</t>
  </si>
  <si>
    <t>ecological network assembly; food web structure; Metaweb; modularity; motif; network assembly model; null models; topological roles</t>
  </si>
  <si>
    <t>LARGE COMPLEX SYSTEM; POPULATION STABILITY; BODY-SIZE; SELECTION; MOTIFS; ROLES; COMPARTMENTALIZATION; COLONIZATION; RETHINKING; MODULARITY</t>
  </si>
  <si>
    <t>Local food webs result from a sequence of colonisations and extinctions by species from the regional pool or metaweb, that is, the assembly process. Assembly is theorised to be a selective process: whether or not certain species or network structures can persist is partly determined by local processes including habitat filtering and dynamical constraints. Consequently, local food web structure should reflect these processes. The goal of this study was to test evidence for these selective processes by comparing the structural properties of real food webs to the expected distribution given the metaweb. We were particularly interested in ecological dynamics; if the network properties commonly associated with dynamical stability are indeed the result of stability constraints, then they should deviate from expectation in the direction predicted by theory. To create a null expectation, we used the novel approach of randomly assembling model webs by drawing species and interactions from the empirical metaweb. The assembly model permitted colonisation and extinction, and required a consumer species to have at least one prey, but had no habitat type nor population dynamical constraints. Three datasets were used: (a) the marine Antarctic metaweb, with two local food webs; (b) the 50 lakes of the Adirondacks; and (c) the arthropod community from Florida Keys' classic defaunation experiment. Contrary to our expectations, we found that there were almost no differences between empirical webs and those resulting from the null assembly model. Few empirical food webs showed significant differences with network properties, motif representations and topological roles. Network properties associated with stability did not deviate from expectation in the direction predicted by theory. Our results suggest that-for the commonly used metrics we considered-local food web structure is not strongly influenced by dynamical nor habitat restrictions. Instead, the structure is inherited from the metaweb. This suggests that the network properties typically attributed as causes or consequences of ecological stability are instead a by-product of the assembly process (i.e. spandrels), and may potentially be too coarse to detect the true signal of dynamical constraint.</t>
  </si>
  <si>
    <t>[Saravia, Leonardo A.; Momo, Fernando R.] Univ Nacl Gen Sarmiento, Inst Ciencias, Buenos Aires, DF, Argentina; [Saravia, Leonardo A.; Marina, Tomas, I] Ctr Austral Invest Cient CADIC CONICET, Ushuaia, Argentina; [Kristensen, Nadiah P.] Natl Univ Singapore, Dept Biol Sci, Singapore, Singapore; [De Troch, Marleen] Univ Ghent, Marine Biol, Ghent, Belgium; [Momo, Fernando R.] Univ Nacl Lujan, INEDES, Lujan, Buenos Aires, Argentina</t>
  </si>
  <si>
    <t>Consejo Nacional de Investigaciones Cientificas y Tecnicas (CONICET); National University of Singapore; Ghent University; Universidad Nacional de Lujan</t>
  </si>
  <si>
    <t>Saravia, LA (corresponding author), Univ Nacl Gen Sarmiento, Inst Ciencias, Buenos Aires, DF, Argentina.;Saravia, LA (corresponding author), Ctr Austral Invest Cient CADIC CONICET, Ushuaia, Argentina.</t>
  </si>
  <si>
    <t>De Troch, Marleen/AAB-9809-2019; Saravia, Leonardo/AAM-3461-2021; Momo, Fernando R/E-3426-2012; Marina, Tomas Ignacio/U-3460-2018</t>
  </si>
  <si>
    <t>De Troch, Marleen/0000-0002-6800-0299; Saravia, Leonardo/0000-0002-7911-4398; Momo, Fernando R/0000-0003-0710-1149; Marina, Tomas Ignacio/0000-0002-9203-7411; Nadiah, Kristensen/0000-0002-9720-4581</t>
  </si>
  <si>
    <t>National University of General Sarmiento [30/1139]; CONICET [PIO 144--20140100035--CO]</t>
  </si>
  <si>
    <t>National University of General Sarmiento; CONICET(Consejo Nacional de Investigaciones Cientificas y Tecnicas (CONICET))</t>
  </si>
  <si>
    <t>National University of General Sarmiento, Grant/Award Number: 30/1139; CONICET, Grant/Award Number: PIO 144--20140100035--CO</t>
  </si>
  <si>
    <t>0021-8790</t>
  </si>
  <si>
    <t>1365-2656</t>
  </si>
  <si>
    <t>J ANIM ECOL</t>
  </si>
  <si>
    <t>J. Anim. Ecol.</t>
  </si>
  <si>
    <t>10.1111/1365-2656.13652</t>
  </si>
  <si>
    <t>Ecology; Zoology</t>
  </si>
  <si>
    <t>Environmental Sciences &amp; Ecology; Zoology</t>
  </si>
  <si>
    <t>ZK6MH</t>
  </si>
  <si>
    <t>WOS:000740543600001</t>
  </si>
  <si>
    <t>Dong, YT; Zhao, J; Floricioiu, D; Krieger, L</t>
  </si>
  <si>
    <t>Dong, Yuting; Zhao, Ji; Floricioiu, Dana; Krieger, Lukas</t>
  </si>
  <si>
    <t>Automatic calving front extraction from digital elevation model-derived data</t>
  </si>
  <si>
    <t>Editor; Menghua Wang; Image classification; Digital Elevation Model (DEM); Calving Front; Height-sensitive terrain feature; Remote sensing; TanDEM-X DEM; REMA</t>
  </si>
  <si>
    <t>ANTARCTIC PENINSULA; EDGE-DETECTION; LASER DATA; GENERATION; GLACIERS; RETREAT; SEA; CLASSIFICATION; GREENLAND; COASTLINE</t>
  </si>
  <si>
    <t>Calving Front (CF) is an important parameter to analyse ice sheet dynamics and to measure glacier mass balance. DEM products covering polar regions are critical remote sensing data sources to provide fundamental terrain information for glaciological studies. It is necessary to provide accurate CFs for DEM specific applications, such as mass balance calculation or the substitution of water values with geoid values in the DEM editing process. However, much less attention is paid to automatically delineate CFs from DEM data. In this study, we propose a DEM-based Automatic CF Extraction method (DACE) to efficiently extract the CFs from DEM data. In DACE, a height-sensitive terrain feature is designed to enhance the contrast between the ice sheet and the ocean by combining elevation and roughness information. To improve the CF extraction performance, a two-category image classification based on game theory is proposed that considers the spatial consistency of the feature image created. For validation, DACE was applied to DEM products generated from the single-pass SAR interferometry mission TanDEM-X (TDM) at different posting sizes (12 and 90 m) and to the optical photogrammetrybased Reference Elevation Model of Antarctica (REMA) with a 2 m posting. The proposed algorithm can achieve a CF extraction accuracy of better than 14, 20, and 70 m for the 2-m REMA, 12-and 90-m TDM DEMs, respectively, when compared with the manually delineated CFs. The experimental results demonstrate that the proposed algorithm can effectively extract the CFs from DEM data. DACE can be used to replace water values and edit the DEMs themselves. The CFs extracted from the DEM data can also be used for glacier mass balance calculation with the DEM-based geodetic method and for the temporal analysis of CF changes when multi temporal DEM data are available.</t>
  </si>
  <si>
    <t>[Dong, Yuting] China Univ Geosci, Sch Geog &amp; Informat Engn, Wuhan 430074, Peoples R China; [Zhao, Ji] China Univ Geosci, Sch Comp Sci, Wuhan 430074, Peoples R China; [Floricioiu, Dana; Krieger, Lukas] German Aerosp Ctr DLR, Remote Sensing Technol Inst IMF, D-82234 Oberpfaffenhofen, Germany</t>
  </si>
  <si>
    <t>China University of Geosciences; China University of Geosciences; Helmholtz Association; German Aerospace Centre (DLR)</t>
  </si>
  <si>
    <t>Dong, Yuting/0000-0002-8894-4318; Krieger, Lukas/0000-0002-2464-3102</t>
  </si>
  <si>
    <t>National Natural Science Foundation of China [41901413, 41801280]; Polar+ Ice Shelves project of ESA [4000132186/20/I-EF]; DLR [DEM_GLAC1059, XTI_GLAC7408]</t>
  </si>
  <si>
    <t>National Natural Science Foundation of China(National Natural Science Foundation of China (NSFC)); Polar+ Ice Shelves project of ESA; DLR(Helmholtz AssociationGerman Aerospace Centre (DLR))</t>
  </si>
  <si>
    <t>We highly appreciate Editor-in-Chief Dr. Menghua Wang, Associate Editor Dr. Stephen E.L. Howell, and three anonymous reviewers for their constructive comments and suggestions, which significantly improved the quality of this paper. This work was supported by the National Natural Science Foundation of China (grant nos. 41901413 and 41801280) and by the Polar+ Ice Shelves project of ESA (grant no. 4000132186/20/I-EF) . The 12-m TanDEM-X raw and global DEM data were made available by DLR through the projects DEM_GLAC1059 and XTI_GLAC7408. The 90-m TanDEM-X global DEM data were down-loaded via the EOC Geoservice of the Earth Observation Center (EOC) of the German Aerospace Center (DLR) (https://geoservice.dlr.de/web/) . REMA data were downloaded from University of Minnesota, Polar Geospatial Center.</t>
  </si>
  <si>
    <t>10.1016/j.rse.2021.112854</t>
  </si>
  <si>
    <t>ZF7FW</t>
  </si>
  <si>
    <t>WOS:000759732100001</t>
  </si>
  <si>
    <t>Schaafsma, FL; David, CL; Kohlbach, D; Ehrlich, J; Castellani, G; Lange, BA; Vortkamp, M; Meijboom, A; Fortuna-Wünsch, A; Immerz, A; Cantzler, H; Klasmeier, A; Zakharova, N; Schmidt, K; Van de Putte, AP; van Franeker, JA; Flores, H</t>
  </si>
  <si>
    <t>Schaafsma, Fokje L.; David, Carmen L.; Kohlbach, Doreen; Ehrlich, Julia; Castellani, Giulia; Lange, Benjamin A.; Vortkamp, Martina; Meijboom, Andre; Fortuna-Wunsch, Anna; Immerz, Antonia; Cantzler, Hannelore; Klasmeier, Apasiri; Zakharova, Nadezhda; Schmidt, Katrin; Van de Putte, Anton P.; van Franeker, Jan Andries; Flores, Hauke</t>
  </si>
  <si>
    <t>Allometric relationships of ecologically important Antarctic and Arctic zooplankton and fish species</t>
  </si>
  <si>
    <t>Arctic Ocean; Southern Ocean; Length; Mass; Zooplankton; Fish; Regression models</t>
  </si>
  <si>
    <t>COD BOREOGADUS-SAIDA; LENGTH-WEIGHT RELATIONSHIPS; KRILL EUPHAUSIA-SUPERBA; THYSANOESSA-MACRURA CRUSTACEA; AMPHIPOD THEMISTO-LIBELLULA; ALGAE-PRODUCED CARBON; SEA-ICE; LAZAREV SEA; LIFE-HISTORY; POLAR COD</t>
  </si>
  <si>
    <t>Allometric relationships between body properties of animals are useful for a wide variety of purposes, such as estimation of biomass, growth, population structure, bioenergetic modelling and carbon flux studies. This study summarizes allometric relationships of zooplankton and nekton species that play major roles in polar marine food webs. Measurements were performed on 639 individuals of 15 species sampled during three expeditions in the Southern Ocean (winter and summer) and 2374 individuals of 14 species sampled during three expeditions in the Arctic Ocean (spring and summer). The information provided by this study fills current knowledge gaps on relationships between length and wet/dry mass of understudied animals, such as various gelatinous zooplankton, and of animals from understudied seasons and maturity stages, for example, for the krill Thysanoessa macrura and larval Euphausia superba caught in winter. Comparisons show that there is intra-specific variation in length-mass relationships of several species depending on season, e.g. for the amphipod Themisto libellula. To investigate the potential use of generalized regression models, comparisons between sexes, maturity stages or age classes were performed and are discussed, such as for the several krill species and T. libellula. Regression model comparisons on age classes of the fish E. antarctica were inconclusive about their general use. Other allometric measurements performed on carapaces, eyes, heads, telsons, tails and otoliths provided models that proved to be useful for estimating length or mass in, e.g. diet studies. In some cases, the suitability of these models may depend on species or developmental stages.</t>
  </si>
  <si>
    <t>[Schaafsma, Fokje L.; Meijboom, Andre; van Franeker, Jan Andries] Wageningen Marine Res, Ankerpk 27, NL-1871 AG Den Helder, Netherlands; [David, Carmen L.; Kohlbach, Doreen; Ehrlich, Julia; Castellani, Giulia; Lange, Benjamin A.; Vortkamp, Martina; Fortuna-Wunsch, Anna; Immerz, Antonia; Cantzler, Hannelore; Klasmeier, Apasiri; Zakharova, Nadezhda; Flores, Hauke] Alfred Wegener Inst, Helmholtz Ctr Polar &amp; Marine Res, Bremerhaven, Germany; [David, Carmen L.] Dalhousie Univ, Dept Biol, Halifax, NS B3K 4R2, Canada; [David, Carmen L.] Woods Hole Oceanog Inst, Biol Dept, Falmouth, MA 02543 USA; [Kohlbach, Doreen; Lange, Benjamin A.] Norwegian Polar Res Inst, Fram Ctr, N-9296 Tromso, Norway; [Ehrlich, Julia] Univ Hamburg, Ctr Nat Hist CeNak, Martin Luther King Pl 3, D-20146 Hamburg, Germany; [Klasmeier, Apasiri] Ruhr Univ Bochum, Dept Biol, D-44801 Bochum, Germany; [Zakharova, Nadezhda] Univ Hamburg, Fac Math Informat &amp; Nat Sci, Welckerstr 8, D-20148 Hamburg, Germany; [Zakharova, Nadezhda] St Petersburg State Univ, Inst Earth Sci, Univ Skaya Nab 7-9, St Petersburg 199034, Russia; [Schmidt, Katrin] Univ Plymouth, Sch Geog Earth &amp; Environm Sci, Plymouth, Devon, England; [Van de Putte, Anton P.] Royal Belgian Inst Nat Sci, Vautierstr 29, B-1000 Brussels, Belgium; [Van de Putte, Anton P.] Univ Libre Bruxelles, 50 Ave FD Roosevelt, B-1050 Brussels, Belgium</t>
  </si>
  <si>
    <t>Wageningen University &amp; Research; Helmholtz Association; Alfred Wegener Institute, Helmholtz Centre for Polar &amp; Marine Research; Dalhousie University; Woods Hole Oceanographic Institution; Norwegian Polar Institute; University of Hamburg; Ruhr University Bochum; University of Hamburg; Saint Petersburg State University; University of Plymouth; Royal Belgian Institute of Natural Sciences; Universite Libre de Bruxelles</t>
  </si>
  <si>
    <t>Schaafsma, FL (corresponding author), Wageningen Marine Res, Ankerpk 27, NL-1871 AG Den Helder, Netherlands.</t>
  </si>
  <si>
    <t>fokje.schaafsma@wur.nl</t>
  </si>
  <si>
    <t>Flores, Hauke/ABD-1888-2020</t>
  </si>
  <si>
    <t>Flores, Hauke/0000-0003-1617-5449; Schaafsma, Fokje/0000-0002-8945-2868; David, Carmen L/0000-0002-4241-1284; Van de Putte, Anton/0000-0003-1336-5554; Kohlbach, Doreen/0000-0002-9245-2500; Lange, Benjamin Allen/0000-0003-4534-8978; Ehrlich, Julia/0000-0002-1192-1361; Immerz, Antonia/0000-0002-9859-3558</t>
  </si>
  <si>
    <t>Netherlands Ministry of Agriculture, Nature and Food Quality (LNV) [WOT-04-009-047.04]; Netherlands Polar Programme (NPP); Dutch Research Council (NWO) [ALW 866.13.009]; Helmholtz Association Young Investigators Group ICEFLUX: Ice-ecosystem carbon flux in polar oceans [VH-NG-800]; GEOMAR project CATS: The Changing Arctic Transpolar System [BMBF-FK2 CATS]; UK's Natural Environment Research Council MOSAiC-Thematic project SYM-PEL [NE/S002502/1]; Norwegian Polar Institute; Research Council of Norway [CAATEX (280531), HAVOC (280292)]; Research Council of Norway through the project The Nansen Legacy at the Norwegian Polar Institute [276730]; project EcoLight, joint NERC/BMBF programme Changing Arctic Ocean [03V01465]; EU Lifewatch ERIC [FR/36/AN3]; FEDTwin; [ARK XVII/3 (PS80)]; [AWI-PS81_01 (WISKY)]; [ANTXXIX/9 (PS82)]; [AWI-PS89_02 (SIPES)]; [AWI_PS92_00 (TRANSSIZ)]; [AWI_PS106/1_2-00 (SIPCA)]; NERC [NE/S002502/1] Funding Source: UKRI</t>
  </si>
  <si>
    <t>Netherlands Ministry of Agriculture, Nature and Food Quality (LNV); Netherlands Polar Programme (NPP); Dutch Research Council (NWO)(Netherlands Organization for Scientific Research (NWO)); Helmholtz Association Young Investigators Group ICEFLUX: Ice-ecosystem carbon flux in polar oceans; GEOMAR project CATS: The Changing Arctic Transpolar System; UK's Natural Environment Research Council MOSAiC-Thematic project SYM-PEL(UK Research &amp; Innovation (UKRI)Natural Environment Research Council (NERC)); Norwegian Polar Institute; Research Council of Norway(Research Council of Norway); Research Council of Norway through the project The Nansen Legacy at the Norwegian Polar Institute(Research Council of Norway); project EcoLight, joint NERC/BMBF programme Changing Arctic Ocean; EU Lifewatch ERIC; FEDTwin; ; ; ; ; ; ; NERC(UK Research &amp; Innovation (UKRI)Natural Environment Research Council (NERC))</t>
  </si>
  <si>
    <t>The Netherlands Ministry of Agriculture, Nature and Food Quality (LNV) funded this research under its Statutory Research Task Nature &amp; Environment WOT-04-009-047.04. This research was further supported by the Netherlands Polar Programme (NPP), managed by the Dutch Research Council (NWO) under project nr. ALW 866.13.009 (ICEFLUX-NL). The study is associated with the Helmholtz Association Young Investigators Group ICEFLUX: Ice-ecosystem carbon flux in polar oceans (VH-NG-800) and contributes to the Helmholtz (HGF) research Programme Changing Earth -Sustaining our Future, Research Field Earth &amp; Environment, Topic 6.1 and 6.3. NZ was supported by the GEOMAR project CATS: The Changing Arctic Transpolar System (BMBF-FK2 CATS). Contributions by KS were funded by the UK's Natural Environment Research Council MOSAiC-Thematic project SYM-PEL: Quantifying the contribution of sympagic versus pelagic diatoms to Arctic food webs and biogeochemical fluxes: application of source-specific highly branched isoprenoid biomarkers (NE/S002502/1). BAL was further supported by the Norwegian Polar Institute and funding to M. Granskog from the Research Council of Norway to projects CAATEX (280531) and HAVOC (280292). DK was further funded by the Research Council of Norway through the project The Nansen Legacy (RCN #276730) at the Norwegian Polar Institute. GC was further funded by the project EcoLight (03V01465) as part of the joint NERC/BMBF programme Changing Arctic Ocean. AVdP received support from Belspo in the framework the EU Lifewatch ERIC (Grant agreement FR/36/AN3) and the FEDTwin. Expedition Grant Numbers: ARK XVII/3 (PS80), AWI-PS81_01 (WISKY), ANTXXIX/9 (PS82), AWI-PS89_02 (SIPES), AWI_PS92_00 (TRANSSIZ) and AWI_PS106/1_2-00 (SIPCA).</t>
  </si>
  <si>
    <t>10.1007/s00300-021-02984-4</t>
  </si>
  <si>
    <t>WOS:000740155200001</t>
  </si>
  <si>
    <t>Alexander, KA</t>
  </si>
  <si>
    <t>Alexander, Karen A.</t>
  </si>
  <si>
    <t>A social license to operate for aquaculture: Reflections from Tasmania</t>
  </si>
  <si>
    <t>Social license; Aquaculture; Social acceptance; Governance; Sustainability</t>
  </si>
  <si>
    <t>SALMON AQUACULTURE; GAS DEVELOPMENT; COMMUNITY; LEGITIMACY; SUSTAINABILITY; GOVERNANCE; MODEL; TRUST; RISK; MINE</t>
  </si>
  <si>
    <t>'Social License to Operate' (SLO) is now a key term in natural resource development vocabulary across the world. Like industries such as mining, forestry and renewable energy, the concept is increasingly found across aquaculture research, policy, and activism. As a state in which SLO has been well-studied but is also continuing to be questioned, Tasmania constitutes a useful case study to investigate the concept and to reflect on the lessons learnt for the state and more broadly. Using a desk-based thematic analysis of scholarly literature and grey literature from industry, government and NGOs, this study shows that aquaculture SLO in Tasmania depends on messaging and perceptions of benefits, sustainability, and procedural fairness as well as historical, international, national, and local industry context and the trustworthiness of a broad range of actors. If SLO for aquaculture is to be achieved and maintained, industry and government messaging should focus on a broader range of factors than only benefits for jobs and economy and environmental sustainability - as is often the focus.</t>
  </si>
  <si>
    <t>[Alexander, Karen A.] Univ Tasmania, Ctr Marine Socioecol, Hobart, Tas 7001, Australia; [Alexander, Karen A.] Univ Tasmania, Inst Marine &amp; Antarctic Studies, Private Bag 49, Hobart, Tas 7000, Australia</t>
  </si>
  <si>
    <t>Alexander, KA (corresponding author), Univ Tasmania, Ctr Marine Socioecol, Hobart, Tas 7001, Australia.</t>
  </si>
  <si>
    <t>karen.alexander@utas.edu.au</t>
  </si>
  <si>
    <t>Research Council of Norway [295114]</t>
  </si>
  <si>
    <t>Research Council of Norway(Research Council of Norway)</t>
  </si>
  <si>
    <t>This work was funded by the Research Council of Norway - project 'Social License to Operate for aquaculture' (295114). The author would like to thank Dr. Tonje Osmundsen, Dr. Jo Vince and two anonymous reviewers whose comments and suggestions helped to improve and clarify this manuscript.</t>
  </si>
  <si>
    <t>10.1016/j.aquaculture.2021.737875</t>
  </si>
  <si>
    <t>ZO0DM</t>
  </si>
  <si>
    <t>WOS:000765399400002</t>
  </si>
  <si>
    <t>Simms, AR; Best, L; Shennan, I; Bradley, SL; Small, D; Bustamante, E; Lightowler, A; Osleger, D; Sefton, J</t>
  </si>
  <si>
    <t>Simms, Alexander R.; Best, Louise; Shennan, Ian; Bradley, Sarah L.; Small, David; Bustamante, Emmanuel; Lightowler, Amy; Osleger, Dillon; Sefton, Juliet</t>
  </si>
  <si>
    <t>Investigating the roles of relative sea-level change and glacio-isostatic adjustment on the retreat of a marine based ice stream in NW Scotland</t>
  </si>
  <si>
    <t>WESTER ROSS READVANCE; RAPID BEDROCK UPLIFT; ANTARCTIC PENINSULA; NORTHWEST SCOTLAND; IRISH SEA; SHEET; CONSTRAINTS; GREENLAND; ADVANCE; MAXIMUM</t>
  </si>
  <si>
    <t>The record of ice-sheet demise since the last glacial maximum (LGM) provides an opportunity to test the relative importance of instability mechanisms, including relative sea-level (RSL) change, controlling ice-sheet retreat. Here we examine the record of RSL changes accompanying the retreat of the Minch Ice Stream (MnIS) of northwest Scotland during the deglaciation following the LGM as well as use the record to provide additional age constraints on a local late-glacial readvance known as the Wester Ross Read-vance. We use new and existing records of RSL change obtained from isolation basins in Wester Ross along the flanks of the former MnIS to test available glacial-isostatic adjustment (GIA) predictions of the deglacial RSL history for the region. Using these GIA model predictions we examine the nature of RSL change across the retreating front of the MnIS through the early deglaciation. Our new radiocarbon ages from these basins confirm the timing of deglaciation within the inner trough of the former MnIS as well as refines the age of the Wester Ross Readvance, both established by earlier cosmogenic-based studies. We find that the Wester Ross Readvance culminated around 15.8 +/- 0.1 ka, slightly earlier than recent suggestions. Near Gairloch, Wester Ross, RSL fell from a marine limit similar to 20 m above present at similar to 16.1-16.5 ka. Three isolation basins record RSL fall over the following similar to 0.8 ka allowing a comparison between GIA predictions and RSL observations. Our new analyses suggest that the rate of RSL rise increased at the ice front, in concert with the MnIS encountering a landward sloping bed potentially aiding the rapid retreat of the MnIS from 17.6 to 16.4 ka BP. This observation suggests that GIA during deglaciation does not necessarily induce a stabilizing RSL change to marine-based ice streams as some models have suggested. Along indented ice margins, the RSL field at the front of individual ice streams may be governed by the regional GIA signal driven by the ice sheet as a whole, rather than the local ice front. In addition, the stabilizing impact of post-glacial rebound is dependent on an Earth rheology weak enough to respond quickly to the ice-sheet retreat. In the case of the MnIS, the RSL experienced at the front of the ice stream was likely governed by the earlier ice mass extent, the larger ice masses lying to the east and south of the highly indented ice front, and the relatively strong Earth rheology beneath the British Isles. Thus, the geometry of the ice sheet margins, such as those in Greenland and Antarctica today, and the Earth rheology beneath them need to be taken into account when considering the stabilizing impact of postglacial rebound on marine ice sheet retreat. (C) 2022 The Authors. Published by Elsevier Ltd.</t>
  </si>
  <si>
    <t>[Simms, Alexander R.; Osleger, Dillon] Univ Calif Santa Barbara, Dept Earth Sci, Santa Barbara, CA 93106 USA; [Best, Louise] Univ Gloucestershire, Sch Nat &amp; Social Sci, Cheltenham, Glos, England; [Shennan, Ian; Small, David; Bustamante, Emmanuel; Lightowler, Amy; Sefton, Juliet] Univ Durham, Dept Geog, Durham, England; [Bradley, Sarah L.] Univ Sheffield, Dept Geog, Sheffield, S Yorkshire, England</t>
  </si>
  <si>
    <t>University of California System; University of California Santa Barbara; University of Gloucestershire; Durham University; University of Sheffield</t>
  </si>
  <si>
    <t>Simms, AR (corresponding author), Univ Calif Santa Barbara, Dept Earth Sci, Santa Barbara, CA 93106 USA.</t>
  </si>
  <si>
    <t>asimms@geol.ucsb.edu</t>
  </si>
  <si>
    <t>Simms, Alexander R/E-5609-2012; Shennan, Ian/A-4612-2011</t>
  </si>
  <si>
    <t>Small, David/0000-0001-8381-2060; Best, Louise/0000-0003-3731-054X; Bradley, Sarah Louise/0000-0003-3740-5696; Sefton, Juliet/0000-0001-7063-6029; Bustamante Fernandez, Emmanuel/0000-0003-3386-2021; Simms, Alexander/0000-0001-5034-2189</t>
  </si>
  <si>
    <t>US-UK Fulbright Commission; Durham University; UCSB Academic Faculty Senate Grant; Durham University Geography Department; NERC Independent Research Fellowship [NE/T011963/1]; NERC [NE/T011963/1] Funding Source: UKRI</t>
  </si>
  <si>
    <t>US-UK Fulbright Commission; Durham University; UCSB Academic Faculty Senate Grant; Durham University Geography Department; NERC Independent Research Fellowship(UK Research &amp; Innovation (UKRI)Natural Environment Research Council (NERC)); NERC(UK Research &amp; Innovation (UKRI)Natural Environment Research Council (NERC))</t>
  </si>
  <si>
    <t>This research was largely conducted while ARS was on sabbatical at Durham University, which was made possible through support from the US-UK Fulbright Commission and Durham University. Additional financial support came through a UCSB Academic Faculty Senate Grant and the Durham University Geography Department. DS is supported by a NERC Independent Research Fellowship NE/T011963/1. Cameron Gernant and Sara Nethercutt are thanked for their help in the field as is John Southon at UCI for help in radiocarbon dating. We also wish to thank Lorraine Lisiecki for comments on the manuscript and discussion.</t>
  </si>
  <si>
    <t>10.1016/j.quascirev.2021.107366</t>
  </si>
  <si>
    <t>WOS:000766906200019</t>
  </si>
  <si>
    <t>Chen, LZ; Mao, FY; Hong, J; Zang, L; Chen, JP; Zhang, Y; Gan, Y; Gong, W; Xu, HY</t>
  </si>
  <si>
    <t>Chen, Liuzhu; Mao, Feiyue; Hong, Jia; Zang, Lin; Chen, Jiangping; Zhang, Yi; Gan, Yuan; Gong, Wei; Xu, Houyou</t>
  </si>
  <si>
    <t>Improving PM2.5 predictions during COVID-19 lockdown by assimilating multi-source observations and adjusting emissions</t>
  </si>
  <si>
    <t>COVID-19; Data assimilation; PM2.5 predictions; 3D-var; WRF-Chem</t>
  </si>
  <si>
    <t>AIR-QUALITY; VARIATIONAL ASSIMILATION; TROPOSPHERIC AEROSOL; VERTICAL DIFFUSION; MODEL; FORECAST; IMPACT; CHINA; IMPLEMENTATION; REFLECTANCE</t>
  </si>
  <si>
    <t>The Coronavirus Disease 2019 (COVID-19) outbreak caused a suspension of almost all non-essential human activities, leading to a significant reduction of anthropogenic emissions. However, the emission inventory of the chemistry transport model cannot be updated in time, resulting in large uncertainty in PM2.5 predictions. This study adopted a three-dimensional variational approach to assimilate multi-source PM2.5 data from satellite and ground observations and jointly adjusted emissions to improve PM2.5 predictions of the WRF-Chem model. Experiments were conducted to verify the method over Hubei Province, China, during the COVID-19 epidemic from Jan 21st to Mar 20th, 2020. The results showed that PM2.5 predictions were improved at almost all the validation sites, and the benefit of data assimilation (DA) can last for 48 h. However, the benefits of DA diminished quickly with the increase of the forecast time. By adjusting emissions, the PM2.5 predictions showed a much slower error accumulation along forecast time. At 48Z, the RMSE still has an 8.85 mu g/m(3) (19.49%) improvement, suggesting the effectiveness of emissions adjustment based on the improved initial conditions via DA.</t>
  </si>
  <si>
    <t>[Chen, Liuzhu; Mao, Feiyue; Hong, Jia; Gan, Yuan] Wuhan Univ, State Key Lab Informat Engn Surveying Mapping &amp; R, Wuhan, Peoples R China; [Mao, Feiyue; Chen, Jiangping; Zhang, Yi] Wuhan Univ, Sch Remote Sensing &amp; Informat Engn, Wuhan, Peoples R China; [Zang, Lin] Wuhan Univ, Chinese Antarctic Ctr Surveying &amp; Mapping, Wuhan, Peoples R China; [Zang, Lin; Gong, Wei] Wuhan Univ, Elect Informat Sch, Wuhan, Peoples R China; [Xu, Houyou] Sinosteel Wuhan Safety &amp; Environm Protect Res Ins, Wuhan, Peoples R China</t>
  </si>
  <si>
    <t>Wuhan University; Wuhan University; Wuhan University; Wuhan University</t>
  </si>
  <si>
    <t>Hong, J (corresponding author), Wuhan Univ, State Key Lab Informat Engn Surveying Mapping &amp; R, Wuhan, Peoples R China.</t>
  </si>
  <si>
    <t>hongjia@whu.edu.cn</t>
  </si>
  <si>
    <t>National Natural Science Foundation of China [41971285, 41627804]; National Key Research and Development Program of China [2017YFC0212600]; LIESMARS Special Research Funding</t>
  </si>
  <si>
    <t>National Natural Science Foundation of China(National Natural Science Foundation of China (NSFC)); National Key Research and Development Program of China; LIESMARS Special Research Funding</t>
  </si>
  <si>
    <t>This study is supported by the National Natural Science Foundation of China (41971285 and 41627804), the National Key Research and Development Program of China (2017YFC0212600), and the LIESMARS Special Research Funding. The numerical calculations in this paper were done on the supercomputing system in the Supercomputing Center of Wuhan University.</t>
  </si>
  <si>
    <t>10.1016/j.envpol.2021.118783</t>
  </si>
  <si>
    <t>ZP4LE</t>
  </si>
  <si>
    <t>WOS:000766394900005</t>
  </si>
  <si>
    <t>Paton-Walsh, C; Emmerson, KM; Garland, RM; Keywood, M; Hoelzemann, JJ; Huneeus, N; Buchholz, RR; Humphries, RS; Altieri, K; Schmale, J; Wilson, SR; Labuschagne, C; Kalisa, E; Fisher, JA; Deutscher, NM; van Zyl, PG; Beukes, JP; Joubert, W; Martin, L; Mkololo, T; Barbosa, C; Andrade, MD; Schofield, R; Mallet, MD; Harvey, MJ; Formenti, P; Piketh, SJ; Olivares, G</t>
  </si>
  <si>
    <t>Paton-Walsh, Clare; Emmerson, Kathryn M.; Garland, Rebecca M.; Keywood, Melita; Hoelzemann, Judith J.; Huneeus, Nicolas; Buchholz, Rebecca R.; Humphries, Ruhi S.; Altieri, Katye; Schmale, Julia; Wilson, Stephen R.; Labuschagne, Casper; Kalisa, Egide; Fisher, Jenny A.; Deutscher, Nicholas M.; van Zyl, Pieter G.; Beukes, Johan P.; Joubert, Warren; Martin, Lynwil; Mkololo, Thumeka; Barbosa, Cybelli; Andrade, Maria de Fatima; Schofield, Robyn; Mallet, Marc D.; Harvey, Mike J.; Formenti, Paola; Piketh, Stuart J.; Olivares, Gustavo</t>
  </si>
  <si>
    <t>Key challenges for tropospheric chemistry in the Southern Hemisphere</t>
  </si>
  <si>
    <t>Biogenics; Fires; Southern Ocean</t>
  </si>
  <si>
    <t>VOLATILE ORGANIC-COMPOUNDS; BIOMASS BURNING EMISSIONS; AMAZONIAN RAIN-FOREST; CLOUD CONDENSATION NUCLEI; PARTICLE FORMATION EVENTS; AIR-QUALITY MANAGEMENT; BIOGENIC VOC EMISSIONS; AEROSOL OPTICAL DEPTH; ISOPRENE EMISSIONS; TRACE GASES</t>
  </si>
  <si>
    <t>This commentary paper from the recently formed International Global Atmospheric Chemistry (IGAC) Southern Hemisphere Working Group outlines key issues in atmospheric composition research that particularly impact the Southern Hemisphere. In this article, we present a broad overview of many of the challenges for understanding atmospheric chemistry in the Southern Hemisphere, before focusing in on the most significant factors that differentiate it from the Northern Hemisphere. We present sections on the importance of biogenic emissions and fires in the Southern Hemisphere, showing that these emissions often dominate over anthropogenic emissions in many regions. We then describe how these and other factors influence air quality in different parts of the Southern Hemisphere. Finally, we describe the key role of the Southern Ocean in influencing atmospheric chemistry and conclude with a description of the aims and scope of the newly formed IGAC Southern Hemisphere Working Group.</t>
  </si>
  <si>
    <t>[Paton-Walsh, Clare; Wilson, Stephen R.; Fisher, Jenny A.; Deutscher, Nicholas M.] Univ Wollongong, Sch Earth Atmospher &amp; Life Sci, Ctr Atmospher Chem, Wollongong, NSW, Australia; [Emmerson, Kathryn M.; Keywood, Melita; Humphries, Ruhi S.] CSIRO Oceans &amp; Atmosphere, Climate Sci Ctr, Melbourne, Vic, Australia; [Garland, Rebecca M.] Counci &amp; Sci &amp; Ind Res, Pretoria, South Africa; [Garland, Rebecca M.; Piketh, Stuart J.] North West Univ, Unit Environm Sci &amp; Management, Potchefstroom, South Africa; [Garland, Rebecca M.] Univ Pretoria, Dept Geog Geoinformat &amp; Meteorol, Pretoria, South Africa; [Keywood, Melita; Humphries, Ruhi S.; Mallet, Marc D.] Univ Tasmania, Inst Marine &amp; Antarctic Studies, Australian Antarctic Program Partnership, Hobart, Tas, Australia; [Hoelzemann, Judith J.] Univ Fed Rio Grande do Norte, Dept Atmospher &amp; Climate Sci, Natal, RN, Brazil; [Huneeus, Nicolas] Univ Chile, Dept Geophys, Santiago, Chile; [Buchholz, Rebecca R.] Natl Ctr Atmospher Res, Atmospher Chem Observat &amp; Modeling, POB 3000, Boulder, CO 80307 USA; [Altieri, Katye] Univ Cape Town, Dept Oceanog, Rondebosch, South Africa; [Schmale, Julia] Ecole Polytech Fed Lausanne, Extreme Environm Res Lab, Lausanne, Switzerland; [Labuschagne, Casper; Joubert, Warren; Martin, Lynwil; Mkololo, Thumeka] South African Weather Serv, Cape Point Global Atmosphere Watch, Cape Point, South Africa; [Kalisa, Egide] Univ Rwanda, Coll Sci &amp; Technol, Kigali, Rwanda; [van Zyl, Pieter G.; Beukes, Johan P.] North West Univ, Chem Resource Beneficiat, Atmospher Chem Res Grp, Potchefstroom, South Africa; [Barbosa, Cybelli] Univ Fed Parana, Dept Environm Engn, Curitiba, Parana, Brazil; [Andrade, Maria de Fatima] Univ Sao Paulo, Inst Astron Geofis &amp; Ciencias Atmosfer, Sao Paulo, Brazil; [Schofield, Robyn] Univ Melbourne, Sch Geog Earth &amp; Atmospher Sci, Parkville, Vic, Australia; [Harvey, Mike J.] Natl Inst Water &amp; Atmospher Res, Wellington, New Zealand; [Formenti, Paola] Univ Paris, Paris, France; [Formenti, Paola] Univ Paris Est Creteil, CNRS, LISA, Paris, France; [Olivares, Gustavo] Natl Inst Water &amp; Atmospher Res, Auckland, New Zealand</t>
  </si>
  <si>
    <t>University of Wollongong; Commonwealth Scientific &amp; Industrial Research Organisation (CSIRO); Melbourne Genomics Health Alliance; North West University - South Africa; University of Pretoria; University of Tasmania; Universidade Federal do Rio Grande do Norte; Universidad de Chile; National Center Atmospheric Research (NCAR) - USA; University of Cape Town; Swiss Federal Institutes of Technology Domain; Ecole Polytechnique Federale de Lausanne; South African Weather Service (SAWS); University of Rwanda; North West University - South Africa; Universidade Federal do Parana; Universidade de Sao Paulo; University of Melbourne; National Institute of Water &amp; Atmospheric Research (NIWA) - New Zealand; Universite Paris Cite; Universite Paris-Est-Creteil-Val-de-Marne (UPEC); Universite Paris Cite; Centre National de la Recherche Scientifique (CNRS); National Institute of Water &amp; Atmospheric Research (NIWA) - New Zealand</t>
  </si>
  <si>
    <t>Paton-Walsh, C (corresponding author), Univ Wollongong, Sch Earth Atmospher &amp; Life Sci, Ctr Atmospher Chem, Wollongong, NSW, Australia.</t>
  </si>
  <si>
    <t>clarem@uow.edu.au</t>
  </si>
  <si>
    <t>Altieri, Katye/GWV-4512-2022; Olivares, Gustavo/H-2699-2019; de Fatima Andrade, Maria/AAE-1798-2020; Huneeus, Nicolas/IVH-5476-2023; Schmale, Julia Yvonne/Q-3942-2019; Garland, Rebecca/GMX-3400-2022; Doussin, Jean-Francois/C-5246-2012; Garland, Rebecca M/O-1808-2015; Fisher, Jenny A/J-3979-2012; da Costa Andrade, Maria Eduarda/IXN-1199-2023; Humphries, Ruhi S/M-4074-2018; Schofield, Robyn/A-4062-2010; Hoelzemann, Judith Johanna/P-4839-2016; Emmerson, Kathryn M/A-1678-2012; Andrade, Maria/HKN-0074-2023; Buchholz, Rebecca R./F-1861-2011; ANDRADE, MARIA/JGM-7159-2023; Harvey, Mike/A-5354-2010; Barbosa, Cybelli/HTS-9070-2023; Paton-Walsh, Clare/B-2774-2009; Deutscher, Nicholas/E-3683-2015; Wilson, Stephen/B-8541-2008</t>
  </si>
  <si>
    <t>Altieri, Katye/0000-0002-6778-4079; Olivares, Gustavo/0000-0001-8045-216X; de Fatima Andrade, Maria/0000-0001-5351-8311; Schmale, Julia Yvonne/0000-0002-1048-7962; Garland, Rebecca M/0000-0002-1855-8622; Fisher, Jenny A/0000-0002-2921-1691; Humphries, Ruhi S/0000-0002-4864-5321; Schofield, Robyn/0000-0002-4230-717X; Hoelzemann, Judith Johanna/0000-0002-4865-5351; Emmerson, Kathryn M/0000-0002-0727-0340; Buchholz, Rebecca R./0000-0001-8124-2455; Harvey, Mike/0000-0002-0979-0227; Kalisa, Egide/0000-0001-9906-583X; Mallet, Marc/0000-0003-2749-8833; Paton-Walsh, Clare/0000-0003-1156-4138; Huneeus, Nicolas/0000-0002-6214-5518; Barbosa, Cybelli/0000-0001-6156-8749; Deutscher, Nicholas/0000-0002-2906-2577; Wilson, Stephen/0000-0003-4546-2527</t>
  </si>
  <si>
    <t>U.S. National Science Foundation [AGS 1806194]; National Aeronautics and Space Administration [80NSSC18K1555]; National Oceanographic and Atmospheric Administration [NA18OAR4310254]; National Science Foundation [1852977]; Australian Research Council Future Fellowship [FT180100327]; Ferring Pharmaceuticals</t>
  </si>
  <si>
    <t>U.S. National Science Foundation(National Science Foundation (NSF)); National Aeronautics and Space Administration(National Aeronautics &amp; Space Administration (NASA)); National Oceanographic and Atmospheric Administration(National Oceanic Atmospheric Admin (NOAA) - USA); National Science Foundation(National Science Foundation (NSF)); Australian Research Council Future Fellowship(Australian Research Council); Ferring Pharmaceuticals(Ferring Pharmaceuticals)</t>
  </si>
  <si>
    <t>International Global Atmospheric Chemistry has been supported for many years with successive funding grants from the U.S. National Science Foundation (grant AGS 1806194), the National Aeronautics and Space Administration (grant 80NSSC18K1555), and the National Oceanographic and Atmospheric Administration (grant NA18OAR4310254). The National Center for Atmospheric Research is a major facility sponsored by the National Science Foundation under Cooperative Agreement No. 1852977. NMD is supported by an Australian Research Council Future Fellowship, FT180100327. JS holds the Ingvar Kamprad Chair for extreme environments research sponsored by Ferring Pharmaceuticals.</t>
  </si>
  <si>
    <t>JAN 7</t>
  </si>
  <si>
    <t>10.1525/elementa.2021.00050</t>
  </si>
  <si>
    <t>YU2PX</t>
  </si>
  <si>
    <t>WOS:000751890400001</t>
  </si>
  <si>
    <t>Patzer, A; Bullock, ES; Alexander, CMOD</t>
  </si>
  <si>
    <t>Patzer, Andrea; Bullock, Emma S.; Alexander, Conel M. O'D.</t>
  </si>
  <si>
    <t>Testing models for the compositions of chondrites and their components: II. CR chondrites</t>
  </si>
  <si>
    <t>Carbonaceous chondrites; Chondritic components; Chondritic compositions; Chondrule-matrix complementarity; Four-component model; Early Solar System evolution; Chondrules; Chondritic matrix; CR chondrites</t>
  </si>
  <si>
    <t>EARLY SOLAR-SYSTEM; CARBONACEOUS CHONDRITES; ORGANIC-MATTER; AQUEOUS ALTERATION; AMINO-ACIDS; METEORITICAL BULLETIN; ISOTOPIC COMPOSITIONS; THERMAL METAMORPHISM; CHONDRULE RIMS; QUE 99177</t>
  </si>
  <si>
    <t>Knowing how the major chondritic components evolved and what their initial compositions were is pivotal for our understanding of the processes that shaped the early Solar System. Here, we have extended to the CR chondrites our testing of chondrule-matrix complementarity and the four-component model, i.e., two very different explanations for the bulk compositions of the carbonaceous chondrites and their components. Combining point-counting with electron microprobe analyses, we have analyzed four relatively primitive Antarctic CRs and the fall Renazzo. Our results for the abundances of chondrules and matrix are in good agreement with literature data, and confirm that these abundances vary considerably amongst the CRs (80.4 +/- 2.3 wt.% and 18.5 +/- 2.8 wt.%, respectively, in the four Antarctic CRs vs. 62.3 +/- 3.4 wt.% and 33.2 +/- 2.2 wt.% in Renazzo). The significant differences make the determination of the average properties and bulk compositions of the CRs problematic. This is particularly true for the volatile elements that were predominantly accreted in matrix. Nevertheless, all major and many minor element concentrations reported in the literature for average bulk CRs are reproduced here to better than 10%. By comparing our results to conventionally determined bulk compositions, we were able to verify the accuracy of our approach and identify elements likely affected by alteration or analytical artifacts (e.g., Ti, K, Co). Two particular compositional details of the CR chondrites investigated are (a) the relatively high contents of Mn in the chondrules compared to CO chondrules, and (b) the depletion of S in the matrix, relative to CI. In terms of the major elements Mg, Al, Si and Ca, our data suggest that unaltered chondrules and matrix exhibited CI-like relative abundances, supporting previous conclusions for the CO chondrites. Where observed, deviations of element abundances in the matrix from CI (Na, Mg, S, Ca, Fe, Ni) can be explained in terms of alteration (parent body and terrestrial) and pre-accretionary loss of forsterite and, possibly, sulfides. Overall, our results are more consistent with the predictions of the four-component model than they are with chondrulematrix complementarity. (C) 2022 Elsevier Ltd. All rights reserved.</t>
  </si>
  <si>
    <t>[Patzer, Andrea; Bullock, Emma S.; Alexander, Conel M. O'D.] Carnegie Inst Sci, Earth &amp; Planets Lab, 5241 Broad Branch Rd NW, Washington, DC 20015 USA</t>
  </si>
  <si>
    <t>Carnegie Institution for Science</t>
  </si>
  <si>
    <t>Patzer, A (corresponding author), Univ Goettingen, Geosci Ctr, Goldschmidtstr 1, D-37077 Gottingen, Germany.</t>
  </si>
  <si>
    <t>apatzer@uni-muenster.de</t>
  </si>
  <si>
    <t>Alexander, Conel M. O'D./N-7533-2013; Bullock, Emma/A-3870-2016</t>
  </si>
  <si>
    <t>Alexander, Conel M. O'D./0000-0002-8558-1427;</t>
  </si>
  <si>
    <t>NASA Emerging Worlds grant [80NSSC18K0599]; DFG [PA 2357/6-1]; NSF; NASA</t>
  </si>
  <si>
    <t>NASA Emerging Worlds grant; DFG(German Research Foundation (DFG)); NSF(National Science Foundation (NSF)); NASA(National Aeronautics &amp; Space Administration (NASA))</t>
  </si>
  <si>
    <t>This work was made possible by NASA Emerging Worlds grant 80NSSC18K0599 and, since August 2020, also by DFG grant PA 2357/6-1 for AP. The authors thank Pierre-Marie Zanetta, Dominik Hezel and Andreas Pack for reviews that significantly improved this paper. The authors would like to also thank NASA's Johnson Space Center for supplying the sections of EET 92042, MET 00426, MIL 090657 and QUE 99177. US Antarctic meteorite samples are recovered by the Antarctic Search for Meteorites (ANSMET) program, which has been funded by the NSF and NASA, and characterized and curated by the Department of Min-eral Sciences of the Smithsonian Institution and the Astromaterials Curation Office at NASA Johnson Space Center. The Renazzo-1 section was kindly provided by the Smithsonian Museum of Natural History, and the Renazzo-2 section by The University of Parma, Italy. In addition, we thankfully acknowledge the support from J. Berndt-Gerdes who operates the EPMA at the Institute for Miner-alogy in Muenster, Germany.</t>
  </si>
  <si>
    <t>10.1016/j.gca.2021.12.021</t>
  </si>
  <si>
    <t>YI9JO</t>
  </si>
  <si>
    <t>WOS:000744157500001</t>
  </si>
  <si>
    <t>Pukite, J; Borger, C; Dörner, S; Gu, M; Wagner, T</t>
  </si>
  <si>
    <t>Pukite, Janis; Borger, Christian; Doerner, Steffen; Gu, Myojeong; Wagner, Thomas</t>
  </si>
  <si>
    <t>OClO as observed by TROPOMI: a comparison with meteorological parameters and polar stratospheric cloud observations</t>
  </si>
  <si>
    <t>MONITORING EXPERIMENT GOME; CHLORINE ACTIVATION; OZONE DEPLETION; LIMB MEASUREMENTS; MCMURDO-STATION; WINTER; ANTARCTICA; SCIAMACHY; RETRIEVAL; ALGORITHM</t>
  </si>
  <si>
    <t>Chlorine dioxide (OClO) is a by-product of the ozone-depleting halogen chemistry in the stratosphere. Although it is rapidly photolysed at low solar zenith angles (SZAs), it plays an important role as an indicator of the chlorine activation in polar regions during polar winter and spring at twilight conditions because of the nearly linear dependence of its formation on chlorine oxide (ClO). Here, we compare slant column densities (SCDs) of chlorine dioxide (OClO) retrieved by means of differential optical absorption spectroscopy (DOAS) from spectra measured by the TROPOspheric Monitoring Instrument (TROPOMI) with meteorological data for both Antarctic and Arctic regions for the first three winters in each of the hemispheres (November 2017-October 2020). TROPOMI, a UV-Vis-NIR-SWIR instrument on board of the Sentinel-5P satellite, monitors the Earth's atmosphere in a near-polar orbit at an unprecedented spatial resolution and signal-to-noise ratio and provides daily global coverage at the Equator and thus even more frequent observations at polar regions. The observed OClO SCDs are generally well correlated with the meteorological conditions in the polar winter stratosphere; for example, the chlorine activation signal appears as a sharp gradient in the time series of the OClO SCDs once the temperature drops to values well below the nitric acid trihydrate (NAT) existence temperature (TNAT). Also a relation of enhanced OClO values at lee sides of mountains can be observed at the beginning of the winters, indicating a possible effect of lee waves on chlorine activation. The dataset is also compared with CALIPSO Cloud-Aerosol Lidar with Orthogonal Polarization (CALIOP) polar stratospheric cloud (PSC) observations. In general, OClO SCDs coincide well with CALIOP measurements for which PSCs are detected. Very high OClO levels are observed for the northern hemispheric winter 2019/20, with an extraordinarily long period with a stable polar vortex being even close to the values found for southern hemispheric winters. An extraordinary winter in the Southern Hemisphere was also observed in 2019, with a minor sudden stratospheric warming at the beginning of September. In this winter, similar OClO values were measured in comparison to the previous (usual) winter till that event but with a OClO deactivation that was 1-2 weeks earlier.</t>
  </si>
  <si>
    <t>[Pukite, Janis; Borger, Christian; Doerner, Steffen; Gu, Myojeong; Wagner, Thomas] Max Planck Inst Chem, Mainz, Germany</t>
  </si>
  <si>
    <t>Max Planck Society</t>
  </si>
  <si>
    <t>Pukite, J (corresponding author), Max Planck Inst Chem, Mainz, Germany.</t>
  </si>
  <si>
    <t>janis.pukite@mpic.de</t>
  </si>
  <si>
    <t>Borger, Christian/0000-0002-1128-3718; Ziegler, Steffen/0000-0002-5049-5692</t>
  </si>
  <si>
    <t>10.5194/acp-22-245-2022</t>
  </si>
  <si>
    <t>YD6EG</t>
  </si>
  <si>
    <t>WOS:000740532800001</t>
  </si>
  <si>
    <t>Goosse, H; Barriat, PY; Brovkin, V; Klein, F; Meissner, KJ; Menviel, L; Mouchet, A</t>
  </si>
  <si>
    <t>Goosse, Hugues; Barriat, Pierre-Yves; Brovkin, Victor; Klein, Francois; Meissner, Katrin J.; Menviel, Laurie; Mouchet, Anne</t>
  </si>
  <si>
    <t>Changes in atmospheric CO2 concentration over the past two millennia: contribution of climate variability, land-use and Southern Ocean dynamics</t>
  </si>
  <si>
    <t>Last millennium; Carbon cycle; Southern Ocean; CO2; Modelling; Data assimilation</t>
  </si>
  <si>
    <t>SCALE TEMPERATURE VARIABILITY; EARTH SYSTEM MODELS; ANNULAR MODE; NATURAL VARIABILITY; CARBON SIMULATIONS; LAST MILLENNIUM; ANTARCTIC ICE; HOLOCENE; CYCLE; TRENDS</t>
  </si>
  <si>
    <t>The fluctuations of atmospheric CO2 concentrations over the preindustrial Common Era are generally attributed to changes in land carbon storage, caused primarily by changes in surface air temperature but also by changes in land use. This dominant influence of the land carbon cycle is consistent with the negative correlation between atmospheric CO2 concentrations and delta(CO2)-C-13 variations recorded in ice cores. By performing an ensemble of sensitivity experiments with the LOVECLIM model, we confirm the potentially large role that temperature changes have on the land carbon cycle. However, this process alone cannot explain the magnitude of the reconstructed atmospheric CO2 and delta(CO2)-C-13 variations. In particular, even when the model is constrained to follow reconstructed temperature changes by data assimilation, and when applying relatively large values of the climate-carbon feedback parameter, it can only explain about 50% of the atmospheric CO2 decrease between the 12th and the seventeenth century. We find that land use changes are likely responsible for most of the observed long term atmospheric CO2 trend over the first millennium of the Common Era, and for up to 30% of the decrease observed after 1600 CE. In addition, in our experiments, changes in southern hemisphere westerly winds induce slightly smaller changes in atmospheric CO2 concentrations than those associated with land use change, and variations in delta(CO2)-C-13 of the same order of magnitude as the observed ones. Combining the effects of changes in temperature, land use and winds over the Southern Ocean provides a reasonable agreement with reconstructions for atmospheric CO2 concentrations and delta(CO2)-C-13, especially for the low CO2 values observed during the seventeenth century. This underlines the important contribution of both land and ocean carbon processes. Nevertheless, some uncertainties remain on the origin of the relatively high CO2 concentrations reconstructed during the eleventh and sixteenth centuries.</t>
  </si>
  <si>
    <t>[Goosse, Hugues; Barriat, Pierre-Yves; Klein, Francois] UCLouvain, Earth &amp; Life Inst, Louvain, Belgium; [Brovkin, Victor] MPI Meteorol, Hamburg, Germany; [Meissner, Katrin J.; Menviel, Laurie] Univ New South Wales, Climate Change Res Ctr, Sydney, NSW, Australia; [Meissner, Katrin J.] Univ New South Wales, Australian Res Council Ctr Excellence Climate Ext, Sydney, NSW, Australia; [Menviel, Laurie] Univ Tasmania, Australian Ctr Excellence Antarctic Sci, Hobart, Tas, Australia; [Mouchet, Anne] Univ Liege, Freshwater &amp; OCean Sci Unit ReS FOCUS, Liege, Belgium; [Brovkin, Victor] Univ Hamburg, Ctr Earth Syst Res &amp; Sustainabil, Hamburg, Germany</t>
  </si>
  <si>
    <t>Universite Catholique Louvain; University of New South Wales Sydney; University of New South Wales Sydney; University of Tasmania; University of Liege; University of Hamburg</t>
  </si>
  <si>
    <t>Goosse, H (corresponding author), UCLouvain, Earth &amp; Life Inst, Louvain, Belgium.</t>
  </si>
  <si>
    <t>hugues.goosse@uclouvain.be</t>
  </si>
  <si>
    <t>Brovkin, Victor/C-2803-2016; Menviel, Laurie/D-6902-2013</t>
  </si>
  <si>
    <t>Brovkin, Victor/0000-0001-6420-3198; Menviel, Laurie/0000-0002-5068-1591; Meissner, Katrin/0000-0002-0716-7415</t>
  </si>
  <si>
    <t>Belgian Research Action through Interdisciplinary Networks (BRAIN.be) from Belgian Science Policy Office [BR/165/A2/Mass2Ant]; Belgian F.R.S.-FNRS; Fond de la Recherche Scientique de Belgique (F.R.S.-FNRS) [2.5020.11]; German Federal Ministry of Education and Research (BMBF); Australian Research Council [DP180100048, FT180100606]</t>
  </si>
  <si>
    <t>Belgian Research Action through Interdisciplinary Networks (BRAIN.be) from Belgian Science Policy Office; Belgian F.R.S.-FNRS(Fonds de la Recherche Scientifique - FNRS); Fond de la Recherche Scientique de Belgique (F.R.S.-FNRS); German Federal Ministry of Education and Research (BMBF)(Federal Ministry of Education &amp; Research (BMBF)); Australian Research Council(Australian Research Council)</t>
  </si>
  <si>
    <t>This work was supported by the Belgian Research Action through Interdisciplinary Networks (BRAIN.be) from Belgian Science Policy Office in the framework of the project East Antarctic surface mass balance in the Anthropocene: observations and multiscale modelling (Mass2Ant) (Contract No. BR/165/A2/Mass2Ant) and the Belgian F.R.S.-FNRS. Computational resources have been provided by the supercomputing facilities of the Universite catholique de Louvain (CISM/UCL) and the Consortium des Equipements de Calcul Intensif en Federation Wallonie Bruxelles (CECI) funded by the Fond de la Recherche Scientique de Belgique (F.R.S.-FNRS) under convention 2.5020.11.Victor Brovkin acknowledges support through the project PalMod, funded by the German Federal Ministry of Education and Research (BMBF). Katrin Meissner and Laurie Menviel acknowledge funding from the Australian Research Council (DP180100048, FT180100606).</t>
  </si>
  <si>
    <t>10.1007/s00382-021-06078-z</t>
  </si>
  <si>
    <t>WOS:000739773100001</t>
  </si>
  <si>
    <t>Lin, JX; Zhang, YY; Li, YW; Sun, PZ; Ren, X; Li, DM</t>
  </si>
  <si>
    <t>Lin, Junxin; Zhang, Yuying; Li, Yiwei; Sun, Peizi; Ren, Xiang; Li, Dongmei</t>
  </si>
  <si>
    <t>Improving the texture properties and protein thermal stability of Antarctic krill (Euphausia superba) by L-lysine marination</t>
  </si>
  <si>
    <t>JOURNAL OF THE SCIENCE OF FOOD AND AGRICULTURE</t>
  </si>
  <si>
    <t>Antarctic krill (Euphausia superba); l-lysine; texture; moisture distribution; protein structure</t>
  </si>
  <si>
    <t>NUCLEAR-MAGNETIC-RESONANCE; L-ARGININE; GELLING PROPERTIES; EMULSION GELS; MYOSIN; NMR; PHOSPHATE; QUALITY; WATER; MEAT</t>
  </si>
  <si>
    <t>BACKGROUND The quality deterioration of Antarctic krill (Euphausia superba) after thermal processing limits its industrial application. This study sought to improve the texture characteristics of Antarctic krill after heat treatment through pre-soaking using l-lysine (Lys) solution and sodium tripolyphosphate (STPP). Moreover, the effects of Lys on heat-treated Antarctic krill were explored. RESULTS Lys significantly reduced the cooking loss and improved the texture characteristics of Antarctic krill during heat treatment. The low-field nuclear magnetic resonance results showed that Lys reduced the water loss of Antarctic krill during heat treatment. Additionally, the surface hydrophobicity, Fourier transform infrared spectroscopy, and endogenous fluorescence spectroscopy results showed that Lys could inhibit the structural damage of Antarctic krill protein under the thermal denaturation condition and enhance the thermal stability of the protein. The scanning electron microscopy results showed that Lys could protect the structural integrity of Antarctic krill muscle fibers during heat treatment. CONCLUSION The cooking loss in the Lys added groups was better than the sodium tripolyphosphate added group, and 2.0% Lys solution could minimize the cooking loss of Antarctic krill. The secondary and tertiary structures of the Antarctic krill protein were actively protected by Lys during heat treatment. Overall, the study will provide insights into the application of Lys in the food industry as a natural additive and an alternative to phosphate. (c) 2021 Society of Chemical Industry.</t>
  </si>
  <si>
    <t>[Lin, Junxin; Zhang, Yuying; Li, Yiwei; Sun, Peizi; Ren, Xiang; Li, Dongmei] Dalian Polytech Univ, Sch Food Sci &amp; Technol, Dalian, Peoples R China; [Li, Dongmei] Natl Engn Res Ctr Seafood, Dalian, Peoples R China; [Li, Dongmei] Dalian Polytech Univ, Collaborat Innovat Ctr Seafood Deep Proc, Dalian, Peoples R China</t>
  </si>
  <si>
    <t>Dalian Polytechnic University; Dalian Polytechnic University; Dalian Polytechnic University</t>
  </si>
  <si>
    <t>Li, DM (corresponding author), Dalian Polytech Univ, Collaborat Innovat Ctr Seafood Deep Proc, Sch Food Sci &amp; Technol, Natl Engn Res Ctr Seafood, Dalian 116034, Liaoning, Peoples R China.</t>
  </si>
  <si>
    <t>426417898@qq.com</t>
  </si>
  <si>
    <t>Zhang, Yuying/JXL-5388-2024; Wang, Jin/GYA-2019-2022; shi, chen/KEH-8339-2024; ren, xiang/HLQ-5068-2023</t>
  </si>
  <si>
    <t>Zhang, Yuying/0000-0001-9420-4300;</t>
  </si>
  <si>
    <t>National Key Research and Development Project of China [2017YFD0400504]</t>
  </si>
  <si>
    <t>National Key Research and Development Project of China</t>
  </si>
  <si>
    <t>This work was supported by the National Key Research and Development Project of China (grant no. 2017YFD0400504).</t>
  </si>
  <si>
    <t>0022-5142</t>
  </si>
  <si>
    <t>1097-0010</t>
  </si>
  <si>
    <t>J SCI FOOD AGR</t>
  </si>
  <si>
    <t>J. Sci. Food Agric.</t>
  </si>
  <si>
    <t>10.1002/jsfa.11741</t>
  </si>
  <si>
    <t>2A4AR</t>
  </si>
  <si>
    <t>WOS:000740075300001</t>
  </si>
  <si>
    <t>Barnes, TC; Broadhurst, MK; Johnson, DD</t>
  </si>
  <si>
    <t>Barnes, Thomas C.; Broadhurst, Matt K.; Johnson, Daniel D.</t>
  </si>
  <si>
    <t>Disparity among recommended and adopted escape-gap designs and their utility for improving selection in an Australian portunid trap fishery</t>
  </si>
  <si>
    <t>Bycatch; Bycatch reduction device; Crustaceans; Escape gaps; Escape vents; Portunids; Scylla serrata; Selectivity; Trap</t>
  </si>
  <si>
    <t>MESH SIZE; COLLAPSIBLE POT; ZERO-INFLATION; BYCATCH; CRAB; PELAGICUS; PERFORMANCE; MANAGEMENT; MORTALITY; FRAMEWORK</t>
  </si>
  <si>
    <t>Over the past decade, most efforts at improving the selectivity of commercial, baited traps targeting the giant mud crab, Scylla serrata in south-eastern Australia have focused on testing rectangular escape gaps (46 mm high x 90-120 mm wide) in spatially and temporally restricted manipulative experiments, followed by some promotion among local fishers. Anecdotal data imply wider adoption of escape gaps throughout unassessed regions of the fishery, but there are no data on escape-gap designs, or if performances correspond to predictions from isolated experiments. This deficit was addressed here via a fishery-wide, observer-based assessment. During two fishing seasons, six observers sampled catches from seven estuaries responsible for 80% of the total S. serrata harvest. Most fishers used collapsible netted cylindrical traps (83% of traps and made from 50-55 mm stretched mesh opening); among which similar to 10% were fitted with one rectangular escape gap, while 37% had one or two circular escape gaps (85-90 mm diameter). Compared to traps with no escape gaps, those with rectangular escape gaps (46 x 120 mm) reduced the numbers of undersized S. serrata by 92% (similar to observations during previous manipulative experiments); but those with circular escape gaps did not reduce any unwanted catches. Rather, traps with circular escape gaps caught more legal-sized S. serrata, which was attributed to possible species-specific behaviours in the traps and less egress through funnel entrances. This result potentially contributed towards fisher opinions of circular escape-gap success (given they want to maximize desirable catches) and facilitated their wider adoption. The data reiterate ongoing fishery assessments are essential to understand the performances of evolving/devolving gear modifications and ensure intended stakeholder and resource management expectations are realized.</t>
  </si>
  <si>
    <t>[Barnes, Thomas C.; Johnson, Daniel D.] Port Stephens Fisheries Inst, NSW Dept Primary Ind, Locked Bag 1, Nelson Bay, NSW 2315, Australia; [Barnes, Thomas C.] Univ Tasmania, Inst Marine &amp; Antarctic Studies, Hobart, Tas 7001, Australia; [Broadhurst, Matt K.] Southern Cross Univ, Natl Marine Sci Ctr, Fisheries Conservat Technol Unit, NSW Dept Primary Ind, Coffs Harbour, NSW 2450, Australia; [Broadhurst, Matt K.] Univ Queensland, Sch Biol Sci, Marine &amp; Estuarine Ecol Unit, Brisbane, Qld 4072, Australia</t>
  </si>
  <si>
    <t>NSW Department of Primary Industries; University of Tasmania; Southern Cross University; NSW Department of Primary Industries; University of Queensland</t>
  </si>
  <si>
    <t>Barnes, TC (corresponding author), Port Stephens Fisheries Inst, NSW Dept Primary Ind, Locked Bag 1, Nelson Bay, NSW 2315, Australia.</t>
  </si>
  <si>
    <t>NSW Marine Estate Management Strategy; NSW Department of Primary Industries</t>
  </si>
  <si>
    <t>Funding for this research came from the NSW Marine Estate Management Strategy and the NSW Department of Primary Industries. We thank the observers and fishers who volunteered to participate in the project. Also, Alistair Becker, two anonymous reviewers, and journal editorial staff are thanked for useful reviews and comments. Field sampling was carried out under a Section 37 Scientific Collection Permit (permit P01/0059) and NSW DPI Animal Research Authority no. 07/03.</t>
  </si>
  <si>
    <t>10.1016/j.fishres.2021.106219</t>
  </si>
  <si>
    <t>D9AY7</t>
  </si>
  <si>
    <t>WOS:000971593700009</t>
  </si>
  <si>
    <t>Kim, HH; Bowman, JS; Luo, YW; Ducklow, HW; Schofield, OM; Steinberg, DK; Doney, SC</t>
  </si>
  <si>
    <t>Kim, Hyewon Heather; Bowman, Jeff S.; Luo, Ya-Wei; Ducklow, Hugh W.; Schofield, Oscar M.; Steinberg, Deborah K.; Doney, Scott C.</t>
  </si>
  <si>
    <t>Modeling polar marine ecosystem functions guided by bacterial physiological and taxonomic traits</t>
  </si>
  <si>
    <t>NUCLEIC-ACID CONTENT; ANTARCTIC PENINSULA; COMMUNITY COMPOSITION; FRESH-WATER; PARAMETER OPTIMIZATION; GROWTH-RATES; VARIABILITY; BACTERIOPLANKTON; OCEAN; WEST</t>
  </si>
  <si>
    <t>Heterotrophic marine bacteria utilize organic carbon for growth and biomass synthesis. Thus, their physiological variability is key to the balance between the production and consumption of organic matter and ultimately particle export in the ocean. Here we investigate a potential link between bacterial traits and ecosystem functions in the rapidly warming West Antarctic Peninsula (WAP) region based on a bacteria-oriented ecosystem model. Using a data assimilation scheme, we utilize the observations of bacterial groups with different physiological traits to constrain the group-specific bacterial ecosystem functions in the model. We then examine the association of the modeled bacterial and other key ecosystem functions with eight recurrent modes representative of different bacterial taxonomic traits. Both taxonomic and physiological traits reflect the variability in bacterial carbon demand, net primary production, and particle sinking flux. Numerical experiments under perturbed climate conditions demonstrate a potential shift from low nucleic acid bacteria to high nucleic acid bacteria-dominated communities in the coastal WAP. Our study suggests that bacterial diversity via different taxonomic and physiological traits can guide the modeling of the polar marine ecosystem functions under climate change.</t>
  </si>
  <si>
    <t>[Kim, Hyewon Heather] Woods Hole Oceanog Inst, Dept Marine Chem &amp; Geochem, Woods Hole, MA 02543 USA; [Kim, Hyewon Heather; Doney, Scott C.] Univ Virginia, Dept Environm Sci, Charlottesville, VA 22904 USA; [Bowman, Jeff S.] Univ Calif San Diego, Lntegrat Oceanog Div, Scripps Inst Oceanog, La Jolla, CA 92093 USA; [Luo, Ya-Wei] Xiamen Univ, Coll Ocean &amp; Earth Sci, State Key Lab Marine Environm Sci, Xiamen 361102, Fujian, Peoples R China; [Ducklow, Hugh W.] Columbia Univ, Lamont Doherty Earth Observ, Div Biol &amp; Paleo Environm, Palisades, NY 10964 USA; [Schofield, Oscar M.] Rutgers State Univ, Dept Marine &amp; Coastal Sci, New Brunswick, NJ 08901 USA; [Steinberg, Deborah K.] William &amp; Mary, Dept Biol Sci, Virginia Inst Marine Sci, Gloucester Point, VA 23062 USA</t>
  </si>
  <si>
    <t>Woods Hole Oceanographic Institution; University of Virginia; University of California System; University of California San Diego; Scripps Institution of Oceanography; Xiamen University; Columbia University; Rutgers University System; Rutgers University New Brunswick; William &amp; Mary; Virginia Institute of Marine Science</t>
  </si>
  <si>
    <t>Kim, HH (corresponding author), Woods Hole Oceanog Inst, Dept Marine Chem &amp; Geochem, Woods Hole, MA 02543 USA.;Kim, HH (corresponding author), Univ Virginia, Dept Environm Sci, Charlottesville, VA 22904 USA.</t>
  </si>
  <si>
    <t>hkim@whoi.edu</t>
  </si>
  <si>
    <t>Luo, Ya-Wei/C-9990-2016; Doney, Scott/F-9247-2010; Kim, Heather Hyewon/M-8039-2017</t>
  </si>
  <si>
    <t>Luo, Ya-Wei/0000-0001-6106-7901; Doney, Scott/0000-0002-3683-2437; Steinberg, Deborah K./0000-0001-9884-4655; Kim, Heather Hyewon/0000-0002-1280-3340; Bowman, Jeff/0000-0002-8811-6280</t>
  </si>
  <si>
    <t>NASA [NNX14AL86G]; NSF [PLR-1440435]; NASA [NNX14AL86G, 679094] Funding Source: Federal RePORTER</t>
  </si>
  <si>
    <t>NASA(National Aeronautics &amp; Space Administration (NASA)); NSF(National Science Foundation (NSF)); NASA(National Aeronautics &amp; Space Administration (NASA))</t>
  </si>
  <si>
    <t>This research has been supported by the NASA (grant no. NNX14AL86G) and the NSF (grant no. PLR-1440435).</t>
  </si>
  <si>
    <t>JAN 6</t>
  </si>
  <si>
    <t>10.5194/bg-19-117-2022</t>
  </si>
  <si>
    <t>YC4IQ</t>
  </si>
  <si>
    <t>WOS:000739657300001</t>
  </si>
  <si>
    <t>Catania, F; Oliveira, HD; Angeli, MAC; Ciocca, M; Pane, S; Münzenrieder, N; Cantarella, G</t>
  </si>
  <si>
    <t>Catania, Federica; Oliveira, Hugo De Souza; Costa Angeli, Martina A.; Ciocca, Manuela; Pane, Salvador; Munzenrieder, Niko; Cantarella, Giuseppe</t>
  </si>
  <si>
    <t>The Influence of Climate Conditions and On-Skin Positioning on InGaZnO Thin-Film Transistor Performance</t>
  </si>
  <si>
    <t>FRONTIERS IN ELECTRONICS</t>
  </si>
  <si>
    <t>thin-film transistors (TFTs); flexible electronics; oxide semiconductors; indium-gallium-zinc-oxide (IGZO); wearable electronics; humidity sensor; temperature sensor</t>
  </si>
  <si>
    <t>IGZO TFTS; ILLUMINATION; STABILITY</t>
  </si>
  <si>
    <t>Thin-film transistors (TFTs) based on amorphous indium-gallium-zinc-oxide (a-IGZO) have proved promising features for flexible and lightweight electronics. To achieve technological maturity for commercial and industrial applications, their stability under extreme environmental conditions is highly required. The combined effects of temperature (T) from -30.0 degrees C to 50.0 degrees C and relative humidity (RH) stress from 0 to 95% on a-IGZO TFT is presented. The TFT performances and the parameters variation were analysed in two different experiments. First, the TFT response was extracted while undergoing the most extreme climate conditions on Earth, ranging from the African Desert (50.0 degrees C, 22%) to Antarctic (-30.0 degrees C, 0%). Afterwards, the device functionality was demonstrated in three parts of the human body (forehand, arm and foot) at low (35%), medium (60%) and high (95%) relative humidity for on-skin and wearable applications. The sensitivity to T/RH variations suggests the suitability of these TFTs as sensing element for epidermal electronics and artificial skin.</t>
  </si>
  <si>
    <t>[Catania, Federica; Oliveira, Hugo De Souza; Costa Angeli, Martina A.; Ciocca, Manuela; Munzenrieder, Niko; Cantarella, Giuseppe] Free Univ Bolzano Bozen, Fac Sci &amp; Technol, Bolzano, Italy; [Pane, Salvador] Inst Robot &amp; Intelligent Syst, ETH Zurich, Zurich, Switzerland</t>
  </si>
  <si>
    <t>Free University of Bozen-Bolzano; Swiss Federal Institutes of Technology Domain; ETH Zurich</t>
  </si>
  <si>
    <t>Catania, F; Cantarella, G (corresponding author), Free Univ Bolzano Bozen, Fac Sci &amp; Technol, Bolzano, Italy.</t>
  </si>
  <si>
    <t>federica.catania@unibz.it; giuseppe.cantarella@unibz.it</t>
  </si>
  <si>
    <t>Cantarella, Giuseppe/AAT-3962-2020</t>
  </si>
  <si>
    <t>Cantarella, Giuseppe/0000-0002-6398-601X; Catania, Federica/0000-0002-0443-5197; Ciocca, Manuela/0000-0001-8014-9814</t>
  </si>
  <si>
    <t>Free University of Bozen (RTD Call FAST 2020, FERMI); Autonomous Province of Bozen-Bolzano/South Tyrol (Provincia Autonoma di Bolzano/Alto Adige-Ripartizione Innovazione, Ricerca, Universita e Musei) [2/34]; Autonomous Province of Bolzano-South Tyrol's European Regional Development Fund (ERDF) Program [EFRE/FESR 1068-Senslab]; Free University of Bozen-Bolzano</t>
  </si>
  <si>
    <t>Free University of Bozen (RTD Call FAST 2020, FERMI); Autonomous Province of Bozen-Bolzano/South Tyrol (Provincia Autonoma di Bolzano/Alto Adige-Ripartizione Innovazione, Ricerca, Universita e Musei); Autonomous Province of Bolzano-South Tyrol's European Regional Development Fund (ERDF) Program(European Union (EU)Marie Curie Actions); Free University of Bozen-Bolzano</t>
  </si>
  <si>
    <t>This work was partially supported by the Free University of Bozen (RTD Call FAST 2020, FERMI), by the Autonomous Province of Bozen-Bolzano/South Tyrol (Provincia Autonoma di Bolzano/Alto Adige-Ripartizione Innovazione, Ricerca, Universita e Musei) through the International Joint Cooperation between South Tyrol-Switzerland (FLEXIBOTS, grant no.: 2/34), by the Autonomous Province of Bolzano-South Tyrol's European Regional Development Fund (ERDF) Program (project codes EFRE/FESR 1068-Senslab), and by the Open Access Publishing Fund of the Free University of Bozen-Bolzano.</t>
  </si>
  <si>
    <t>2673-5857</t>
  </si>
  <si>
    <t>FRONT ELECTRON</t>
  </si>
  <si>
    <t>Front. Electron.</t>
  </si>
  <si>
    <t>10.3389/felec.2021.786601</t>
  </si>
  <si>
    <t>Engineering, Electrical &amp; Electronic</t>
  </si>
  <si>
    <t>AA2Y4</t>
  </si>
  <si>
    <t>WOS:001115677400001</t>
  </si>
  <si>
    <t>Mitsui, T; Boers, N</t>
  </si>
  <si>
    <t>Mitsui, Takahito; Boers, Niklas</t>
  </si>
  <si>
    <t>Machine learning approach reveals strong link between obliquity amplitude increase and the Mid-Brunhes transition</t>
  </si>
  <si>
    <t>Glacial-interglacial cycles; Mid-Brunhes event; Mid-Brunhes transition; Machine learning; Echo state network</t>
  </si>
  <si>
    <t>ANTARCTIC ICE-SHEET; GLACIAL CYCLES; CLIMATE; INSOLATION; EVOLUTION; VARIABILITY; PRECESSION; RECORD; EVENT; MODEL</t>
  </si>
  <si>
    <t>The Mid-Brunhes Transition (MBT) refers to the change in the amplitude of glacial-interglacial cycles around 430 ka BP, with more pronounced, warmer interglacials after ca. 430 ka BP. Despite the advances in the understanding of glacial cycles, the cause and mechanism of the MBT are still not entirely clear. In this study we examine (i) whether the MBT is caused by a change in the intrinsic dynamics of glacial cycles and (ii) how important the systematic changes of the orbital elements across the MBT are for the occurrence of the MBT. In order to address these questions, we take a pure machine-learning approach. We develop an artificial neural network model which provides a skilful 21-ka ahead prediction of glacialinterglacial changes in the LR04 benthic delta O-18 stack record as well as a sea level reconstruction obtained by an inverse model. This allows us to predict the interglacial levels from glacial conditions. Although the neural network model is trained over a pre-MBT period of 900-450 ka BP, it exhibits the intensification of interglacials after 450 ka BP. This suggests that the dynamical characteristics generating the stronger post-MBT interglacials is inherent already before the MBT. When the neural network model is forced by a hypothetical insolation for which the amplitude of the obliquity cycles is kept at pre-MBT level, the MBTlike phenomenon does not appear in our simulations. In line with earlier suggestions, our results thus give quantitative evidence that the MBT is caused by amplitude changes of the obliquity forcing. For comparison, our results suggest that the change in the mean eccentricity level across the MBT has a smaller impact on the appearance of the MBT. (C) 2021 Published by Elsevier Ltd.</t>
  </si>
  <si>
    <t>[Mitsui, Takahito; Boers, Niklas] Tech Univ Munich, Sch Engn &amp; Design, Earth Syst Modelling, Munich, Germany; [Mitsui, Takahito; Boers, Niklas] Potsdam Inst Climate Impact Res PIK, Telegraphenberg A56, D-14473 Potsdam, Germany; [Boers, Niklas] Univ Exeter, Dept Math, Exeter, Devon, England; [Boers, Niklas] Univ Exeter, Global Syst Inst, Exeter, Devon, England</t>
  </si>
  <si>
    <t>Technical University of Munich; Potsdam Institut fur Klimafolgenforschung; University of Exeter; University of Exeter</t>
  </si>
  <si>
    <t>Mitsui, T (corresponding author), Tech Univ Munich, Sch Engn &amp; Design, Earth Syst Modelling, Munich, Germany.</t>
  </si>
  <si>
    <t>takahito321@gmail.com</t>
  </si>
  <si>
    <t>Mitsui, Takahito/GLR-6685-2022; Boers, Niklas/Q-8953-2018</t>
  </si>
  <si>
    <t>Mitsui, Takahito/0000-0002-2825-3996;</t>
  </si>
  <si>
    <t>Volkswagen Foundation; European Union's Horizon 2020 research and innovation programme [820 970]</t>
  </si>
  <si>
    <t>Volkswagen Foundation(Volkswagen); European Union's Horizon 2020 research and innovation programme</t>
  </si>
  <si>
    <t>Regarding the simulation of PP04 model we thank Keno Riechers. The R-package palinsol (Crucifix, 2016) has been utilized in this work. T.M. and N.B. acknowledge funding by the Volkswagen Foundation. This project is TiPES contribution #140: The TiPES (Tipping Points in the Earth System) project has received funding from the European Union's Horizon 2020 research and innovation programme under grant agreement No 820 970.</t>
  </si>
  <si>
    <t>10.1016/j.quascirev.2021.107344</t>
  </si>
  <si>
    <t>WOS:000766906200010</t>
  </si>
  <si>
    <t>Hazreen-Nita, MK; Kari, ZA; Mat, K; Rusli, ND; Sukri, SAM; Harun, HC; Lee, SW; Rahman, MM; Norazmi-Lokman, NH; Nur-Nazifah, M; Firdaus-Nawi, M; Dawood, MAO</t>
  </si>
  <si>
    <t>Hazreen-Nita, Mohd Khalid; Kari, Zulhisyam Abdul; Mat, Khairiyah; Rusli, Nor Dini; Sukri, Suniza Anis Mohamad; Harun, Hasnita Che; Lee, Seong Wei; Rahman, Mohammad Mijanur; Norazmi-Lokman, N. H.; Nur-Nazifah, Mansor; Firdaus-Nawi, Mohd; Dawood, Mahmoud A. O.</t>
  </si>
  <si>
    <t>Olive oil by-products in aquafeeds: Opportunities and challenges</t>
  </si>
  <si>
    <t>AQUACULTURE REPORTS</t>
  </si>
  <si>
    <t>Olive oil by-products; Vegetable oil; Fish growth performance; Aquafeed; Nutrition</t>
  </si>
  <si>
    <t>FATTY-ACID-COMPOSITION; BREAM SPARUS-AURATA; GROWTH-PERFORMANCE; FISH-OIL; BIOACTIVE COMPOUNDS; DISEASE RESISTANCE; PHENOLIC-COMPOUNDS; AQUACULTURE; POMACE; ANTIOXIDANT</t>
  </si>
  <si>
    <t>The increment in world population has led to the increasing demands for fish supply as principal source of animal protein that represents about 17% of animal protein consumption globally. The world aquaculture industry has expanding remarkably but limited source of fishmeal and fish oil which known as important ingredients in fish feed has led to seeking of alternative sources for their replacement in aquafeed formulation. Many potential and cheaper ingredients derived from vegetable oils or agricultural by-products have been investigated to replace fish meal and fish oil which shown promising results in fish productivity and fish health status including olive oil byproducts. Varies depending on its type, olive oil composes of antioxidants, healthy type of fats such as MUFA and PUFA, and high in vitamins that provide human health benefits for heart and liver, help in many diseases and reducing the risk of cancer. In agriculture industry, olive and olive oil production processes have resulted to byproducts such as olive mill wastewater (OMW), olive leaf and olive pomace. The inclusion of these by-products in animal feeds is the solution for agricultural waste management. The first report of utilization of olive oil byproducts in fish feed was documented in 2004 and since then, many researches has been conducted to investigate fish health benefits that showed improvement in fish carcass composition and fish immunity depending on type of by-products used and fish species. Additionally, antioxidant contents in olive oil extract were reported could provide antimicrobial, antifungal and antioxygenic characteristics which potentially improve the fish health. This review discussed the opportunities and challenges in application of olive oil by-products in aquafeed which provides significant prospects in fish growth performance that could boost aquaculture industry development.</t>
  </si>
  <si>
    <t>[Hazreen-Nita, Mohd Khalid; Kari, Zulhisyam Abdul; Mat, Khairiyah; Rusli, Nor Dini; Sukri, Suniza Anis Mohamad; Harun, Hasnita Che; Lee, Seong Wei; Rahman, Mohammad Mijanur] Univ Malaysia Kelantan, Fac Agrobased Ind, Dept Agr Sci, Jeli 17600, Kelantan, Malaysia; [Mat, Khairiyah; Rusli, Nor Dini; Harun, Hasnita Che; Rahman, Mohammad Mijanur] Univ Malaysia Kelantan, Inst Food Secur &amp; Sustainable Agr, Jeli Campus, Jeli 17600, Kelantan, Malaysia; [Norazmi-Lokman, N. H.] Univ Tasmania, Fisheries &amp; Aquaculture Ctr, Inst Marine &amp; Antarctic Studies, Taroona, Tas, Australia; [Norazmi-Lokman, N. H.] Univ Malaysia Terengganu, Fac Fisheries &amp; Food Sci, Terengganu, Malaysia; [Nur-Nazifah, Mansor; Firdaus-Nawi, Mohd] Int Islamic Univ Malaysia, Bandar Indera Mahkota, Kulliyyah Sci, Kuantan 25200, Pahang, Malaysia; [Firdaus-Nawi, Mohd] Int Islamic Univ Malaysia, Inst Oceanog &amp; Maritime Studies INOCEM, Kuantan 26060, Pahang, Malaysia; [Dawood, Mahmoud A. O.] Kafrelsheikh Univ, Fac Agr, Dept Anim Prod, Kafrelsheikh 33516, Egypt; [Dawood, Mahmoud A. O.] Amer Univ Cairo, Ctr Appl Res Environm &amp; Sustainabil, Cairo 11835, Egypt</t>
  </si>
  <si>
    <t>Universiti Malaysia Kelantan; Universiti Malaysia Kelantan; University of Tasmania; Universiti Malaysia Terengganu; International Islamic University Malaysia; International Islamic University Malaysia; Egyptian Knowledge Bank (EKB); Kafrelsheikh University; Egyptian Knowledge Bank (EKB); American University Cairo</t>
  </si>
  <si>
    <t>Hazreen-Nita, MK (corresponding author), Univ Malaysia Kelantan, Fac Agrobased Ind, Dept Agr Sci, Jeli 17600, Kelantan, Malaysia.;Firdaus-Nawi, M (corresponding author), Int Islamic Univ Malaysia, Inst Oceanog &amp; Maritime Studies INOCEM, Kuantan 26060, Pahang, Malaysia.</t>
  </si>
  <si>
    <t>hazreen.mk@umk.edu.my; zulhisyam.a@umk.edu.my; khairiyah@umk.edu.my; nordini@umk.edu.my; suniza@umk.edu.my; hasnita@umk.edu.my; leeseong@umk.edu.my; mijanur.r@umk.edu.my; Lokman.Norazmi@utas.edu.au; nurnazifah@iium.edu.my; firdausn@iium.edu.my; mahmoud.dawood@agr.kfs.edu.eg</t>
  </si>
  <si>
    <t>MAT, KHAIRIYAH/ABH-8479-2020; Abdul Kari, Zulhisyam/A-2475-2014; Norazmi, Lokman Nor Hakim/AAD-2229-2020; Rahman, Mohammad Mijanur/E-1652-2013; Abdul Kari, Zulhisyam/ITT-1080-2023</t>
  </si>
  <si>
    <t>MAT, KHAIRIYAH/0000-0003-0298-6224; Abdul Kari, Zulhisyam/0000-0002-3160-7839; Norazmi, Lokman Nor Hakim/0000-0002-1927-6846; Rahman, Mohammad Mijanur/0000-0002-6244-7129; Abdul Kari, Zulhisyam/0000-0002-3160-7839</t>
  </si>
  <si>
    <t>Ministry of Higher Education, Malaysia [R/FRGS/A07.00/00302A/002/2015/000280]; Research Management and Innovation Centre of Universiti Malaysia Kelantan [R/STA/A0700/00130A/003/2021/00933]</t>
  </si>
  <si>
    <t>Ministry of Higher Education, Malaysia(Ministry of Education, Malaysia); Research Management and Innovation Centre of Universiti Malaysia Kelantan</t>
  </si>
  <si>
    <t>This study was supported by the Fundamental Research Grant Scheme (R/FRGS/A07.00/00302A/002/2015/000280) from the Ministry of Higher Education, Malaysia and the Rising Star Grant Scheme (R/STA/A0700/00130A/003/2021/00933) from the Research Management and Innovation Centre of Universiti Malaysia Kelantan. This collaboration work are between Universiti Malaysia Kelantan, International Islamic University Malaysia and American University in Cairo, Egypt.</t>
  </si>
  <si>
    <t>2352-5134</t>
  </si>
  <si>
    <t>AQUACULT REP</t>
  </si>
  <si>
    <t>Aquacult. Rep.</t>
  </si>
  <si>
    <t>10.1016/j.aqrep.2021.100998</t>
  </si>
  <si>
    <t>YE7LO</t>
  </si>
  <si>
    <t>WOS:000741302600003</t>
  </si>
  <si>
    <t>Duncan, RJ; Nielsen, DA; Sheehan, CE; Deppeler, S; Hancock, AM; Schulz, KG; Davidson, AT; Petrou, K</t>
  </si>
  <si>
    <t>Duncan, Rebecca J.; Nielsen, Daniel A.; Sheehan, Cristin E.; Deppeler, Stacy; Hancock, Alyce M.; Schulz, Kai G.; Davidson, Andrew T.; Petrou, Katherina</t>
  </si>
  <si>
    <t>Ocean acidification alters the nutritional value of Antarctic diatoms</t>
  </si>
  <si>
    <t>climate change; diatoms; FTIR microspectroscopy; macromolecules; microalgae; phytoplankton; Southern Ocean</t>
  </si>
  <si>
    <t>KRILL EUPHAUSIA-SUPERBA; SOUTHERN-OCEAN; ELEVATED CO2; PHYTOPLANKTON COMMUNITIES; FTIR SPECTROSCOPY; MARINE ORGANISMS; NUTRIENT-UPTAKE; AMINO-ACIDS; GROWTH; CARBON</t>
  </si>
  <si>
    <t>Primary production in the Southern Ocean is dominated by diatom-rich phytoplankton assemblages, whose individual physiological characteristics and community composition are strongly shaped by the environment, yet knowledge on how diatoms allocate cellular energy in response to ocean acidification (OA) is limited. Understanding such changes in allocation is integral to determining the nutritional quality of diatoms and the subsequent impacts on the trophic transfer of energy and nutrients. Using synchrotron-based Fourier transform infrared microspectroscopy, we analysed the macromolecular content of selected individual diatom taxa from a natural Antarctic phytoplankton community exposed to a gradient of fCO(2) levels (288-1263 mu atm). Strong species-specific differences in macromolecular partitioning were observed under OA. Large taxa showed preferential energy allocation towards proteins, while smaller taxa increased both lipid and protein stores at high fCO(2). If these changes are representative of future Antarctic diatom physiology, we may expect a shift away from lipid-rich large diatoms towards a community dominated by smaller taxa, but with higher lipid and protein stores than their present-day contemporaries, a response that could have cascading effects on food web dynamics in the Antarctic marine ecosystem.</t>
  </si>
  <si>
    <t>[Duncan, Rebecca J.; Nielsen, Daniel A.; Sheehan, Cristin E.; Petrou, Katherina] Univ Technol Sydney, Sch Life Sci, Sydney, NSW 2007, Australia; [Duncan, Rebecca J.] Univ Ctr Svalbard, Dept Arctic Biol, N-9171 Longyearbyen, Norway; [Sheehan, Cristin E.] Univ Technol Sydney, Climate Change Cluster, Sydney, NSW 2007, Australia; [Deppeler, Stacy; Hancock, Alyce M.] Univ Tasmania, Inst Marine &amp; Antarctic Studies, Hobart, Tas 7001, Australia; [Deppeler, Stacy] Natl Inst Water &amp; Atmospher Res, Wellington 6021, New Zealand; [Hancock, Alyce M.] Antarctic Gateway Partnership, Battery Point, Tas 7004, Australia; [Hancock, Alyce M.; Davidson, Andrew T.] Antarctic Climate &amp; Ecosyst Cooperat Res Ctr, Hobart, Tas 7001, Australia; [Schulz, Kai G.] Southern Cross Univ, Ctr Coastal Biogeochem, East Lismore, NSW 2480, Australia; [Davidson, Andrew T.] Dept Environm &amp; Energy, Australian Antarctic Div, Hobart, Tas 7050, Australia</t>
  </si>
  <si>
    <t>University of Technology Sydney; University Centre Svalbard (UNIS); University of Technology Sydney; University of Tasmania; National Institute of Water &amp; Atmospheric Research (NIWA) - New Zealand; Antarctic Climate &amp; Ecosystems Cooperative Research Centre (ACE CRC); Southern Cross University; Australian Antarctic Division</t>
  </si>
  <si>
    <t>Petrou, K (corresponding author), Univ Technol Sydney, Sch Life Sci, Sydney, NSW 2007, Australia.</t>
  </si>
  <si>
    <t>katherina.petrou@uts.edu.au</t>
  </si>
  <si>
    <t>Schulz, Kai/AEZ-9073-2022; Nielsen, Daniel/AAU-1065-2020; Deppeler, Stacy/I-1546-2014</t>
  </si>
  <si>
    <t>Schulz, Kai/0000-0002-8481-4639; Nielsen, Daniel/0000-0001-6678-5937; Hancock, Alyce/0000-0001-6049-5592; Duncan, Rebecca/0000-0003-2686-5654; Deppeler, Stacy/0000-0003-2213-2656</t>
  </si>
  <si>
    <t>Australian Synchrotron [AS153/IRM/10005]; Australian Antarctic Science [4026]; Australian Government Research Training Program Scholarship; AINSE Ltd.; School of Life Sciences, University of Technology Sydney</t>
  </si>
  <si>
    <t>Australian Synchrotron; Australian Antarctic Science; Australian Government Research Training Program Scholarship(Australian GovernmentDepartment of Industry, Innovation and Science); AINSE Ltd.; School of Life Sciences, University of Technology Sydney</t>
  </si>
  <si>
    <t>We thank the Australian Synchrotron Principal Beamline Scientists Drs. Mark Tobin and Jitra-porn Vongsvivut for technical support in synchrotron IR microspectroscopy data acquisition. Part of this work was funded by the Australian Synchrotron through merit-based beamtime awarded on the Infrared Microscopy (IRM) beamline (AS153/IRM/10005) awarded to KP. Field support and sample collection was conducted as part of Australian Antarctic Science Project 4026 awarded to ATD. Samples were imported under permit no. IP13019928. RJD is supported by an Australian Government Research Training Program Scholarship and an AINSE Ltd. Postgraduate Research Award (PGRA), and research funding was provided by the School of Life Sciences, University of Technology Sydney. The authors declare that they have no conflict of interest.</t>
  </si>
  <si>
    <t>10.1111/nph.17868</t>
  </si>
  <si>
    <t>YJ4QA</t>
  </si>
  <si>
    <t>WOS:000738970400001</t>
  </si>
  <si>
    <t>Laye, VJ; DasSarma, S</t>
  </si>
  <si>
    <t>Laye, Victoria J.; DasSarma, Shiladitya</t>
  </si>
  <si>
    <t>Double mutations far from the active site affect cold activity in an Antarctic halophilic β-galactosidase</t>
  </si>
  <si>
    <t>PROTEIN SCIENCE</t>
  </si>
  <si>
    <t>cold activity; enzyme kinetics; haloarchaea; site-directed mutagenesis</t>
  </si>
  <si>
    <t>LOCAL FLEXIBILITY; GENOME SEQUENCE; ENZYME; TEMPERATURE; ENVIRONMENT; ADAPTATION</t>
  </si>
  <si>
    <t>The Antarctic haloarchaeon, Halorubrum lacusprofundi, contains a polyextremophilic family 42 beta-galactosidase, which we are using as a model for cold-active enzymes. Divergent amino acid residues in this 78 kDa protein were identified through comparative genomics and hypothesized to be important for cold activity. Six amino acid residues were previously mutated and five were shown by steady-state kinetic analysis to have altered temperature-dependent catalytic activity profiles via effects on K-m and/or k(cat) compared to the wild-type enzyme. In this follow-up study, double-mutated enzymes were constructed and tested for temperature effects, including two new tandem residue pairs (N180T/A181T and T383A/S384A), and pairwise combination of the single residue mutations (N251D, F387L, I476V, and V482L). All double-mutated enzymes were found to be more catalytically active at moderate and/or less active at colder temperatures than wild-type, with both K-m and k(cat) effects observed for the two tandem mutations. For pairwise combinations, a K-m effect was seen when the surface exposed F387L mutation located in a domain A TIM barrel alpha helix 19 angstrom from the active site was combined with two internal residues, N251D or V482L. When another surface exposed mutation I476V located in a coiled region of domain B 25 angstrom from the active site was paired with N251D or V482L, a k(cat) effect was observed. These results indicate that temperature-dependent kinetic effects may be complex and subtle and are mediated by a combination of a small number of residues distant from the active site via changes to the hydration shell and/or perturbation of internal packing.</t>
  </si>
  <si>
    <t>[Laye, Victoria J.; DasSarma, Shiladitya] Univ Syst Maryland, Inst Marine &amp; Environm Technol, Baltimore, MD 21202 USA; [Laye, Victoria J.; DasSarma, Shiladitya] Univ Maryland, Sch Med, Dept Microbiol &amp; Immunol, Baltimore, MD 21202 USA</t>
  </si>
  <si>
    <t>University System of Maryland; University of Maryland Baltimore; University of Maryland Center for Environmental Science; Institute of Marine &amp; Environmental Technology; University System of Maryland; University of Maryland Baltimore</t>
  </si>
  <si>
    <t>DasSarma, S (corresponding author), Univ Syst Maryland, Inst Marine &amp; Environm Technol, Baltimore, MD 21202 USA.;DasSarma, S (corresponding author), Univ Maryland, Sch Med, Dept Microbiol &amp; Immunol, Baltimore, MD 21202 USA.</t>
  </si>
  <si>
    <t>sdassarma@som.umaryland.edu</t>
  </si>
  <si>
    <t>Laye, Victoria/0000-0003-2139-1701</t>
  </si>
  <si>
    <t>National Aeronautics and Space Administration [80NSSC19K0463]</t>
  </si>
  <si>
    <t>National Aeronautics and Space Administration(National Aeronautics &amp; Space Administration (NASA))</t>
  </si>
  <si>
    <t>National Aeronautics and Space Administration, Grant/Award Number: 80NSSC19K0463</t>
  </si>
  <si>
    <t>0961-8368</t>
  </si>
  <si>
    <t>1469-896X</t>
  </si>
  <si>
    <t>PROTEIN SCI</t>
  </si>
  <si>
    <t>Protein Sci.</t>
  </si>
  <si>
    <t>10.1002/pro.4264</t>
  </si>
  <si>
    <t>ZE5YL</t>
  </si>
  <si>
    <t>WOS:000738698800001</t>
  </si>
  <si>
    <t>Zou, X; Hou, SG; Wu, SY; Pang, HX; Liu, K; Zhang, WB; Yu, JH; Song, J; Huang, RH; Liu, YP</t>
  </si>
  <si>
    <t>Zou, Xiang; Hou, Shugui; Wu, Shuangye; Pang, Hongxi; Liu, Ke; Zhang, Wangbin; Yu, Jinhai; Song, Jing; Huang, Renhui; Liu, Yaping</t>
  </si>
  <si>
    <t>Ice-core based assessment of nitrogen deposition in the central Tibetan Plateau over the last millennium</t>
  </si>
  <si>
    <t>Ice core; Nitrogen species; Tibetan Plateau; Atmospheric deposition; Climate variability</t>
  </si>
  <si>
    <t>ATMOSPHERIC AMMONIA; ALPINE GRASSLAND; GLACIER; RECORD; PRECIPITATION; ECOSYSTEMS; POLLUTANTS; EMISSIONS; HISTORY; NITRATE</t>
  </si>
  <si>
    <t>Atmospheric nitrogen deposition is a unique source of bioavailable nitrogen for ecosystems in remote regions, and has vital impacts on ecological processes. Understanding variations of atmospheric nitrogen deposition in these regions remains challenging due to a lack of observations. Ice cores contain records of nitrogen species of nitrate (NO3-) and ammonium(NH4+), hence provide valuable long-termdata to study past variations of atmospheric nitrogen deposition. In this study, we present an annually resolved record of NH4+ and NO3- over the past millennium, derived from the Zangser Kangri (ZK) ice core in the central Tibetan Plateau. The concentration peaks of NH4+ and NO3- coincide with those of Ca2+ (a dust tracer), indicating that variation of nitrogen species in the ZK ice core is largely driven by dust activities. An EOF analysis for all chemical species (Cl-, SO42-, NO3-, Na+, NH4+, K+, Mg2+, Ca2+) reveals significant but separate loadings of NH4+ and NO3- on EOF 2, suggesting an additional source of nitrogen, likely from biogenic emissions of terrestrial ecosystems. Over the past millennium, the EOF 2 series has relatively high values around 1300 CE and 1600 CE, and has increased significantly since the Industrial Revolution. These variations are likely driven by temperature-dependent biogenic emissions on the Tibetan Plateau. Analyses of seasonal air mass backward trajectories and wind fields find that the chemical concentrations in the ZK ice core are mostly influenced by the westerly, but South Asia summer monsoon plays an important role in the transport of nitrogen species generated from biogenic emissions. This is further confirmed by the significant correlation between EOF 2 series and the South Asian summer monsoon index. This study provides new insight into the preindustrial sources, natural variabilities and major drivers of nitrogen deposition on the Tibetan Plateau.</t>
  </si>
  <si>
    <t>[Zou, Xiang; Hou, Shugui; Pang, Hongxi; Liu, Ke; Zhang, Wangbin; Yu, Jinhai; Song, Jing; Huang, Renhui] Nanjing Univ, Sch Geog &amp; Ocean Sci, Nanjing 210023, Peoples R China; [Hou, Shugui] Shanghai Jiao Tong Univ, Sch Oceanog, Shanghai 200240, Peoples R China; [Wu, Shuangye] Univ Dayton, Dept Geol &amp; Environm Geosci, Dayton, OH 45469 USA; [Liu, Yaping] Chinese Acad Sci, Northwest Inst Ecoenvironm &amp; Resources, State Key Lab Cryospher Sci, Lanzhou, Peoples R China</t>
  </si>
  <si>
    <t>Nanjing University; Shanghai Jiao Tong University; University System of Ohio; University of Dayton; Chinese Academy of Sciences</t>
  </si>
  <si>
    <t>Hou, SG (corresponding author), Nanjing Univ, Sch Geog &amp; Ocean Sci, Nanjing 210023, Peoples R China.</t>
  </si>
  <si>
    <t>shugui@nju.edu.cn</t>
  </si>
  <si>
    <t>Hou, Shugui/0000-0002-0905-3542; Zou, Xiang/0000-0001-9917-6214</t>
  </si>
  <si>
    <t>National Natural Science Foundation of China [41830644, 91837102, 41771031, 42021001, 42106216]; 333 Project of Jiangsu Province [BRA2020030]; Shuangchuang Project of Jiangsu Province [JSSCBS20210052]; Chinese Arctic and Antarctic Administration [CXPT2020012]</t>
  </si>
  <si>
    <t>National Natural Science Foundation of China(National Natural Science Foundation of China (NSFC)); 333 Project of Jiangsu Province(Natural Science Foundation of Jiangsu Province); Shuangchuang Project of Jiangsu Province; Chinese Arctic and Antarctic Administration</t>
  </si>
  <si>
    <t>This study was supported by the National Natural Science Foundation of China (41830644, 91837102, 41771031, 42021001 and 42106216), the 333 Project of Jiangsu Province (BRA2020030), the Shuangchuang Project of Jiangsu Province (JSSCBS20210052) and the Chinese Arctic and Antarctic Administration (CXPT2020012). We deeply appreciate the contribution fromall field personnel for the scientific expedition to the Zangser Kangri glacier in 2009. The authors gratefully acknowledge the NOAA Air Resource Laboratory (ARL) for providing the HYSPLIT transport and dispersion model and READY website (http://www.ready.noaa.gov) used in this publication.</t>
  </si>
  <si>
    <t>MAR 25</t>
  </si>
  <si>
    <t>10.1016/j.scitotenv.2021.152692</t>
  </si>
  <si>
    <t>YH5MV</t>
  </si>
  <si>
    <t>WOS:000743212500006</t>
  </si>
  <si>
    <t>Coff, L; Abrahams, JL; Collett, S; Power, C; Nowak, BF; Kolarich, D; Bott, NJ; Ramsland, PA</t>
  </si>
  <si>
    <t>Coff, Lachlan; Abrahams, Jodie L.; Collett, Simon; Power, Cecilia; Nowak, Barbara F.; Kolarich, Daniel; Bott, Nathan J.; Ramsland, Paul A.</t>
  </si>
  <si>
    <t>Profiling the glycome of Cardicola forsteri, a blood fluke parasitic to bluefin tuna</t>
  </si>
  <si>
    <t>INTERNATIONAL JOURNAL FOR PARASITOLOGY</t>
  </si>
  <si>
    <t>Glycan; Mass spectrometry; Lectin; Trematode; Aquaculture; Xylose</t>
  </si>
  <si>
    <t>HUMAN DENDRITIC CELLS; SCHISTOSOMA-MANSONI; TREMATODA APOROCOTYLIDAE; LEWIS-X; STRUCTURAL-CHARACTERIZATION; LINKED POLYSACCHARIDE; THUNNUS-MACCOYII; IMMUNE EVASION; LIFE STAGES; N-GLYCANS</t>
  </si>
  <si>
    <t>Infections by blood flukes (Cardicola spp.) are considered the most significant health issue for ranched bluefin tuna, a major aquaculture industry in Japan and Australia. The host-parasite interfaces of trematodes, namely their teguments, are particularly rich in carbohydrates, which function both in evasion and modulation of the host immune system, while some are primary antigenic targets. In this study, histochemistry and mass spectrometry techniques were used to profile the glycans of Cardicola forsteri. Fluorescent lectin staining of adult flukes indicates the presence of oligomannose (Concanavalin Areactive) and fucosylated (Pisum sativum agglutinin-reactive) N-glycans. Additionally, reactivity of succinylated wheat germ agglutinin (s-WGA) was localised to several internal organs of the digestive and monoecious reproductive systems. Glycan structures were further investigated with tandem mass spectrometry, which revealed structures indicated by lectin reactivity. While O-glycans from these adult specimens were not detectable by mass spectrometry, several oligomannose, paucimannosidic, and complex-type N-glycans were identified, including some carrying hexuronic acid and many carrying core xylose. This is, to our knowledge, the first glycomic characterisation of a marine platyhelminth, with broader implications for research into other trematodes. (c) 2021 Australian Society for Parasitology. Published by Elsevier Ltd. All rights reserved.</t>
  </si>
  <si>
    <t>[Coff, Lachlan; Collett, Simon; Power, Cecilia; Nowak, Barbara F.; Bott, Nathan J.; Ramsland, Paul A.] RMIT Univ, STEM Coll, Sch Sci, Bundoora West Campus,POB 71, Bundoora, Vic 3083, Australia; [Abrahams, Jodie L.; Kolarich, Daniel] Griffith Univ, Inst Glyc, Southport, Qld 4215, Australia; [Nowak, Barbara F.] Univ Tasmania, Inst Marine &amp; Antarctic Studies, Locked Bag 1370, Launceston, Tas 7250, Australia; [Kolarich, Daniel] Griffith Univ, ARC Ctr Excellence Nanoscale BioPhoton, Southport, Qld 4215, Australia; [Ramsland, Paul A.] Monash Univ, Dept Immunol, Melbourne, Vic 3004, Australia; [Ramsland, Paul A.] Univ Melbourne, Austin Hlth, Dept Surg, Heidelberg, Vic 3084, Australia; [Abrahams, Jodie L.] Imperial Coll London, Glycosci Lab, Dept Metab Digest &amp; Reprod, London, England</t>
  </si>
  <si>
    <t>Royal Melbourne Institute of Technology (RMIT); Griffith University; Griffith University - Gold Coast Campus; University of Tasmania; Griffith University; Griffith University - Gold Coast Campus; Monash University; Florey Institute of Neuroscience &amp; Mental Health; Austin Research Institute; University of Melbourne; Imperial College London</t>
  </si>
  <si>
    <t>Bott, NJ; Ramsland, PA (corresponding author), RMIT Univ, STEM Coll, Sch Sci, Bundoora West Campus,POB 71, Bundoora, Vic 3083, Australia.</t>
  </si>
  <si>
    <t>Nathan.Bott@rmit.edu.au; Paul.Ramsland@rmit.edu.au</t>
  </si>
  <si>
    <t>Kolarich, Daniel/AAJ-3550-2020; Bott, Nathan J/A-3816-2009; Nowak, Barbara/J-7261-2014</t>
  </si>
  <si>
    <t>Kolarich, Daniel/0000-0002-8452-1350; Bott, Nathan/0000-0003-4049-9945; Nowak, Barbara/0000-0002-0347-643X; Power, Cecilia/0000-0002-3279-033X; Coff, Lachlan/0000-0002-3763-1055</t>
  </si>
  <si>
    <t>Australian Government through the Fisheries Research and Development Corporation [FRDC 2017-241, 2018-170]; RMIT University, Australia [CDF17132]; Aus-tralian Society for Parasitology [ASPTA_LC2019]; Australian Government, Department of Education and Training; Australian Research Council Future Fellowship [FT160100344]; Australian Government; Australian Research Council [FT160100344] Funding Source: Australian Research Council</t>
  </si>
  <si>
    <t>Australian Government through the Fisheries Research and Development Corporation(Fisheries R&amp;D Corp); RMIT University, Australia; Aus-tralian Society for Parasitology; Australian Government, Department of Education and Training(Australian GovernmentDepartment of Industry, Innovation and Science); Australian Research Council Future Fellowship(Australian Research Council); Australian Government(Australian Government); Australian Research Council(Australian Research Council)</t>
  </si>
  <si>
    <t>We thank the Australian Southern Bluefin Tuna Industry Associa-tion and commercial tuna companies for their assistance and sup-port in sample collection. We would like to acknowledge the assistance and support of Dr. Andreia Almeida and Tiago Oliveira (Griffith University, Australia) with sample preparation and pro-cessing for mass spectrometry. This work was financially supported by the Australian Government through the Fisheries Research and Development Corporation (FRDC 2017-241 and 2018-170) ; RMIT University, Australia (CDF17132) ; and the Aus-tralian Society for Parasitology (ASPTA_LC2019) . LC, SC, and CP are supported by a Research Training Program stipend scholarship from the Australian Government, Department of Education and Training. DK is the recipient of an Australian Research Council Future Fellowship (FT160100344) , funded by the Australian Government. The funding bodies were not involved in the design of the study, nor in the collection, analysis, and interpretation of the data, nor in the writing and submission of the manuscript for publication.</t>
  </si>
  <si>
    <t>0020-7519</t>
  </si>
  <si>
    <t>1879-0135</t>
  </si>
  <si>
    <t>INT J PARASITOL</t>
  </si>
  <si>
    <t>Int. J. Parasit.</t>
  </si>
  <si>
    <t>10.1016/j.ijpara.2021.06.004</t>
  </si>
  <si>
    <t>Parasitology</t>
  </si>
  <si>
    <t>YD9QB</t>
  </si>
  <si>
    <t>WOS:000740766900001</t>
  </si>
  <si>
    <t>Agatha, S; Bartel, H</t>
  </si>
  <si>
    <t>Agatha, Sabine; Bartel, Heidi</t>
  </si>
  <si>
    <t>A comparative ultrastructural study of tintinnid loricae (Alveolata, Ciliophora, Spirotricha) and a hypothesis on their evolution</t>
  </si>
  <si>
    <t>JOURNAL OF EUKARYOTIC MICROBIOLOGY</t>
  </si>
  <si>
    <t>character evolution; lorica formation; scanning electron microscopy; transmission electron microscopy; wall texture</t>
  </si>
  <si>
    <t>HELICOSTOMELLA SPECIES CILIOPHORA; ELECTRON-MICROSCOPIC METHODS; FRESH-WATER TINTINNINA; CILIATES CILIOPHORA; ANTARCTIC CILIATE; BASIC LIGHT; MORPHOLOGY; VARIABILITY; REDESCRIPTION; PHYLOGENY</t>
  </si>
  <si>
    <t>Tintinnid ciliates build loricae, whose structure, shape, and size still largely represent the basis for taxonomy and classification, although genetic analyses demonstrated their limited utility for inferring evolutionary relationships. The textures of the lorica walls, however, result from the chemical and physical properties of the forming material, which is supposed to be rather conserved in closely related taxa, viz., congeners and confamilial genera. Within a particular texture, small deviations in the chemical composition might affect the wall's stickiness and accordingly its capability to adhere foreign particles, explaining the intertwining of tintinnids with hyaline and agglutinated loricae in phylogenetic inferences. In a comprehensive comparative study, the lorica textures were electron microscopically and morphometrically analyzed in 21 species from 17 genera and more than nine families together with literature data. Most species were investigated for the first time, and the taxa cover a substantial portion of the molecular genealogy. The phylogeny-aware analysis of the lorica-related features provides a preliminary hypothesis on lorica evolution. Eventually, this conspectus suggests the dominance of hard lorica walls with an alveolar texture and proposes different modes of lorica formation.</t>
  </si>
  <si>
    <t>[Agatha, Sabine; Bartel, Heidi] Paris Lordon Univ Salzburg, Dept Biosci, Hellbrunnerstr 34, A-5020 Salzburg, Austria</t>
  </si>
  <si>
    <t>Agatha, S (corresponding author), Paris Lordon Univ Salzburg, Dept Biosci, Hellbrunnerstr 34, A-5020 Salzburg, Austria.</t>
  </si>
  <si>
    <t>sabine.agatha@plus.ac.at</t>
  </si>
  <si>
    <t>Agatha, Sabine/AAB-4836-2022</t>
  </si>
  <si>
    <t>Agatha, Sabine/0000-0003-3083-9782</t>
  </si>
  <si>
    <t>Austrian Science Fund [I3268, P28790]; Austrian Science Fund (FWF) [P28790, I3268] Funding Source: Austrian Science Fund (FWF)</t>
  </si>
  <si>
    <t>Austrian Science Fund(Austrian Science Fund (FWF)); Austrian Science Fund (FWF)(Austrian Science Fund (FWF))</t>
  </si>
  <si>
    <t>Austrian Science Fund, Grant/Award Number: I3268 and P28790</t>
  </si>
  <si>
    <t>1066-5234</t>
  </si>
  <si>
    <t>1550-7408</t>
  </si>
  <si>
    <t>J EUKARYOT MICROBIOL</t>
  </si>
  <si>
    <t>J. Eukaryot. Microbiol.</t>
  </si>
  <si>
    <t>e12877</t>
  </si>
  <si>
    <t>10.1111/jeu.12877</t>
  </si>
  <si>
    <t>ZK2LH</t>
  </si>
  <si>
    <t>WOS:000738614000001</t>
  </si>
  <si>
    <t>Livingstone, SJ; Li, Y; Rutishauser, A; Sanderson, RJ; Winter, K; Mikucki, JA; Björnsson, H; Bowling, JS; Chu, WN; Dow, CF; Fricker, HA; McMillan, M; Ng, FSL; Ross, N; Siegert, MJ; Siegfried, M; Sole, AJ</t>
  </si>
  <si>
    <t>Livingstone, Stephen J.; Li, Yan; Rutishauser, Anja; Sanderson, Rebecca J.; Winter, Kate; Mikucki, Jill A.; Bjornsson, Helgi; Bowling, Jade S.; Chu, Winnie; Dow, Christine F.; Fricker, Helen A.; McMillan, Malcolm; Ng, Felix S. L.; Ross, Neil; Siegert, Martin J.; Siegfried, Matthew; Sole, Andrew J.</t>
  </si>
  <si>
    <t>Subglacial lakes and their changing role in a warming climate</t>
  </si>
  <si>
    <t>NATURE REVIEWS EARTH &amp; ENVIRONMENT</t>
  </si>
  <si>
    <t>GREENLAND ICE-SHEET; BENEATH THWAITES GLACIER; DIGITAL ELEVATION MODELS; NOVEMBER 1996 JOKULHLAUP; FRESH-WATER DISCHARGE; SEA-LEVEL RISE; WEST ANTARCTICA; OUTBURST FLOODS; MICROBIAL COMMUNITIES; SEISMIC OBSERVATIONS</t>
  </si>
  <si>
    <t>Subglacial lakes modify glacial conditions and flow. This Review provides a first global inventory of subglacial lakes, as well as outlining their settings, impacts and potential changes with climate warming. Subglacial lakes are repositories of ancient climate conditions, provide habitats for life and modulate ice flow, basal hydrology, biogeochemical fluxes and geomorphic activity. In this Review, we construct the first global inventory of subglacial lakes (773 in total), which includes 675 from Antarctica (59 newly identified), 64 from Greenland, 2 beneath the Devon Ice Cap, 6 beneath Iceland's ice caps and 26 from valley glaciers. This inventory is used to evaluate subglacial lake environments, dynamics and their wider impact on ice flow and sediment transport. The behaviour of these lakes is conditioned by their subglacial setting and the hydrological, dynamic and mass balance regime of the overlying ice mass. Regions where climate warming causes ice surface steepening are predicted to have fewer and smaller lakes, but increased activity with higher discharge drainages of shorter duration. Coupling to surface melt and rainfall inputs will modulate fill-drain cycles and seasonally enhance oxic processes. Higher discharges cause large, transient ice flow accelerations but might result in overall net slowdown owing to the development of efficient subglacial drainage. Subglacial lake research requires new drilling technologies and the integration of geophysics, satellite monitoring and numerical modelling to provide insight into the wider role of subglacial lakes in the changing Earth system.</t>
  </si>
  <si>
    <t>[Livingstone, Stephen J.; Ng, Felix S. L.; Sole, Andrew J.] Univ Sheffield, Dept Geog, Sheffield, S Yorkshire, England; [Li, Yan] Chinese Acad Sci, Innovat Acad Precis Measurement Sci &amp; Technol, Wuhan, Peoples R China; [Rutishauser, Anja] Univ Texas Austin, Inst Geophys, Austin, TX USA; [Rutishauser, Anja] Geol Survey Denmark &amp; Greenland, Copenhagen, Denmark; [Sanderson, Rebecca J.; Ross, Neil] Newcastle Univ, Sch Geog Polit &amp; Sociol, Newcastle Upon Tyne, Tyne &amp; Wear, England; [Sanderson, Rebecca J.; Winter, Kate] Northumbria Univ, Dept Geog &amp; Environm Sci, Newcastle Upon Tyne, Tyne &amp; Wear, England; [Mikucki, Jill A.] Univ Tennessee, Dept Microbiol, Knoxville, TN 37996 USA; [Bjornsson, Helgi] Univ Iceland, Inst Earth Sci, Reykjavik, Iceland; [Bowling, Jade S.] Univ Lancaster, Lancaster Environm Ctr, Lancaster, England; [Bowling, Jade S.; McMillan, Malcolm] Univ Lancaster, Ctr Excellence Environm Data Sci, UK Ctr Polar Observat &amp; Modelling, Lancaster, England; [Chu, Winnie] Georgia Inst Technol, Sch Earth &amp; Atmospher Sci, Atlanta, GA 30332 USA; [Dow, Christine F.] Univ Waterloo, Dept Geog &amp; Environm Management, Waterloo, ON, Canada; [Fricker, Helen A.] Univ Calif San Diego, Scripps Inst Oceanog, Inst Geophys &amp; Planetary Phys, San Diego, CA USA; [Siegert, Martin J.] Imperial Coll London, Grantham Inst, London, England; [Siegert, Martin J.] Imperial Coll London, Dept Earth Sci &amp; Engn, London, England; [Siegfried, Matthew] Colorado Sch Mines, Dept Geophys, Golden, CO 80401 USA</t>
  </si>
  <si>
    <t>University of Sheffield; Chinese Academy of Sciences; Innovation Academy for Precision Measurement Science &amp; Technology, CAS; University of Texas System; University of Texas Austin; Geological Survey Of Denmark &amp; Greenland; Newcastle University - UK; Northumbria University; University of Tennessee System; University of Tennessee Knoxville; University of Iceland; Lancaster University; Lancaster University; University System of Georgia; Georgia Institute of Technology; University of Waterloo; University of California System; University of California San Diego; Scripps Institution of Oceanography; Imperial College London; Imperial College London; Colorado School of Mines</t>
  </si>
  <si>
    <t>Livingstone, SJ (corresponding author), Univ Sheffield, Dept Geog, Sheffield, S Yorkshire, England.</t>
  </si>
  <si>
    <t>s.j.livingstone@sheffield.ac.uk</t>
  </si>
  <si>
    <t>Sanderson, Becky/GRJ-8265-2022; McMillan, Malcolm/HLQ-1163-2023; Siegert, Martin/M-9939-2019</t>
  </si>
  <si>
    <t>Sanderson, Becky/0000-0002-9000-0519; Siegert, Martin/0000-0002-0090-4806; Dow, Christine/0000-0003-1346-2258; Livingstone, Stephen/0000-0002-7240-5037; McMillan, Malcolm/0000-0002-5113-0177; Li, Yan/0000-0001-5993-6135; Rutishauser, Anja/0000-0002-1819-8014; Bjornsson, Helgi/0000-0001-5362-1474; Winter, Kate/0000-0003-2389-8637; Bowling, Jade/0000-0002-9476-4815</t>
  </si>
  <si>
    <t>NERC [NE/G00465X/3, NE/D008638/1, NE/F016646/2]; Natural Sciences and Engineering Research Council of Canada [NSERC 699 RGPIN-03761-2017]; Canada Research Chairs Program [CRC 950-231237]; UK Natural Environment Research Council through the ENVISION Doctoral Training Partnership [EAA6583/3152]; European Space Agency's Polar+ 4D Greenland study [4000132139/20/I-EF]; UK NERC Centre for Polar Observation and Modelling; Natural Environment Research Council (NERC) [NE/S007512/1]; National Science Foundation Office of Polar Programs; Antarctic Science Ltd; G. Unger Vetlesen Foundation; NERC [NE/T009470/1, NE/S007512/1, NE/K004956/2, cpom30001, NE/G00465X/3] Funding Source: UKRI</t>
  </si>
  <si>
    <t>NERC(UK Research &amp; Innovation (UKRI)Natural Environment Research Council (NERC)); Natural Sciences and Engineering Research Council of Canada(Natural Sciences and Engineering Research Council of Canada (NSERC)CGIAR); Canada Research Chairs Program(Canada Research Chairs); UK Natural Environment Research Council through the ENVISION Doctoral Training Partnership; European Space Agency's Polar+ 4D Greenland study; UK NERC Centre for Polar Observation and Modelling(UK Research &amp; Innovation (UKRI)Natural Environment Research Council (NERC)); Natural Environment Research Council (NERC)(UK Research &amp; Innovation (UKRI)Natural Environment Research Council (NERC)); National Science Foundation Office of Polar Programs(National Science Foundation (NSF)NSF - Directorate for Geosciences (GEO)); Antarctic Science Ltd; G. Unger Vetlesen Foundation; NERC(UK Research &amp; Innovation (UKRI)Natural Environment Research Council (NERC))</t>
  </si>
  <si>
    <t>M.J.S. acknowledges funding from NERC grants NE/G00465X/3, NE/D008638/1 and NE/F016646/2. C.F.D. was supported by the Natural Sciences and Engineering Research Council of Canada (NSERC 699 RGPIN-03761-2017) and the Canada Research Chairs Program (CRC 950-231237). A.R. was supported by the G. Unger Vetlesen Foundation. This is UTIG contribution 3808. J.S.B. is funded by a UK Natural Environment Research Council PhD studentship (EAA6583/3152) awarded through the ENVISION Doctoral Training Partnership. M.McM. was supported by the European Space Agency's Polar+ 4D Greenland study (4000132139/20/I-EF) and the UK NERC Centre for Polar Observation and Modelling. R.J.S. was supported by the Natural Environment Research Council (NERC)-funded ONE Planet Doctoral Training Partnership (NE/S007512/1). J.A.M. acknowledges support from the National Science Foundation Office of Polar Programs. Analysis of Antarctica's Gamburtsev Province Project (AGAP) RES data was supported by a bursary from Antarctic Science Ltd awarded to K.W. The authors thank R. Bell and T. Jordan for their help with the data set. The radar-echo sounding data used to identify new subglacial lakes are freely available from CReSIS and NASA Operation IceBridge.</t>
  </si>
  <si>
    <t>2662-138X</t>
  </si>
  <si>
    <t>NAT REV EARTH ENV</t>
  </si>
  <si>
    <t>Nat. Rev. Earth Environ.</t>
  </si>
  <si>
    <t>10.1038/s43017-021-00246-9</t>
  </si>
  <si>
    <t>Environmental Sciences; Geosciences, Multidisciplinary</t>
  </si>
  <si>
    <t>YY9TG</t>
  </si>
  <si>
    <t>WOS:000738426400001</t>
  </si>
  <si>
    <t>Rozi, MFAM; Abd Rahman, RNZR; Leow, ATC; Ali, MSM</t>
  </si>
  <si>
    <t>Rozi, Mohamad Farihan Afnan Mohd; Abd Rahman, Raja Noor Zaliha Raja; Leow, Adam Thean Chor; Ali, Mohd Shukuri Mohamad</t>
  </si>
  <si>
    <t>Ancestral sequence reconstruction of ancient lipase from family I.3 bacterial lipolytic enzymes</t>
  </si>
  <si>
    <t>MOLECULAR PHYLOGENETICS AND EVOLUTION</t>
  </si>
  <si>
    <t>Ancestral sequence reconstruction; Family I.3 lipases; Ancient enzyme; Thermostability</t>
  </si>
  <si>
    <t>OXYGEN-ISOTOPE GEOCHEMISTRY; PHYLOGENETIC ANALYSIS; METAGENOMIC LIBRARY; ESCHERICHIA-COLI; 1ST MEMBER; PROTEIN; SECRETION; EVOLUTION; OVERPRODUCTION; PURIFICATION</t>
  </si>
  <si>
    <t>Family I.3 lipase is distinguished from other families by the amino acid sequence and secretion mechanism. Little is known about the evolutionary process driving these differences. This study attempt to understand how the diverse temperature stabilities of bacterial lipases from family I.3 evolved. To achieve that, eighty-three protein sequences sharing a minimum 30% sequence identity with Antarctic Pseudomonas sp. AMS8 lipase were used to infer phylogenetic tree. Using ancestral sequence reconstruction (ASR) technique, the last universal common ancestor (LUCA) sequence of family I.3 was reconstructed. A gene encoding LUCA was synthesized, cloned and expressed as inclusion bodies in E. coli system. Insoluble form of LUCA was refolded using urea dilution method and then purified using affinity chromatography. The purified LUCA exhibited an optimum temperature and pH at 70 degrees C and 10 respectively. Various metal ions increased or retained the activity of LUCA. LUCA also demonstrated tolerance towards various organic solvents in 25% v/v concentration. The finding from this study could support the understanding on temperature and environment during ancient time. In overall, reconstructed ancestral enzymes have improved physicochemical properties that make them suitable for industrial applications and ASR technique can be employed as a general technique for enzyme engineering.</t>
  </si>
  <si>
    <t>[Rozi, Mohamad Farihan Afnan Mohd; Abd Rahman, Raja Noor Zaliha Raja; Leow, Adam Thean Chor; Ali, Mohd Shukuri Mohamad] Univ Putra Malaysia, Fac Biotechnol &amp; Biomol Sci, Enzyme &amp; Microbial Technol Res Ctr EMTech, Upm Serdang 43400, Selangor, Malaysia; [Rozi, Mohamad Farihan Afnan Mohd; Ali, Mohd Shukuri Mohamad] Univ Putra Malaysia, Fac Biotechnol &amp; Biomol Sci, Dept Biochem, Upm Serdang 43400, Selangor, Malaysia; [Abd Rahman, Raja Noor Zaliha Raja] Univ Putra Malaysia, Fac Biotechnol &amp; Biomol Sci, Dept Microbiol, Upm Serdang 43400, Selangor, Malaysia; [Leow, Adam Thean Chor] Univ Putra Malaysia, Fac Biotechnol &amp; Biomol Sci, Dept Cell &amp; Mol Biol, Upm Serdang 43400, Selangor, Malaysia; [Abd Rahman, Raja Noor Zaliha Raja; Leow, Adam Thean Chor; Ali, Mohd Shukuri Mohamad] Univ Putra Malaysia, Inst Biosci, Upm Serdang 43400, Selangor, Malaysia</t>
  </si>
  <si>
    <t>Universiti Putra Malaysia; Universiti Putra Malaysia; Universiti Putra Malaysia; Universiti Putra Malaysia; Universiti Putra Malaysia</t>
  </si>
  <si>
    <t>Ali, MSM (corresponding author), Univ Putra Malaysia, Fac Biotechnol &amp; Biomol Sci, Enzyme &amp; Microbial Technol Res Ctr EMTech, Serdang 43400, Selangor, Malaysia.</t>
  </si>
  <si>
    <t>mshukuri@upm.edu.my</t>
  </si>
  <si>
    <t>ALI, MOHD/IUM-6916-2023</t>
  </si>
  <si>
    <t>1055-7903</t>
  </si>
  <si>
    <t>1095-9513</t>
  </si>
  <si>
    <t>MOL PHYLOGENET EVOL</t>
  </si>
  <si>
    <t>Mol. Phylogenet. Evol.</t>
  </si>
  <si>
    <t>10.1016/j.ympev.2021.107381</t>
  </si>
  <si>
    <t>1W3VR</t>
  </si>
  <si>
    <t>WOS:000806703900004</t>
  </si>
  <si>
    <t>Riccardi, C; D'Angelo, C; Calvanese, M; Ricciardelli, A; Tutino, ML; Parrilli, E; Fondi, M</t>
  </si>
  <si>
    <t>Riccardi, Christopher; D'Angelo, Caterina; Calvanese, Marzia; Ricciardelli, Annarita; Tutino, Maria Luisa; Parrilli, Ermenegilda; Fondi, Marco</t>
  </si>
  <si>
    <t>Genome analysis of a new biosurfactants source: The Antarctic bacterium Psychrobacter sp. TAE2020</t>
  </si>
  <si>
    <t>Surfactants; Cold-adapted bacteria; Psychrobacter sp.; Next generation sequencing</t>
  </si>
  <si>
    <t>Biosurfactants are considered a possible green alternative to chemical surfactants for countless commercial products including detergents and cleaners, personal care products, cosmetics, pharmaceuticals and therapeutics, food additives, emulsifiers, and dispersants for bioremediation. Organisms from extreme environments are well-adapted to the harsh conditions and represent an exciting avenue of discovery of naturally occurring biosurfactants. In this study, we report the genome analysis of Psychrobacter sp. TAE2020, an aerobic gamma-proteobacterium isolated from an Antarctic coastal seawater sample collected in the vicinity of the French Antarctic station Dumont d'Urville, Terre Adelie (66 degrees 40' S; 140 degrees 01' E) which has been shown to produce biosurfactants. Biochemical assays indicate that Psychrobacter sp. TAE2020 can produce one or more excellent emulsifiers and a biosurfactant which is able to reduce the surface tension of a Gut medium. Next generation sequencing and genome mining allowed the identification of a plethora of biosynthetic gene clusters possibly involved in the production of emulsifying agents, just waiting to be isolated and characterized. This study paves the way for a more thorough investigation into the potential biotechnological applications of this new Antarctic strain.</t>
  </si>
  <si>
    <t>[Riccardi, Christopher; Fondi, Marco] Univ Florence, Dept Biol, Via Madonna Del Piano 6, Sesto Fiorentino, Italy; [D'Angelo, Caterina; Calvanese, Marzia; Tutino, Maria Luisa; Parrilli, Ermenegilda] Univ Naples Federico II, Complesso Univ Monte S Angelo, Dept Chem Sci, Via Cinthia, I-80125 Naples, Italy; [Ricciardelli, Annarita] Dept Marine Biotechnol, Staz Zool Anton Dohrn, I-80121 Naples, Italy</t>
  </si>
  <si>
    <t>University of Florence; University of Naples Federico II; Stazione Zoologica Anton Dohrn di Napoli</t>
  </si>
  <si>
    <t>Riccardi, C (corresponding author), Univ Florence, Dept Biol, Via Madonna Del Piano 6, Sesto Fiorentino, Italy.</t>
  </si>
  <si>
    <t>christopher.riccardi@unifi.it</t>
  </si>
  <si>
    <t>TUTINO, MARIA LUISA/L-1834-2013; parrilli, ermenegilda/K-4616-2016</t>
  </si>
  <si>
    <t>Calvanese, Marzia/0000-0002-7554-0680; parrilli, ermenegilda/0000-0002-9002-5409; Ricciardelli, Annarita/0000-0003-2084-0579; Riccardi, Christopher/0000-0002-5310-6437; D'Angelo, Caterina/0000-0002-0372-7809</t>
  </si>
  <si>
    <t>MIUR (Programma Nazionale di Ricerche in Antartide) [PNRA18_00335]; Regione Campania (POR Campania FESR)</t>
  </si>
  <si>
    <t>MIUR (Programma Nazionale di Ricerche in Antartide)(Ministry of Education, Universities and Research (MIUR)); Regione Campania (POR Campania FESR)(Regione Campania)</t>
  </si>
  <si>
    <t>Research supported by MIUR (Programma Nazionale di Ricerche in Antartide 2018, grant PNRA18_00335) and by Regione Campania (POR Campania FESR 2014/2020, Azione 1.5, grant 'GENOMAeSALUTE').</t>
  </si>
  <si>
    <t>10.1016/j.margen.2021.100922</t>
  </si>
  <si>
    <t>WOS:000783182200002</t>
  </si>
  <si>
    <t>Krause, DJ; Bonin, CA; Goebel, ME; Reiss, CS; Watters, GM</t>
  </si>
  <si>
    <t>Krause, Douglas J.; Bonin, Carolina A.; Goebel, Michael E.; Reiss, Christian S.; Watters, George M.</t>
  </si>
  <si>
    <t>The Rapid Population Collapse of a Key Marine Predator in the Northern Antarctic Peninsula Endangers Genetic Diversity and Resilience to Climate Change</t>
  </si>
  <si>
    <t>Antarctic fur seal; conservation status; South Shetland Islands; top-down and bottom-up control; edge population; Arctocephalus gazella; population dynamics (ecology)</t>
  </si>
  <si>
    <t>SEQUENTIAL MEGAFAUNAL COLLAPSE; SEAL ARCTOCEPHALUS-GAZELLA; LIONS ZALOPHUS-CALIFORNIANUS; SAN-MIGUEL ISLAND; FUR SEALS; TOP-DOWN; ENVIRONMENTAL-CHANGE; FORAGING BEHAVIOR; SOUTH SHETLAND; PUP PRODUCTION</t>
  </si>
  <si>
    <t>Antarctic fur seals (AFS) are an ecologically important predator and a focal indicator species for ecosystem-based Antarctic fisheries management. This species suffered intensive anthropogenic exploitation until the early 1900s, but recolonized most of its former distribution, including the southern-most colony at Cape Shirreff, South Shetland Islands (SSI). The IUCN describes a single, global AFS population of least concern; however, extensive genetic analyses clearly identify four distinct breeding stocks, including one in the SSI. To update the population status of SSI AFS, we analyzed 20 years of field-based data including population counts, body size and condition, natality, recruitment, foraging behaviors, return rates, and pup mortality at the largest SSI colony. Our findings show a precipitous decline in AFS abundance (86% decrease since 2007), likely driven by leopard seal predation (increasing since 2001, p &lt;&lt; 0.001) and potentially worsening summer foraging conditions. We estimated that leopard seals consumed an average of 69.3% (range: 50.3-80.9%) of all AFS pups born each year since 2010. AFS foraging-trip durations, an index of their foraging habitat quality, were consistent with decreasing krill and fish availability. Significant improvement in the age-specific over-winter body condition of AFS indicates that observed population declines are driven by processes local to the northern Antarctic Peninsula. The loss of SSI AFS would substantially reduce the genetic diversity of the species, and decrease its resilience to climate change. There is an urgent need to reevaluate the conservation status of Antarctic fur seals, particularly for the rapidly declining SSI population.</t>
  </si>
  <si>
    <t>[Krause, Douglas J.; Goebel, Michael E.; Reiss, Christian S.; Watters, George M.] Southwest Fisheries Sci Ctr, Antarct Ecosyst Res Div, NOAA Fisheries, La Jolla, CA 92037 USA; [Bonin, Carolina A.] Hampton Univ, Marine &amp; Environm Sci Dept, Hampton, VA 23668 USA</t>
  </si>
  <si>
    <t>National Oceanic Atmospheric Admin (NOAA) - USA; Hampton University</t>
  </si>
  <si>
    <t>Krause, DJ (corresponding author), Southwest Fisheries Sci Ctr, Antarct Ecosyst Res Div, NOAA Fisheries, La Jolla, CA 92037 USA.</t>
  </si>
  <si>
    <t>douglas.krause@noaa.gov</t>
  </si>
  <si>
    <t>Watters, George/HPE-2184-2023</t>
  </si>
  <si>
    <t>Watters, George/0000-0002-6989-1273; Krause, Douglas J./0000-0002-2517-3106; Bonin Lewallen, Carolina/0000-0003-1162-7290</t>
  </si>
  <si>
    <t>JAN 3</t>
  </si>
  <si>
    <t>10.3389/fmars.2021.796488</t>
  </si>
  <si>
    <t>YK4BC</t>
  </si>
  <si>
    <t>WOS:000745159400001</t>
  </si>
  <si>
    <t>Duan, M; Zhang, C; Liu, Y; Ye, ZJ; Liu, CL; Tian, YJ; He, JF</t>
  </si>
  <si>
    <t>Duan, Mi; Zhang, Chi; Liu, Yang; Ye, Zhenjiang; Liu, Chunlin; Tian, Yongjun; He, Jianfeng</t>
  </si>
  <si>
    <t>Early-life history traits of two icefishes, spiny icefish Chaenodraco wilsoni and ocellated icefish Chionodraco rastrospinosus, in the Ross Sea revealed by otolith microstructure</t>
  </si>
  <si>
    <t>Icefishes; Ross Sea; Otolith microstructure; Early-life history</t>
  </si>
  <si>
    <t>TERRA-NOVA BAY; PLEURAGRAMMA-ANTARCTICUM; CHAENOCEPHALUS-ACERATUS; MACKEREL ICEFISH; LARVAL FISH; AGE; GROWTH; TOOTHFISH; BIOLOGY; CHANNICHTHYIDAE</t>
  </si>
  <si>
    <t>Spiny icefish (Chaenodraco wilsoni) and ocellated icefish (Chionodraco rastrospinosus) are two abundant channichthyids in the larval fish assemblages of the Ross Sea. However, little information is available about the early-life history traits of the two icefishes, which have limited the understanding of the biology and ecology of icefishes. The present study aims to investigate the early-life history traits of C. wilsoni and C. rastrospinosus in the Ross Sea. Through the analysis of sagittal otolith microstructure, the size and timing of hatching, onset of exogenous feeding, and growth rate were assessed in the two icefishes. In C. wilsoni, individuals with a standard length (SL) of 14-43 mm were estimated ages of 28-100 days. An exponential model was well fitted to the age-length dataset, indicating a mean growth rate of 0.34 mm day(-1). Larval hatching occurred at a size of 9.28 mm and was distributed over a relatively long period, lasting from October to December. The onset of exogenous feeding took place between 16 and 29 days after hatching. In C. rastrospinosus, individuals with SL of 14-48 mm were estimated ages of 29-126 days and mean growth rate of 0.38 mm day(-1). The larval size at hatching was estimated as 10.90 mm and hatching dates extended over a long period from September to December. The yolk-sac duration estimated from hatching to the onset of the exogenous feeding check was 21-41 days, which was longer than in other channichthyids. This study provides new information on the biological features and life history strategies of C. wilsoni and C. rastrospinosus.</t>
  </si>
  <si>
    <t>[Duan, Mi; Zhang, Chi; Liu, Yang; Ye, Zhenjiang; Liu, Chunlin; Tian, Yongjun] Ocean Univ China, Minist Educ, Frontiers Sci Ctr Deep Ocean Multispheres &amp; Earth, Qingdao 266100, Peoples R China; [Duan, Mi; Zhang, Chi; Liu, Yang; Ye, Zhenjiang; Liu, Chunlin; Tian, Yongjun] Ocean Univ China, Minist Educ, Key Lab Mariculture, Qingdao 266100, Peoples R China; [Liu, Yang; Tian, Yongjun] Pilot Natl Lab Marine Sci &amp; Technol, Lab Marine Fisheries Sci &amp; Food Prod Proc, Qingdao 266237, Peoples R China; [He, Jianfeng] Polar Res Inst China, Shanghai 200136, Peoples R China</t>
  </si>
  <si>
    <t>Ocean University of China; Ocean University of China; Laoshan Laboratory; Polar Research Institute of China</t>
  </si>
  <si>
    <t>Tian, YJ (corresponding author), Ocean Univ China, Minist Educ, Frontiers Sci Ctr Deep Ocean Multispheres &amp; Earth, Qingdao 266100, Peoples R China.;Tian, YJ (corresponding author), Ocean Univ China, Minist Educ, Key Lab Mariculture, Qingdao 266100, Peoples R China.;Tian, YJ (corresponding author), Pilot Natl Lab Marine Sci &amp; Technol, Lab Marine Fisheries Sci &amp; Food Prod Proc, Qingdao 266237, Peoples R China.</t>
  </si>
  <si>
    <t>Liu, Yang/AAK-3617-2020; Han, Yang/JVN-5921-2024</t>
  </si>
  <si>
    <t>Liu, Yang/0000-0001-8548-0223;</t>
  </si>
  <si>
    <t>research project Impact and Response of Antarctic Seas to Climate Change, IRASCC2020-2022 from Chinese Arctic and Antarctic Administration (CAA), Ministry of Natural Resources of the People's Republic of China [IRASCC 01-02-05C]</t>
  </si>
  <si>
    <t>research project Impact and Response of Antarctic Seas to Climate Change, IRASCC2020-2022 from Chinese Arctic and Antarctic Administration (CAA), Ministry of Natural Resources of the People's Republic of China</t>
  </si>
  <si>
    <t>We are grateful to the scientific staff and the crew aboard the 36th Chinese National Antarctica Research Expeditions for their support in sampling processing and data collection. We are grateful to Dr. Dieter Piepenburg the editor of PB, Dr. Mauricio F. Landaeta and to one anonymous reviewer, whose suggestions greatly improved the early draft of the manuscript. Finally, we thank Nature Research Editing Service for revising language. This study was financially supported by the research project Impact and Response of Antarctic Seas to Climate Change, IRASCC2020-2022 (Grant No. IRASCC 01-02-05C) from Chinese Arctic and Antarctic Administration (CAA), Ministry of Natural Resources of the People's Republic of China.</t>
  </si>
  <si>
    <t>10.1007/s00300-021-03002-3</t>
  </si>
  <si>
    <t>WOS:000737737200001</t>
  </si>
  <si>
    <t>Kraberger, S; Austin, C; Farkas, K; Desvignes, T; Postlethwait, JH; Fontenele, RS; Schmidlin, K; Bradley, RW; Warzybok, P; Van Doorslaer, K; Davison, W; Buck, CB; Varsani, A</t>
  </si>
  <si>
    <t>Kraberger, Simona; Austin, Charlotte; Farkas, Kata; Desvignes, Thomas; Postlethwait, John H.; Fontenele, Rafaela S.; Schmidlin, Kara; Bradley, Russell W.; Warzybok, Pete; Van Doorslaer, Koenraad; Davison, William; Buck, Christopher B.; Varsani, Arvind</t>
  </si>
  <si>
    <t>Discovery of novel fish papillomaviruses: From the Antarctic to the commercial fish market</t>
  </si>
  <si>
    <t>VIROLOGY</t>
  </si>
  <si>
    <t>Papillomavirus; Trematomus bernacchii; Melanogrammus aeglefinus; Sparus aurata; Centropristis striata; Larus occidentalis</t>
  </si>
  <si>
    <t>SEQUENCE; CLEAVAGE; PROTEIN</t>
  </si>
  <si>
    <t>Fish papillomaviruses form a newly discovered group broadly recognized as the Secondpapillomavirinae sub-family. This study expands the documented genomes of the fish papillomaviruses from six to 16, including one from the Antarctic emerald notothen, seven from commercial market fishes, one from data mining of sea bream sequence data, and one from a western gull cloacal swab that is likely diet derived. The genomes of sec-ondpapillomaviruses are ~6 kilobasepairs (kb), which is substantially smaller than the ~8 kb of terrestrial vertebrate papillomaviruses. Each genome encodes a clear homolog of the four canonical papillomavirus genes, E1, E2, L1, and L2. In addition, we identified open reading frames (ORFs) with short linear peptide motifs reminiscent of E6/E7 oncoproteins. Fish papillomaviruses are extremely diverse and phylogenetically distant from other papillomaviruses suggesting a model in which terrestrial vertebrate-infecting papillomaviruses arose after an evolutionary bottleneck event, possibly during the water-to-land transition.</t>
  </si>
  <si>
    <t>[Kraberger, Simona; Fontenele, Rafaela S.; Schmidlin, Kara; Varsani, Arvind] Arizona State Univ, Biodesign Ctr Fundamental &amp; Appl Microbiom, Ctr Evolut &amp; Med, Tempe, AZ 85287 USA; [Kraberger, Simona; Fontenele, Rafaela S.; Schmidlin, Kara; Varsani, Arvind] Arizona State Univ, Sch Life Sci, Tempe, AZ 85287 USA; [Austin, Charlotte] Univ Canterbury, Sch Biol Sci, Christchurch 8140, New Zealand; [Farkas, Kata; Davison, William] Bangor Univ, Sch Nat Sci, Bangor LL57 2UW, Gwynedd, Wales; [Desvignes, Thomas; Postlethwait, John H.] Univ Oregon, Inst Neurosci, Eugene, OR 97403 USA; [Bradley, Russell W.] Calif State Univ Channel Isl, Santa Rosa Isl Res Stn, Camarillo, CA 93012 USA; [Warzybok, Pete] Point Blue Conservat Sci, Petaluma, CA 94954 USA; [Van Doorslaer, Koenraad] Univ Arizona, BIO5 Inst, Sch Anim &amp; Comparat Biomed Sci, Tucson, AZ 85724 USA; [Van Doorslaer, Koenraad] Univ Arizona, Dept Immunobiol, Tucson, AZ 85724 USA; [Van Doorslaer, Koenraad] Univ Arizona, Canc Biol Grad Interdisciplinary Program, Tucson, AZ 85724 USA; [Van Doorslaer, Koenraad] Univ Arizona, UA Canc Ctr, Tucson, AZ 85724 USA; [Buck, Christopher B.] NCI, NIH, Lab Cellular Oncol, Bethesda, MD 20892 USA; [Varsani, Arvind] Univ Cape Town, Dept Integrat Biomed Sci, Struct Biol Res Unit, ZA-7925 Cape Town, South Africa</t>
  </si>
  <si>
    <t>Arizona State University; Arizona State University-Tempe; Arizona State University; Arizona State University-Tempe; University of Canterbury; Bangor University; University of Oregon; California State University System; California State University Channel Islands; University of Arizona; University of Arizona; University of Arizona; University of Arizona; National Institutes of Health (NIH) - USA; NIH National Cancer Institute (NCI); University of Cape Town</t>
  </si>
  <si>
    <t>Varsani, A (corresponding author), Arizona State Univ, Biodesign Ctr Fundamental &amp; Appl Microbiom, Ctr Evolut &amp; Med, Tempe, AZ 85287 USA.;Varsani, A (corresponding author), Arizona State Univ, Sch Life Sci, Tempe, AZ 85287 USA.;Buck, CB (corresponding author), NCI, NIH, Lab Cellular Oncol, Bethesda, MD 20892 USA.</t>
  </si>
  <si>
    <t>buckc@mail.nih.gov; arvind.varsani@asu.edu</t>
  </si>
  <si>
    <t>Varsani, Arvind/JOZ-5299-2023; Thomas, Desvignes/AAX-3526-2020; Farkas, Kata/H-3665-2019; Buck, Christopher/G-8358-2017</t>
  </si>
  <si>
    <t>Varsani, Arvind/0000-0003-4111-2415; Thomas, Desvignes/0000-0001-5126-8785; Farkas, Kata/0000-0002-7068-3228; Buck, Christopher/0000-0003-3165-8094</t>
  </si>
  <si>
    <t>National Science Foundation (NSF) polar program [K057]; Center of Evolution and Med-icine Venture Fund (Center of Evolution and Medicine, Arizona State University, USA) [OPP-1543383]; RSF [OPP-1947040]; NIH Intramural Research Program [81640-5-J046]; NCI Center for Cancer Research; California Academy of Sciences; U.S. Fish and Wildlife Service</t>
  </si>
  <si>
    <t>National Science Foundation (NSF) polar program(National Science Foundation (NSF)); Center of Evolution and Med-icine Venture Fund (Center of Evolution and Medicine, Arizona State University, USA); RSF(Russian Science Foundation (RSF)); NIH Intramural Research Program(United States Department of Health &amp; Human ServicesNational Institutes of Health (NIH) - USA); NCI Center for Cancer Research(United States Department of Health &amp; Human ServicesNational Institutes of Health (NIH) - USANIH National Cancer Institute (NCI)); California Academy of Sciences; U.S. Fish and Wildlife Service(US Fish &amp; Wildlife Service)</t>
  </si>
  <si>
    <t>The authors are grateful to Alison McBride, and Karl Munger for their advice on papillomavirus oncogenes. The field work in the Ross Sea was supported by a grant (K057) awarded to WD from Antarctica New Zealand. The field work on the West Antarctic Peninsula was supported by the National Science Foundation (NSF) polar program grant OPP-1543383 (JHP, TD) . The molecular work described in this study for the fish from Ross Sea was supported by the Center of Evolution and Med-icine Venture Fund (Center of Evolution and Medicine, Arizona State University, USA) grant awarded to AV. The molecular data acquisition on fish from the West Antarctic Peninsula was supported by the NSF polar grant OPP-1947040 (awarded to TD, AV and JHP) . In addition, the NSF polar grant OPP-1947040 also partially supported SK, TD, JHP, RSF and AV. The commercial market fish work was funded in part by the NIH Intramural Research Program, with support from the NCI Center for Cancer Research awarded to CB. The collection of cloacal swabs from Western gulls was conducted by Point Blue Conservation Science with the support of the California Academy of Sciences and the U.S. Fish and Wildlife Service under cooperative agreement number 81640-5-J046.</t>
  </si>
  <si>
    <t>0042-6822</t>
  </si>
  <si>
    <t>1089-862X</t>
  </si>
  <si>
    <t>Virology</t>
  </si>
  <si>
    <t>JAN 2</t>
  </si>
  <si>
    <t>10.1016/j.virol.2021.10.007</t>
  </si>
  <si>
    <t>0V1IO</t>
  </si>
  <si>
    <t>WOS:000788099100003</t>
  </si>
  <si>
    <t>King, M</t>
  </si>
  <si>
    <t>King, Matt</t>
  </si>
  <si>
    <t>Antarctic Atlas</t>
  </si>
  <si>
    <t>INTERNATIONAL JOURNAL OF CARTOGRAPHY</t>
  </si>
  <si>
    <t>Book Review</t>
  </si>
  <si>
    <t>King, Matt/B-4622-2008</t>
  </si>
  <si>
    <t>King, Matt/0000-0001-5611-9498</t>
  </si>
  <si>
    <t>2372-9333</t>
  </si>
  <si>
    <t>2372-9341</t>
  </si>
  <si>
    <t>INT J CARTOGRAPHY</t>
  </si>
  <si>
    <t>Int. J. Cartogr.</t>
  </si>
  <si>
    <t>10.1080/23729333.2021.1925062</t>
  </si>
  <si>
    <t>Computer Science, Information Systems; Geography; Geography, Physical; Remote Sensing</t>
  </si>
  <si>
    <t>Computer Science; Geography; Physical Geography; Remote Sensing</t>
  </si>
  <si>
    <t>ZK6ME</t>
  </si>
  <si>
    <t>WOS:000763100800012</t>
  </si>
  <si>
    <t>Flamm, P; Verbitsky, J</t>
  </si>
  <si>
    <t>Flamm, Patrick; Verbitsky, Jane</t>
  </si>
  <si>
    <t>Introduction: 'Studying from the margins' - Global South perspectives on the future of Antarctic governance</t>
  </si>
  <si>
    <t>POLAR JOURNAL</t>
  </si>
  <si>
    <t>[Flamm, Patrick] Te Herenga Waka Victoria Univ Wellington, Wellington, New Zealand; [Verbitsky, Jane] Auckland Univ Technol, Auckland, New Zealand</t>
  </si>
  <si>
    <t>Auckland University of Technology</t>
  </si>
  <si>
    <t>Flamm, P (corresponding author), Te Herenga Waka Victoria Univ Wellington, Wellington, New Zealand.;Verbitsky, J (corresponding author), Auckland Univ Technol, Auckland, New Zealand.</t>
  </si>
  <si>
    <t>patrick.flamm@vuw.ac.nz; jane.verbitsky@aut.ac.nz</t>
  </si>
  <si>
    <t>Flamm, Patrick/0000-0003-4471-688X</t>
  </si>
  <si>
    <t>2154-896X</t>
  </si>
  <si>
    <t>2154-8978</t>
  </si>
  <si>
    <t>POLAR J-UK</t>
  </si>
  <si>
    <t>Polar J.</t>
  </si>
  <si>
    <t>10.1080/2154896X.2022.2066613</t>
  </si>
  <si>
    <t>Area Studies; Environmental Studies; Geography; International Relations</t>
  </si>
  <si>
    <t>Area Studies; Environmental Sciences &amp; Ecology; Geography; International Relations</t>
  </si>
  <si>
    <t>X5IA8</t>
  </si>
  <si>
    <t>WOS:001098773800001</t>
  </si>
  <si>
    <t>Salazar, JF; Leane, E; Roldán, G; Fraser, C; Díaz, KM; Power, C; Garro, F; Silima, R; Barticevic, E</t>
  </si>
  <si>
    <t>Salazar, Juan Francisco; Leane, Elizabeth; Roldan, Gabriela; Fraser, Caleb; Diaz, Katia Macias; Power, Chloe; Garro, Florencia; Silima, Rudzani; Barticevic, Elias</t>
  </si>
  <si>
    <t>The Antarctic youth coalition: an experiment in citizen participation and south-south cultural diplomacy</t>
  </si>
  <si>
    <t>Antarctic youth coalition; participation; cultural diplomacy; youth engagement</t>
  </si>
  <si>
    <t>AMBASSADORSHIP; TOURISM</t>
  </si>
  <si>
    <t>Ongoing youth-based programmes providing educational expeditions to Antarctica have been developed by non-state actors, universities, and national Antarctic programs since the early 2000s. Despite the successes and impact of these educational programs, and despite the emergence and growth in recent decades of youth-led issues-based movements worldwide, there have been scarce opportunities for young people to have a voice in national and global networks for action on Antarctica. Furthermore, both Antarctic decision-makers and academia have not paid a great deal of attention to youth participation in Antarctic affairs. Drawing on a youth expedition to King George Island in February 2020, the authors designed the Antarctic Youth Coalition as an experiment in youth participation. As a result of the formation of the Antarctic Youth Coalition across five Antarctic gateway cities, we proposed that AYC to provides conceptual and practical platforms for a deeper interrogation of youth participation in Antarctic political, social, economic and environmental matters of concern. This article highlights sustained and active engagement with Antarctic youth projects and the role that young people can play in Antarctic cultural diplomacy.</t>
  </si>
  <si>
    <t>[Salazar, Juan Francisco] Western Sydney Univ, Inst Culture &amp; Soc, Sch Humanities &amp; Commun Arts, Penrith, Australia</t>
  </si>
  <si>
    <t>Western Sydney University</t>
  </si>
  <si>
    <t>Salazar, JF (corresponding author), Western Sydney Univ, Inst Culture &amp; Soc, Sch Humanities &amp; Commun Arts, Penrith, Australia.</t>
  </si>
  <si>
    <t>j.salazar@westernsydney.edu.au</t>
  </si>
  <si>
    <t>Australian Research Council through ARC Linkage Grant [LP160100210]; Instituto Antartico Chileno (INACH), Expedicion Cientifica Antartica [ECA56 2020]</t>
  </si>
  <si>
    <t>Australian Research Council through ARC Linkage Grant(Australian Research Council); Instituto Antartico Chileno (INACH), Expedicion Cientifica Antartica</t>
  </si>
  <si>
    <t>This work was supported by Funding from the Australian Research Council through ARC Linkage Grant LP160100210. The travel to Julio Escudero Research Station in February 2020 was sponsored by the Instituto Antartico Chileno (INACH) as part of their Expedicion Cientifica Antartica (ECA56 2020).</t>
  </si>
  <si>
    <t>10.1080/2154896X.2022.2062560</t>
  </si>
  <si>
    <t>WOS:001098773800002</t>
  </si>
  <si>
    <t>Mancilla, A</t>
  </si>
  <si>
    <t>Mancilla, Alejandra</t>
  </si>
  <si>
    <t>South American claims in Antarctica: colonial, malgre tout</t>
  </si>
  <si>
    <t>Antarctica; Argentina; Chile; colonialism; territorial claims</t>
  </si>
  <si>
    <t>Argentina and Chile, known in the world of Antarctic politics as the 'South American claimants', have shown themselves since the inception of their interests in the White Continent as standing alone and in opposition to the advances of the colonial powers of the North - especially the United Kingdom. As Shirley Scott has suggested, while the UK was busy staking claims over Antarctica and treating it as terra nullius, Argentina and Chile ascertained what they took to be their historical rights to the continent, inherited from the time when they were Spanish colonies. In this article, I support Argentina's and Chile's contention that the attitude and procedure followed by the other claimants to the continent was unequivocally colonial, but I reject their contention that theirs was not. I examine four sites where their colonial spirit is revealed: their use of the geographic doctrines of continuity and contiguity, and of the sector principle; the appeal to historic rights inherited from the time when they were Spanish colonies; their expansion to Antarctica through the establishment of military settlements, and their underlying economic and strategic interests, no different from their 'Northern' counterparts. I then point to some specific and general implications of reinterpreting their story in this light.</t>
  </si>
  <si>
    <t>[Mancilla, Alejandra] Univ Oslo, Fac Humanities, Dept Philosophy Class Hist Art &amp; Ideas, Oslo, Norway; [Mancilla, Alejandra] Univ Oslo, Fac Humanities, Dept Philosophy Class Hist Art &amp; Ideas, Postboks 1020, N-0315 Oslo, Norway</t>
  </si>
  <si>
    <t>University of Oslo; University of Oslo</t>
  </si>
  <si>
    <t>Mancilla, A (corresponding author), Univ Oslo, Fac Humanities, Dept Philosophy Class Hist Art &amp; Ideas, Postboks 1020, N-0315 Oslo, Norway.</t>
  </si>
  <si>
    <t>alejandra.mancilla@ifikk.uio.no</t>
  </si>
  <si>
    <t>Polar Programme of the Research Council of Norway [144416]; European Research Council (ERC) under the European Union [948964]; European Research Council (ERC) [948964] Funding Source: European Research Council (ERC)</t>
  </si>
  <si>
    <t>Polar Programme of the Research Council of Norway; European Research Council (ERC) under the European Union(European Research Council (ERC)); European Research Council (ERC)(European Research Council (ERC)Spanish Government)</t>
  </si>
  <si>
    <t>Polar Programme of the Research Council of Norway, project 'Political Philosophy Looks to Antarctica' (grant agreement number 144416); and European Research Council (ERC) under the European Union's Horizon 2020 research and innovation programme, project 'Dynamic Territory' (grant agreement number 948964).</t>
  </si>
  <si>
    <t>10.1080/2154896X.2022.2062558</t>
  </si>
  <si>
    <t>WOS:001098773800003</t>
  </si>
  <si>
    <t>van Uitregt, V; Sullivan, I; Watene, K; Wehi, P</t>
  </si>
  <si>
    <t>van Uitregt, Vincent; Sullivan, Isabella; Watene, Krushil; Wehi, Priscilla</t>
  </si>
  <si>
    <t>Negotiating greater Māori participation in Antarctic and Southern Ocean research, policy, and governance</t>
  </si>
  <si>
    <t>Maori; matauranga Maori; indigenous knowledge; Indigenous world views; Antarctica; Southern Ocean</t>
  </si>
  <si>
    <t>INDIGENOUS PEOPLES; MATAURANGA MAORI; NEW-ZEALAND; WATER; MANAGEMENT; KNOWLEDGE; INTEGRATION; AUSTRALIA; CANADA; BASIN</t>
  </si>
  <si>
    <t>As the world seeks to engage with Indigenous values to respond to environmental issues, Indigenous peoples seek to meet that need through genuinely equitable partnerships. In Aotearoa New Zealand, preliminary work towards Maori participation in its Antarctic and Southern Ocean activities has begun. We further that work here by analysing two successful international approaches to negotiating Indigenous participation in environmental research, policy, and governance. In doing so, this paper examines how Maori and other Indigenous peoples might continue to work towards equitable participation in Antarctica and the Southern Ocean. Given the complex nature of the Antarctic region, our analysis focusses on case studies in similarly complex multijurisdictional areas, in the Arctic, and across the Murray Darling Basin in Australia. Working towards equitable participation in each of these cases has been supported by the collectivisation of Indigenous voices, use and establishment of strong Indigenous organisational structures, consistent influence on environmental law and policy, articulation of Indigenous policy, and alignment of Indigenous knowledges and worldviews with the environmental objectives of the regions. These lessons provide high-level principles to support Maori and other Indigenous peoples as they seek to bring new paradigms and values to support improved management of Antarctica and the Southern Ocean.</t>
  </si>
  <si>
    <t>[van Uitregt, Vincent] Victoria Univ Wellington, Sch Geog Environm &amp; Earth Sci, Wellington, New Zealand; [Sullivan, Isabella] Stanford Univ, Sch Earth Energy &amp; Environm Sci, Stanford, CA USA; [Watene, Krushil] Massey Univ, Sch Humanities, Auckland, New Zealand; [Wehi, Priscilla] Univ Otago, Ctr Sustainabil, Te Punaha Matatini, Dunedin, New Zealand; [van Uitregt, Vincent] Victoria Univ Wellington, Sch Geog Environm &amp; Earth Sci, POB 600, Wellington, New Zealand</t>
  </si>
  <si>
    <t>Victoria University Wellington; Stanford University; Massey University; University of Otago; Victoria University Wellington</t>
  </si>
  <si>
    <t>van Uitregt, V (corresponding author), Victoria Univ Wellington, Sch Geog Environm &amp; Earth Sci, POB 600, Wellington, New Zealand.</t>
  </si>
  <si>
    <t>billy.vanuitregt@vuw.ac.nz</t>
  </si>
  <si>
    <t>This work was supported by the New Zealand Ministry of Business, Innovation and Employment under Grant C01x1710; Rutherford Discovery Fellowship from the Royal Society of New Zealand under Grants LCR-14-001 to P.M.W. and MAU-18-001 to K.W. [C01x1710]; New Zealand Ministry of Business, Innovation and Employment [LCR-14-001, MAU-18-001]; Rutherford Discovery Fellowship from the Royal Society of New Zealand</t>
  </si>
  <si>
    <t>This work was supported by the New Zealand Ministry of Business, Innovation and Employment under Grant C01x1710; Rutherford Discovery Fellowship from the Royal Society of New Zealand under Grants LCR-14-001 to P.M.W. and MAU-18-001 to K.W.; New Zealand Ministry of Business, Innovation and Employment(New Zealand Ministry of Business, Innovation and Employment (MBIE)); Rutherford Discovery Fellowship from the Royal Society of New Zealand(Royal Society of New Zealand)</t>
  </si>
  <si>
    <t>This work was supported by the New Zealand Ministry of Business, Innovation and Employment under Grant C01x1710; Rutherford Discovery Fellowship from the Royal Society of New Zealand under Grants LCR-14-001 to P.M.W. and MAU-18-001 to K.W.</t>
  </si>
  <si>
    <t>10.1080/2154896X.2022.2058222</t>
  </si>
  <si>
    <t>WOS:001098773800004</t>
  </si>
  <si>
    <t>Cardone, IJ</t>
  </si>
  <si>
    <t>Cardone, Ignacio Javier</t>
  </si>
  <si>
    <t>The continental, the hemispheric and the global Antarctica: Southern perspectives of climate change and the governance of Antarctica</t>
  </si>
  <si>
    <t>Antarctica; Antarctic Treaty System; Southern countries; climate change; environment</t>
  </si>
  <si>
    <t>OZONE; RECOVERY; SURFACE</t>
  </si>
  <si>
    <t>The present paper seeks to examine southern perspectives on climate change and their effects on Antarctica. Following that objective, the paper analyses, from a theoretical/philosophical and historical perspective, three different images of Antarctica that have played key roles in shaping the governance of the continent. Thus, I distinguish between the idea of a continental Antarctica, characterised as exceptional and isolated; the idea of a hemispheric - or regional - Antarctica, which relates to the vicinity of the southern hemisphere countries, their environmental identity with the southern polar regions and the more direct and immediate linkages between the Antarctic and the southern countries' environments; and the idea of a global Antarctica, which stress the planetary dynamics that interlink the continent with the global phenomena. Whether the Antarctic Treaty and the evolution of the Antarctic Treaty System seem to have incorporated those different images successfully, the evolving and increasing phenomenon of climate change has stressed the idea of the global Antarctica as opposed to the continental Antarctica, disregarding the image of the hemispheric Antarctica. That could lead to efforts to widen or even open up participation in the regime, an option that most likely would confront a strong rebuttal from existing southern member countries, in particular from those that hold territorial claims upon Antarctica. As a conclusion, I argue that any successful attempt to address the global problem of climate change needs to take into account the perspectives of the southern countries and their particular identity/links with the Antarctic region, including their environments; and that any possible governance framework would need to accommodate the three disparate visions of Antarctica in order to be successful and ensure that the Antarctic remains free from strong political discord and conflicts.</t>
  </si>
  <si>
    <t>[Cardone, Ignacio Javier] Pontificia Univ Catolica Peru, Acad Dept Social Sci, Lima, Peru</t>
  </si>
  <si>
    <t>Pontificia Universidad Catolica del Peru</t>
  </si>
  <si>
    <t>Cardone, IJ (corresponding author), Pontificia Univ Catolica Peru, Acad Dept Social Sci, Lima, Peru.</t>
  </si>
  <si>
    <t>icardone@pucp.edu.pe</t>
  </si>
  <si>
    <t>Cardone, Ignacio Javier/L-9299-2016</t>
  </si>
  <si>
    <t>Cardone, Ignacio Javier/0000-0001-5743-9469</t>
  </si>
  <si>
    <t>I would like to acknowledge the important contributions of the two anonymous reviewers of this paper and the participants of the 2021 SCAR SC-HASS Biennial Conference. I would also like to thank the International Relations Research Centre of the University</t>
  </si>
  <si>
    <t>I would like to acknowledge the important contributions of the two anonymous reviewers of this paper and the participants of the 2021 SCAR SC-HASS Biennial Conference. I would also like to thank the International Relations Research Centre of the University of Sao Paulo (NUPRI-USP) for their support, and the two Editors to this Special Issue, Patrick Flamm and Jane Verbitsky, for their work, patience and understanding.</t>
  </si>
  <si>
    <t>10.1080/2154896X.2022.2062556</t>
  </si>
  <si>
    <t>WOS:001098773800005</t>
  </si>
  <si>
    <t>Hemmings, AD</t>
  </si>
  <si>
    <t>Hemmings, Alan D.</t>
  </si>
  <si>
    <t>The functional exclusion of Least Developed Countries from the Antarctic regime</t>
  </si>
  <si>
    <t>Least developed countries; Global South; Antarctic Treaty system; regime access; institutional legitimacy</t>
  </si>
  <si>
    <t>The Antarctic regime makes bold claims for its general validity and open access to membership by any state which is a Member of the United Nations. However, the conditionalities around acquiring decision-making status in the regime - 'conducting substantial scientific research activity there, such as the establishment of a scientific station or the despatch of a scientific expedition' (Antarctic Treaty) or 'research or harvesting activities' (CCAMLR) - have installed a formidable glass ceiling subsequently reinforced by state practice. This has been fatal to the prospects for engagement in the ATS by most Global South states beyond the most powerful and emerging economies. The challenges facing poorer states are modelled through consideration of the most disadvantaged states, the Least Developed Countries (LDCs). This article explains the functional exclusion of the LDCs and explores why they should be given agency in the Antarctic regime. It examines the options for facilitating their participation and thus overcoming the present functional exclusion.</t>
  </si>
  <si>
    <t>[Hemmings, Alan D.] Univ Canterbury, Gateway Antarct, Christchurch, New Zealand</t>
  </si>
  <si>
    <t>University of Canterbury</t>
  </si>
  <si>
    <t>Hemmings, AD (corresponding author), Univ Canterbury, Gateway Antarct, Christchurch, New Zealand.</t>
  </si>
  <si>
    <t>AlanDHemmings@xtra.co.nz</t>
  </si>
  <si>
    <t>I thank the two anonymous reviewers for their helpful comments, and particularly Jane Verbitsky and Patrick Flamm for the opportunity to contribute to this number. Of course, none of these people are responsible for the analysis and positions adopted here,</t>
  </si>
  <si>
    <t>I thank the two anonymous reviewers for their helpful comments, and particularly Jane Verbitsky and Patrick Flamm for the opportunity to contribute to this number. Of course, none of these people are responsible for the analysis and positions adopted here, for which (and for any errors or oversights therein) the author remains solely responsible.</t>
  </si>
  <si>
    <t>10.1080/2154896X.2022.2058223</t>
  </si>
  <si>
    <t>WOS:001098773800006</t>
  </si>
  <si>
    <t>Sosin, C</t>
  </si>
  <si>
    <t>Sosin, Claudia</t>
  </si>
  <si>
    <t>Continental shelves in the Antarctic region: implications for resource management</t>
  </si>
  <si>
    <t>Antarctica; sovereignty; law of the sea; continental shelves; polar law</t>
  </si>
  <si>
    <t>TREATY; LIMITS; LAW</t>
  </si>
  <si>
    <t>This paper will focus on the interaction between the United Nations Convention on the Law of the Sea and the Antarctic Treaty System, particularly the tensions and interplay between these two governance structures in relation to territorial sovereignty over continental shelves and extended continental shelves within the Antarctic Treaty area. Given the wealth of mineral resources buried within these shelves and the extremely fragile nature of the Antarctic ecosystem, this paper outlines what legal parameters were in place regarding state sovereignty. The submissions of Australia, Argentina and the United Kingdom to the Commission for the Limits of the Continental Shelf will be outlined and contrasted alongside the notes verbales lodged following their submission. Finally, the paper will highlight how the form of CLCS submission of each state could impact their resource management potentials in the future concluding with what suggestions could be made for the yet to be finalised, Chilean submission.</t>
  </si>
  <si>
    <t>[Sosin, Claudia] Univ Western Australia, Nedlands, Australia; [Sosin, Claudia] 10A Mountjoy Rd, Nedlands, WA 6009, Australia</t>
  </si>
  <si>
    <t>University of Western Australia</t>
  </si>
  <si>
    <t>Sosin, C (corresponding author), 10A Mountjoy Rd, Nedlands, WA 6009, Australia.</t>
  </si>
  <si>
    <t>21144212@student.uwa.edu.au</t>
  </si>
  <si>
    <t>10.1080/2154896X.2022.2062559</t>
  </si>
  <si>
    <t>WOS:001098773800008</t>
  </si>
  <si>
    <t>Flores, C</t>
  </si>
  <si>
    <t>Flores, Carolina</t>
  </si>
  <si>
    <t>Third Chilean conference on Antarctic law</t>
  </si>
  <si>
    <t>flores.barrosc@gmail.com</t>
  </si>
  <si>
    <t>10.1080/2154896X.2022.2047495</t>
  </si>
  <si>
    <t>WOS:001098773800011</t>
  </si>
  <si>
    <t>Madani, Z; Shibata, A</t>
  </si>
  <si>
    <t>Madani, Zia; Shibata, Akiho</t>
  </si>
  <si>
    <t>The global Antarctic through humanities and social sciences perspectives: observations from Japan</t>
  </si>
  <si>
    <t>[Madani, Zia; Shibata, Akiho] Kobe Univ, Polar Cooperat Res Ctr PCRC, Kobe, Japan</t>
  </si>
  <si>
    <t>Kobe University</t>
  </si>
  <si>
    <t>Madani, Z (corresponding author), Kobe Univ, Polar Cooperat Res Ctr PCRC, Kobe, Japan.</t>
  </si>
  <si>
    <t>madani.zia@gmail.com</t>
  </si>
  <si>
    <t>Madani, Zia/0000-0002-2787-7844</t>
  </si>
  <si>
    <t>Grants-in-Aid for Scientific Research [22KF0251, 21K18124] Funding Source: KAKEN</t>
  </si>
  <si>
    <t>Grants-in-Aid for Scientific Research(Ministry of Education, Culture, Sports, Science and Technology, Japan (MEXT)Japan Society for the Promotion of ScienceGrants-in-Aid for Scientific Research (KAKENHI))</t>
  </si>
  <si>
    <t>10.1080/20567790.2022.2060554</t>
  </si>
  <si>
    <t>WOS:001098773800012</t>
  </si>
  <si>
    <t>Press, AJ; Jackson, A</t>
  </si>
  <si>
    <t>Press, A. J.; Jackson, Andrew</t>
  </si>
  <si>
    <t>Who saved Antarctica: the heroic era of Antarctic diplomacy</t>
  </si>
  <si>
    <t>[Press, A. J.] Univ Tasmania, Hobart, Australia</t>
  </si>
  <si>
    <t>Press, AJ (corresponding author), Univ Tasmania, Hobart, Australia.</t>
  </si>
  <si>
    <t>tony.press@utas.edu.au</t>
  </si>
  <si>
    <t>Press, Anthony/0000-0002-3233-8933</t>
  </si>
  <si>
    <t>10.1080/2154896X.2022.2040106</t>
  </si>
  <si>
    <t>WOS:001098773800013</t>
  </si>
  <si>
    <t>Hingley, R; Fretwell, P</t>
  </si>
  <si>
    <t>Hingley, Rebecca; Fretwell, Peter</t>
  </si>
  <si>
    <t>Antarctic Atlas: New Maps and Graphics That Tell the Story of a Continent</t>
  </si>
  <si>
    <t>[Hingley, Rebecca] Univ Tasmania, Hobart, Australia</t>
  </si>
  <si>
    <t>Hingley, R (corresponding author), Univ Tasmania, Hobart, Australia.</t>
  </si>
  <si>
    <t>rebecca.hingley@utas.edu.au</t>
  </si>
  <si>
    <t>10.1080/2154896X.2022.2044986</t>
  </si>
  <si>
    <t>WOS:001098773800014</t>
  </si>
  <si>
    <t>Gallo, N; Grochowicz, J</t>
  </si>
  <si>
    <t>Gallo, Nina; Grochowicz, Joanna</t>
  </si>
  <si>
    <t>Shackleton's Endurance, an Antarctic survival story</t>
  </si>
  <si>
    <t>contactninagallo@gmail.com</t>
  </si>
  <si>
    <t>10.1080/2154896X.2022.2056303</t>
  </si>
  <si>
    <t>WOS:001098773800015</t>
  </si>
  <si>
    <t>C</t>
  </si>
  <si>
    <t>Abbasi, R; Ackermann, M; Adams, J; Aguilar, JA; Ahlers, M; Ahrens, M; Alispach, C; Alves, AA ; Amin, NM; An, R; Andeen, K; Anderson, T; Anton, G; Arg-üelles, C; Ashida, Y; Axani, S; Bai, X; Balagopal, A; Barbano, A; Barwick, SW; Bastian, B; Basu, V; Baur, S; Bay, R; Beatty, JJ; Becker, KH; Tjus, JB; Bellenghi, C; BenZvi, S; Berley, D; Bernardini, E; Besson, DZ; Binder, G; Bindig, D; Blaufuss, E; Blot, S; Boddenberg, M; Bontempo, F; Borowka, J; Böser, S; Botner, O; Böttcher, J; Bourbeau, E; Bradascio, F; Braun, J; Bron, S; Brostean-Kaiser, J; Browne, S; Burgman, A; Burley, RT; Busse, RS; Campana, MA; Carnie-Bronca, EG; Chen, C; Chirkin, D; Choi, K; Clark, BA; Clark, K; Classen, L; Coleman, A; Collin, GH; Conrad, JM; Coppin, P; Correa, P; Cowen, DF; Cross, R; Dappen, C; Dave, P; De Clercq, C; DeLaunay, JJ; Dembinski, H; Deoskar, K; De Ridder, S; Desai, A; Desiati, P; de Vries, KD; de Wasseige, G; de With, M; DeYoung, T; Dharani, S; Diaz, A; D-íaz-VGÇÜlez, JC; Dittmer, M; Dujmovic, H; Dunkman, M; DuVernois, MA; Dvorak, E; Ehrhardt, T; Eller, P; Engel, R; Erpenbeck, H; Evans, J; Evenson, PA; Fan, KL; Fazely, AR; Fiedlschuster, S; Fienberg, AT; Filimonov, K; Finley, C; Fischer, L; Fox, D; Franckowiak, A; Friedman, E; Fritz, A; F-ürst, P; Gaisser, TK; Gallagher, J; Ganster, E; Garcia, A; Garrappa, S; Gerhardt, L; Ghadimi, A; Glaser, C; Glauch, T; Glusenkamp, T; Goldschmidt, A; Gonzalez, JG; Goswami, S; Grant, D; GrGÇÜgoire, T; Griswold, S; G-ünd-üz, M; G-ünther, C; Haack, C; Hallgren, A; Halliday, R; Halve, L; Halzen, F; Minh, MH; Hanson, K; Hardin, J; Harnisch, AA; Haungs, A; Hauser, S; Hebecker, D; Helbing, K; Henningsen, F; Hettinger, EC; Hickford, S; Hignight, J; Hill, C; Hill, GC; Hoffman, KD; Hoffmann, R; Hoinka, T; Hokanson-Fasig, B; Hoshina, K; Huang, F; Huber, M; Huber, T; Hultqvist, K; H-ünnefeld, M; Hussain, R; In, S; Iovine, N; Ishihara, A; Jansson, M; Japaridze, GS; Jeong, M; Jones, BJP; Kang, D; Kang, W; Kang, X; Kappes, A; Kappesser, D; Karg, T; Karl, M; Karle, A; Katz, U; Kauer, M; Kellermann, M; Kelley, JL; Kheirandish, A; Kin, K; Kintscher, T; Kiryluk, J; Klein, SR; Koirala, R; Kolanoski, H; Kontrimas, T; Kopke, L; Kopper, C; Kopper, S; Koskinen, DJ; Koundal, P; Kovacevich, M; Kowalski, M; Kozynets, T; Kun, E; Kurahashi, N; Lad, N; Gualda, CL; Lanfranchi, JL; Larson, MJ; Lauber, F; Lazar, JP; Lee, JW; Leonard, K; Leszczynska, A; Li, Y; Lincetto, M; Liu, QR; Liubarska, M; Lohfink, E; Mariscal, CJL; Lu, L; Lucarelli, F; Ludwig, A; Luszczak, W; Lyu, Y; Ma, WY; Madsen, J; Mahn, KBM; Makino, Y; Mancina, S; Maris, IC; Maruyama, R; Mase, K; McElroy, T; McNally, F; Mead, JV; Meagher, K; Medina, A; Meier, M; Meighen-Berger, S; Micallef, J; Mockler, D; Montaruli, T; Moore, RW; Morse, R; Moulai, M; Naab, R; Nagai, R; Naumann, U; Necker, J; Nguyen, LV; Niederhausen, H; Nisa, MU; Nowicki, SC; Nygren, DR; Pollmann, AO; Oehler, M; Olivas, A; O'Sullivan, E; Pandya, H; Pankova, DV; Park, N; Parker, GK; Paudel, EN; Paul, L; de los Heros, CP; Peters, L; Peterson, J; Philippen, S; Pieloth, D; Pieper, S; Pittermann, M; Pizzuto, A; Plum, M; Popovych, Y; Porcelli, A; Rodriguez, MP; Price, PB; Pries, B; Przybylski, GT; Raab, C; Raissi, A; Rameez, M; Rawlins, K; Rea, IC; Rehman, A; Reichherzer, P; Reimann, R; Renzi, G; Resconi, E; Reusch, S; Rhode, W; Richman, M; Riedel, B; Roberts, EJ; Robertson, S; Roellinghoff, G; Rongen, M; Rott, C; Ruhe, T; Ryckbosch, D; Cantu, DR; Safa, I; Saffer, J; Herrera, SES; Sandrock, A; Sandroos, J; Santander, M; Sarkar, S; Sarkar, S; Satalecka, K; Scharf, M; Schaufel, M; Schieler, H; Schindler, S; Schlunder, P; Schmidt, T; Schneider, A; Schneider, J; Schröder, FG; Schumacher, L; Schwefer, G; Sclafani, S; Seckel, D; Seunarine, S; Sharma, A; Shefali, S; Silva, M; Skrzypek, B; Smithers, B; Snihur, R; Soedingrekso, J; Soldin, D; Spannfellner, C; Spiczak, GM; Spiering, C; Stachurska, J; Stamatikos, M; Stanev, T; Stein, R; Stettner, J; Steuer, A; Stezelberger, T; Sturwald, T; Stuttard, T; Sullivan, GW; Taboada, I; Tenholt, F; Ter-Antonyan, S; Tilav, S; Tischbein, F; Tollefson, K; Tomankova, L; Tönnis, C; Toscano, S; Tosi, D; Trettin, A; Tselengidou, M; Tung, CF; Turcati, A; Turcotte, R; Turley, CF; Twagirayezu, JP; Ty, B; Elorrieta, MAU; Valtonen-Mattila, N; Vandenbroucke, J; van Eijndhoven, N; Vannerom, D; van Santen, J; Verpoest, S; Vraeghe, M; Walck, C; Watson, TB; Weaver, C; Weigel, P; Weindl, A; Weiss, MJ; Weldert, J; Wendt, C; Werthebach, J; Weyrauch, M; Whitehorn, N; Wiebusch, CH; Williams, DR; Wolf, M; Woschnagg, K; Wrede, G; Wulff, J; Xu, XW; Xu, Y; Yanez, JP; Yoshida, S; Yu, S; Yuan, T; Zhang, Z</t>
  </si>
  <si>
    <t>Keilhauer, B; Kappes, A</t>
  </si>
  <si>
    <t>Abbasi, R.; Ackermann, M.; Adams, J.; Aguilar, J. A.; Ahlers, M.; Ahrens, M.; Alispach, C.; Alves, A. A., Jr.; Amin, N. M.; An, R.; Andeen, K.; Anderson, T.; Anton, G.; Arguelles, C.; Ashida, Y.; Axani, S.; Bai, X.; Balagopal, A., V; Barbano, A.; Barwick, S. W.; Bastian, B.; Basu, V.; Baur, S.; Bay, R.; Beatty, J. J.; Becker, K. -H.; Tjus, J. Becker; Bellenghi, C.; BenZvi, S.; Berley, D.; Bernardini, E.; Besson, D. Z.; Binder, G.; Bindig, D.; Blaufuss, E.; Blot, S.; Boddenberg, M.; Bontempo, F.; Borowka, J.; Boser, S.; Botner, O.; Bottcher, J.; Bourbeau, E.; Bradascio, F.; Braun, J.; Bron, S.; Brostean-Kaiser, J.; Browne, S.; Burgman, A.; Burley, R. T.; Busse, R. S.; Campana, M. A.; Carnie-Bronca, E. G.; Chen, C.; Chirkin, D.; Choi, K.; Clark, B. A.; Clark, K.; Classen, L.; Coleman, A.; Collin, G. H.; Conrad, J. M.; Coppin, P.; Correa, P.; Cowen, D. F.; Cross, R.; Dappen, C.; Dave, P.; De Clercq, C.; DeLaunay, J. J.; Dembinski, H.; Deoskar, K.; De Ridder, S.; Desai, A.; Desiati, P.; de Vries, K. D.; de Wasseige, G.; de With, M.; DeYoung, T.; Dharani, S.; Diaz, A.; Diaz-Velez, J. C.; Dittmer, M.; Dujmovic, H.; Dunkman, M.; DuVernois, M. A.; Dvorak, E.; Ehrhardt, T.; Eller, P.; Engel, R.; Erpenbeck, H.; Evans, J.; Evenson, P. A.; Fan, K. L.; Fazely, A. R.; Fiedlschuster, S.; Fienberg, A. T.; Filimonov, K.; Finley, C.; Fischer, L.; Fox, D.; Franckowiak, A.; Friedman, E.; Fritz, A.; Furst, P.; Gaisser, T. K.; Gallagher, J.; Ganster, E.; Garcia, A.; Garrappa, S.; Gerhardt, L.; Ghadimi, A.; Glaser, C.; Glauch, T.; Glusenkamp, T.; Goldschmidt, A.; Gonzalez, J. G.; Goswami, S.; Grant, D.; Gregoire, T.; Griswold, S.; Gunduz, M.; Gunther, C.; Haack, C.; Hallgren, A.; Halliday, R.; Halve, L.; Halzen, F.; Minh, M. Ha; Hanson, K.; Hardin, J.; Harnisch, A. A.; Haungs, A.; Hauser, S.; Hebecker, D.; Helbing, K.; Henningsen, F.; Hettinger, E. C.; Hickford, S.; Hignight, J.; Hill, C.; Hill, G. C.; Hoffman, K. D.; Hoffmann, R.; Hoinka, T.; Hokanson-Fasig, B.; Hoshina, K.; Huang, F.; Huber, M.; Huber, T.; Hultqvist, K.; Hunnefeld, M.; Hussain, R.; In, S.; Iovine, N.; Ishihara, A.; Jansson, M.; Japaridze, G. S.; Jeong, M.; Jones, B. J. P.; Kang, D.; Kang, W.; Kang, X.; Kappes, A.; Kappesser, D.; Karg, T.; Karl, M.; Karle, A.; Katz, U.; Kauer, M.; Kellermann, M.; Kelley, J. L.; Kheirandish, A.; Kin, K.; Kintscher, T.; Kiryluk, J.; Klein, S. R.; Koirala, R.; Kolanoski, H.; Kontrimas, T.; Kopke, L.; Kopper, C.; Kopper, S.; Koskinen, D. J.; Koundal, P.; Kovacevich, M.; Kowalski, M.; Kozynets, T.; Kun, E.; Kurahashi, N.; Lad, N.; Gualda, C. Lagunas; Lanfranchi, J. L.; Larson, M. J.; Lauber, F.; Lazar, J. P.; Lee, J. W.; Leonard, K.; Leszczynska, A.; Li, Y.; Lincetto, M.; Liu, Q. R.; Liubarska, M.; Lohfink, E.; Mariscal, C. J. Lozano; Lu, L.; Lucarelli, F.; Ludwig, A.; Luszczak, W.; Lyu, Y.; Ma, W. Y.; Madsen, J.; Mahn, K. B. M.; Makino, Y.; Mancina, S.; Maris, I. C.; Maruyama, R.; Mase, K.; McElroy, T.; McNally, F.; Mead, J. V.; Meagher, K.; Medina, A.; Meier, M.; Meighen-Berger, S.; Micallef, J.; Mockler, D.; Montaruli, T.; Moore, R. W.; Morse, R.; Moulai, M.; Naab, R.; Nagai, R.; Naumann, U.; Necker, J.; Nguyen, L. V.; Niederhausen, H.; Nisa, M. U.; Nowicki, S. C.; Nygren, D. R.; Pollmann, A. Obertacke; Oehler, M.; Olivas, A.; O'Sullivan, E.; Pandya, H.; Pankova, D. V.; Park, N.; Parker, G. K.; Paudel, E. N.; Paul, L.; de los Heros, C. Perez; Peters, L.; Peterson, J.; Philippen, S.; Pieloth, D.; Pieper, S.; Pittermann, M.; Pizzuto, A.; Plum, M.; Popovych, Y.; Porcelli, A.; Rodriguez, M. Prado; Price, P. B.; Pries, B.; Przybylski, G. T.; Raab, C.; Raissi, A.; Rameez, M.; Rawlins, K.; Rea, I. C.; Rehman, A.; Reichherzer, P.; Reimann, R.; Renzi, G.; Resconi, E.; Reusch, S.; Rhode, W.; Richman, M.; Riedel, B.; Roberts, E. J.; Robertson, S.; Roellinghoff, G.; Rongen, M.; Rott, C.; Ruhe, T.; Ryckbosch, D.; Cantu, D. Rysewyk; Safa, I.; Saffer, J.; Herrera, S. E. Sanchez; Sandrock, A.; Sandroos, J.; Santander, M.; Sarkar, S.; Sarkar, S.; Satalecka, K.; Scharf, M.; Schaufel, M.; Schieler, H.; Schindler, S.; Schlunder, P.; Schmidt, T.; Schneider, A.; Schneider, J.; Schroder, F. G.; Schumacher, L.; Schwefer, G.; Sclafani, S.; Seckel, D.; Seunarine, S.; Sharma, A.; Shefali, S.; Silva, M.; Skrzypek, B.; Smithers, B.; Snihur, R.; Soedingrekso, J.; Soldin, D.; Spannfellner, C.; Spiczak, G. M.; Spiering, C.; Stachurska, J.; Stamatikos, M.; Stanev, T.; Stein, R.; Stettner, J.; Steuer, A.; Stezelberger, T.; Sturwald, T.; Stuttard, T.; Sullivan, G. W.; Taboada, I.; Tenholt, F.; Ter-Antonyan, S.; Tilav, S.; Tischbein, F.; Tollefson, K.; Tomankova, L.; Tonnis, C.; Toscano, S.; Tosi, D.; Trettin, A.; Tselengidou, M.; Tung, C. F.; Turcati, A.; Turcotte, R.; Turley, C. F.; Twagirayezu, J. P.; Ty, B.; Elorrieta, M. A. Unland; Valtonen-Mattila, N.; Vandenbroucke, J.; van Eijndhoven, N.; Vannerom, D.; van Santen, J.; Verpoest, S.; Vraeghe, M.; Walck, C.; Watson, T. B.; Weaver, C.; Weigel, P.; Weindl, A.; Weiss, M. J.; Weldert, J.; Wendt, C.; Werthebach, J.; Weyrauch, M.; Whitehorn, N.; Wiebusch, C. H.; Williams, D. R.; Wolf, M.; Woschnagg, K.; Wrede, G.; Wulff, J.; Xu, X. W.; Xu, Y.; Yanez, J. P.; Yoshida, S.; Yu, S.; Yuan, T.; Zhang, Z.</t>
  </si>
  <si>
    <t>IceCube Collaboration</t>
  </si>
  <si>
    <t>POCAM in the IceCube Upgrade</t>
  </si>
  <si>
    <t>37TH INTERNATIONAL COSMIC RAY CONFERENCE, ICRC2021</t>
  </si>
  <si>
    <t>Proceedings Paper</t>
  </si>
  <si>
    <t>37th International Cosmic Ray Conference (ICRC)</t>
  </si>
  <si>
    <t>JUL 12-23, 2021</t>
  </si>
  <si>
    <t>ELECTR NETWORK</t>
  </si>
  <si>
    <t>The IceCube Neutrino Observatory at the geographic South Pole instruments a gigaton of glacial Antarctic ice with over 5000 photosensors. The detector, by now running for over a decade, will be upgraded with seven new densely instrumented strings. The project focuses on the improvement of low-energy and oscillation physics sensitivities as well as re-calibration of the existing detector. Over the last few years we developed a Precision Optical Calibration Module (POCAM) providing self-monitored, isotropic, nanosecond, light pulses for optical calibration of large-volume detectors. Over 20 next-generation POCAMs will be calibrated and deployed in the IceCube Upgrade in order to reduce existing detector systematics. We report a general overview of the POCAM instrument, its performance and calibration procedures.</t>
  </si>
  <si>
    <t>[Boddenberg, M.; Borowka, J.; Bottcher, J.; Dappen, C.; Dharani, S.; Erpenbeck, H.; Furst, P.; Ganster, E.; Gunther, C.; Halve, L.; Hauser, S.; Kellermann, M.; Peters, L.; Reimann, R.; Scharf, M.; Schaufel, M.; Schwefer, G.; Stettner, J.; Tischbein, F.] Rhein Westfal TH Aachen, Phys Inst 3, D-52056 Aachen, Germany; [Burley, R. T.; Carnie-Bronca, E. G.; Hill, G. C.; Roberts, E. J.] Univ Adelaide, Dept Phys, Adelaide, SA 5005, Australia; [Rawlins, K.] Univ Alaska Anchorage, Dept Phys &amp; Astron, 3211 Providence Dr, Anchorage, AK 99508 USA; [Jones, B. J. P.; Parker, G. K.; Smithers, B.; Watson, T. B.] Univ Texas Arlington, Dept Phys, 502 Yates St,Sci Hall,Rm 108,Box 19059, Arlington, TX 76019 USA; [Japaridze, G. S.] Clark Atlanta Univ, CTSPS, Atlanta, GA 30314 USA; [Chen, C.; Dave, P.; Taboada, I.; Tung, C. F.] Georgia Inst Technol, Sch Phys, Atlanta, GA 30332 USA; [Chen, C.; Dave, P.; Taboada, I.; Tung, C. F.] Georgia Inst Technol, Ctr Relativist Astrophys, Atlanta, GA 30332 USA; [Fazely, A. R.; Ter-Antonyan, S.; Xu, X. W.] Southern Univ, Dept Phys, Baton Rouge, LA 70813 USA; [Bay, R.; Binder, G.; Filimonov, K.; Klein, S. R.; Lyu, Y.; Price, P. B.; Robertson, S.; Woschnagg, K.] Univ Calif Berkeley, Dept Phys, Berkeley, CA 94720 USA; [Binder, G.; Gerhardt, L.; Goldschmidt, A.; Klein, S. R.; Lyu, Y.; Nygren, D. R.; Przybylski, G. T.; Robertson, S.; Stezelberger, T.] Lawrence Berkeley Natl Lab, Berkeley, CA 94720 USA; [de With, M.; Hebecker, D.; Kolanoski, H.; Kowalski, M.] Humboldt Univ, Inst Phys, D-12489 Berlin, Germany; [Tjus, J. Becker; Franckowiak, A.; Gunduz, M.; Kun, E.; Lincetto, M.; Reichherzer, P.; Tenholt, F.; Tomankova, L.; Wulff, J.] Ruhr Univ Bochum, Fak Phys &amp; Astron, D-44780 Bochum, Germany; [Aguilar, J. A.; Baur, S.; Iovine, N.; Maris, I. C.; Mockler, D.; Raab, C.; Renzi, G.; Toscano, S.] Univ Libre Bruxelles, Fac Sci, CP230, B-1050 Brussels, Belgium; [Coppin, P.; Correa, P.; De Clercq, C.; de Vries, K. D.; de Wasseige, G.; van Eijndhoven, N.] VUB, Dienst ELEM, B-1050 Brussels, Belgium; [An, R.; Arguelles, C.; Garcia, A.; Lazar, J. P.; Safa, I.; Skrzypek, B.] Harvard Univ, Dept Phys, Cambridge, MA 02138 USA; [An, R.; Arguelles, C.; Garcia, A.; Lazar, J. P.; Safa, I.; Skrzypek, B.] Harvard Univ, Lab Particle Phys &amp; Cosmol, Cambridge, MA 02138 USA; [Axani, S.; Collin, G. H.; Conrad, J. M.; Diaz, A.; Moulai, M.; Vannerom, D.; Weigel, P.] MIT, Dept Phys, Cambridge, MA 02139 USA; [Hill, C.; Ishihara, A.; Kin, K.; Mase, K.; Meier, M.; Nagai, R.; Yoshida, S.] Chiba Univ, Dept Phys, Chiba 2638522, Japan; [Hill, C.; Ishihara, A.; Kin, K.; Mase, K.; Meier, M.; Nagai, R.; Yoshida, S.] Chiba Univ, Inst Global Prominent Res, Chiba 2638522, Japan; [Abbasi, R.] Loyola Univ Chicago, Dept Phys, Chicago, IL 60660 USA; [Adams, J.; Raissi, A.] Univ Canterbury, Dept Phys &amp; Astron, Private Bag 4800, Christchurch, New Zealand; [Berley, D.; Blaufuss, E.; Evans, J.; Fan, K. L.; Friedman, E.; Hoffman, K. D.; Larson, M. J.; Olivas, A.; Schmidt, T.; Sullivan, G. W.] Univ Maryland, Dept Phys, College Pk, MD 20742 USA; [Beatty, J. J.] Ohio State Univ, Dept Astron, 174 W 18Th Ave, Columbus, OH 43210 USA; [Beatty, J. J.; Medina, A.; Stamatikos, M.] Ohio State Univ, Dept Phys, Columbus, OH 43210 USA; [Beatty, J. J.; Medina, A.; Stamatikos, M.] Ohio State Univ, Ctr Cosmol &amp; Astroparticle Phys, Columbus, OH 43210 USA; [Ahlers, M.; Bourbeau, E.; Koskinen, D. J.; Kozynets, T.; Mead, J. V.; Rameez, M.; Stuttard, T.] Univ Copenhagen, Niels Bohr Inst, DK-2100 Copenhagen, Denmark; [Hoinka, T.; Hunnefeld, M.; Pieloth, D.; Rhode, W.; Ruhe, T.; Sandrock, A.; Schlunder, P.; Soedingrekso, J.; Werthebach, J.] TU Dortmund Univ, Dept Phys, D-44221 Dortmund, Germany; [Clark, B. A.; DeYoung, T.; Grant, D.; Halliday, R.; Harnisch, A. A.; Hettinger, E. C.; Kopper, C.; Ludwig, A.; Mahn, K. B. M.; Micallef, J.; Nguyen, L. V.; Nisa, M. U.; Nowicki, S. C.; Pries, B.; Cantu, D. Rysewyk; Herrera, S. E. Sanchez; Tollefson, K.; Twagirayezu, J. P.; Weaver, C.; Whitehorn, N.; Yu, S.] Michigan State Univ, Dept Phys &amp; Astron, E Lansing, MI 48824 USA; [Hignight, J.; Liubarska, M.; McElroy, T.; Moore, R. W.; Sarkar, S.; Yanez, J. P.] Univ Alberta, Dept Phys, Edmonton T6G 2E1, AB, Canada; [Anton, G.; Fiedlschuster, S.; Glusenkamp, T.; Katz, U.; Schindler, S.; Schneider, J.; Tselengidou, M.; Wrede, G.] Friedrich Alexander Univ Erlangen Nurnberg, Erlangen Ctr Astroparticle Phys, D-91058 Erlangen, Germany; [Bellenghi, C.; Eller, P.; Glauch, T.; Haack, C.; Minh, M. Ha; Henningsen, F.; Huber, M.; Karl, M.; Kontrimas, T.; Meighen-Berger, S.; Niederhausen, H.; Rea, I. C.; Resconi, E.; Schumacher, L.; Spannfellner, C.; Turcati, A.; Wolf, M.] Tech Univ Munich, Phys Dept, D-85748 Garching, Germany; [Alispach, C.; Barbano, A.; Bron, S.; Lucarelli, F.; Montaruli, T.] Univ Geneva, Dept Phys Nucl &amp; Corpusculaire, CH-1211 Geneva, Switzerland; [De Ridder, S.; Porcelli, A.; Ryckbosch, D.; Verpoest, S.; Vraeghe, M.] Univ Ghent, Dept Phys &amp; Astron, B-9000 Ghent, Belgium; [Barwick, S. W.] Univ Calif Irvine, Dept Phys &amp; Astron, Irvine, CA 92697 USA; [Alves, A. A., Jr.; Bontempo, F.; Dujmovic, H.; Engel, R.; Haungs, A.; Huber, T.; Kang, D.; Koundal, P.; Oehler, M.; Schieler, H.; Schroder, F. G.; Turcotte, R.; Weindl, A.] Karlsruhe Inst Technol, Inst Astroparticle Phys, D-76021 Karlsruhe, Germany; [Browne, S.; Engel, R.; Leszczynska, A.; Pittermann, M.; Saffer, J.; Shefali, S.; Weyrauch, M.] Karlsruhe Inst Technol, Inst Expt Particle Phys, D-76021 Karlsruhe, Germany; [Clark, K.; Park, N.] Queens Univ, Dept Phys Engn Phys &amp; Astron, Kingston, ON K7L 3N6, Canada; [Besson, D. Z.] Univ Kansas, Dept Phys &amp; Astron, Lawrence, KS 66045 USA; [Ludwig, A.; Whitehorn, N.] Univ Calif Los Angeles, Dept Phys &amp; Astron, Los Angeles, CA 90095 USA; [McNally, F.] Mercer Univ, Dept Phys, Macon, GA 31207 USA; [Gallagher, J.] Univ Wisconsin, Dept Astron, Madison, WI 53706 USA; [Ashida, Y.; Balagopal, A., V; Basu, V.; Braun, J.; Chirkin, D.; Desai, A.; Desiati, P.; Diaz-Velez, J. C.; DuVernois, M. A.; Halzen, F.; Hanson, K.; Hardin, J.; Hokanson-Fasig, B.; Hoshina, K.; Hussain, R.; Karle, A.; Kauer, M.; Kelley, J. L.; Lazar, J. P.; Leonard, K.; Liu, Q. R.; Lu, L.; Luszczak, W.; Madsen, J.; Makino, Y.; Mancina, S.; Meagher, K.; Morse, R.; Peterson, J.; Pizzuto, A.; Rodriguez, M. Prado; Riedel, B.; Safa, I.; Schneider, A.; Silva, M.; Snihur, R.; Tosi, D.; Ty, B.; Vandenbroucke, J.; Wendt, C.; Yuan, T.] Univ Wisconsin, Dept Phys, Madison, WI 53706 USA; [Ashida, Y.; Balagopal, A., V; Basu, V.; Braun, J.; Chirkin, D.; Desai, A.; Desiati, P.; Diaz-Velez, J. C.; DuVernois, M. A.; Halzen, F.; Hanson, K.; Hardin, J.; Hokanson-Fasig, B.; Hoshina, K.; Hussain, R.; Karle, A.; Kauer, M.; Kelley, J. L.; Lazar, J. P.; Leonard, K.; Liu, Q. R.; Lu, L.; Luszczak, W.; Madsen, J.; Makino, Y.; Mancina, S.; Meagher, K.; Morse, R.; Peterson, J.; Pizzuto, A.; Rodriguez, M. Prado; Riedel, B.; Safa, I.; Schneider, A.; Silva, M.; Snihur, R.; Tosi, D.; Ty, B.; Vandenbroucke, J.; Wendt, C.; Yuan, T.] Univ Wisconsin, Wisconsin IceCube Particle Astrophys Ctr, Madison, WI 53706 USA; [Boser, S.; Ehrhardt, T.; Fritz, A.; Kappesser, D.; Kopke, L.; Lohfink, E.; Popovych, Y.; Rongen, M.; Sandroos, J.; Steuer, A.; Weldert, J.] Johannes Gutenberg Univ Mainz, Inst Phys, Staudinger Weg 7, D-55099 Mainz, Germany; [Andeen, K.; Paul, L.; Plum, M.] Marquette Univ, Dept Phys, Milwaukee, WI 53201 USA; [Busse, R. S.; Classen, L.; Dittmer, M.; Kappes, A.; Mariscal, C. J. Lozano; Elorrieta, M. A. Unland] Westfalische Wilhelms Univ Munster, Inst Kernphys, D-48149 Munster, Germany; [Amin, N. M.; Coleman, A.; Dembinski, H.; Evenson, P. A.; Gaisser, T. K.; Gonzalez, J. G.; Koirala, R.; Pandya, H.; Paudel, E. N.; Rehman, A.; Schroder, F. G.; Seckel, D.; Soldin, D.; Stanev, T.; Tilav, S.] Univ Delaware, Bartol Res Inst, Newark, DE 19716 USA; [Amin, N. M.; Coleman, A.; Dembinski, H.; Evenson, P. A.; Gaisser, T. K.; Gonzalez, J. G.; Koirala, R.; Pandya, H.; Paudel, E. N.; Rehman, A.; Schroder, F. G.; Seckel, D.; Soldin, D.; Stanev, T.; Tilav, S.] Univ Delaware, Dept Phys &amp; Astron, Newark, DE 19716 USA; [Maruyama, R.] Yale Univ, Dept Phys, New Haven, CT 06520 USA; [Sarkar, S.] Univ Oxford, Dept Phys, Parks Rd, Oxford OX1 3PU, England; [Campana, M. A.; Kang, X.; Kovacevich, M.; Kurahashi, N.; Richman, M.; Sclafani, S.] Drexel Univ, Dept Phys, 3141 Chestnut St, Philadelphia, PA 19104 USA; [Bai, X.; Dvorak, E.] South Dakota Sch Mines &amp; Technol, Dept Phys, Rapid City, SD 57701 USA; [Seunarine, S.; Spiczak, G. M.] Univ Wisconsin, Dept Phys, River Falls, WI 54022 USA; [BenZvi, S.; Cross, R.; Griswold, S.] Univ Rochester, Dept Phys &amp; Astron, Rochester, NY 14627 USA; [Rott, C.] Univ Utah, Dept Phys &amp; Astron, Salt Lake City, UT 84112 USA; [Ahrens, M.; Deoskar, K.; Finley, C.; Hultqvist, K.; Jansson, M.; Walck, C.] Stockholm Univ, Oskar Klein Ctr, SE-10691 Stockholm, Sweden; [Ahrens, M.; Deoskar, K.; Finley, C.; Hultqvist, K.; Jansson, M.; Walck, C.] Stockholm Univ, Dept Phys, SE-10691 Stockholm, Sweden; [Kiryluk, J.; Xu, Y.; Zhang, Z.] SUNY Stony Brook, Dept Phys &amp; Astron, Stony Brook, NY 11794 USA; [Choi, K.; In, S.; Jeong, M.; Kang, W.; Lee, J. W.; Roellinghoff, G.; Rott, C.] Sungkyunkwan Univ, Dept Phys, Suwon 16419, South Korea; [Tonnis, C.] Sungkyunkwan Univ, Inst Basic Sci, Suwon 16419, South Korea; [Ghadimi, A.; Goswami, S.; Kopper, S.; Santander, M.; Williams, D. R.] Univ Alabama, Dept Phys &amp; Astron, Tuscaloosa, AL 35487 USA; [Cowen, D. F.; Fox, D.] Penn State Univ, Dept Astron &amp; Astrophys, University Pk, PA 16802 USA; [Anderson, T.; Cowen, D. F.; DeLaunay, J. J.; Dunkman, M.; Fienberg, A. T.; Gregoire, T.; Huang, F.; Kheirandish, A.; Lanfranchi, J. L.; Li, Y.; Pankova, D. V.; Turley, C. F.; Weiss, M. J.] Penn State Univ, Dept Phys, 104 Davey Lab, University Pk, PA 16802 USA; [Botner, O.; Burgman, A.; Glaser, C.; Hallgren, A.; O'Sullivan, E.; de los Heros, C. Perez; Sharma, A.; Valtonen-Mattila, N.] Uppsala Univ, Dept Phys &amp; Astron, Box 516, S-75120 Uppsala, Sweden; [Becker, K. -H.; Bindig, D.; Helbing, K.; Hickford, S.; Hoffmann, R.; Lauber, F.; Naumann, U.; Pollmann, A. Obertacke; Pieper, S.; Sturwald, T.] Univ Wuppertal, Dept Phys, D-42119 Wuppertal, Germany; [Ackermann, M.; Bastian, B.; Bernardini, E.; Blot, S.; Bradascio, F.; Brostean-Kaiser, J.; Fischer, L.; Franckowiak, A.; Garrappa, S.; Karg, T.; Kintscher, T.; Kowalski, M.; Lad, N.; Gualda, C. Lagunas; Ma, W. Y.; Naab, R.; Necker, J.; Reusch, S.; Satalecka, K.; Spiering, C.; Stachurska, J.; Stein, R.; Trettin, A.; van Santen, J.] DESY, D-15738 Zeuthen, Germany; [Bernardini, E.] Univ Padua, I-35131 Padua, Italy; [Besson, D. Z.; Spiering, C.] Natl Res Nucl Univ, Moscow Engn Phys Inst MEPhI, Moscow 115409, Russia; [Hoshina, K.] Univ Tokyo, Earthquake Res Inst, Tokyo 1130032, Japan</t>
  </si>
  <si>
    <t>RWTH Aachen University; University of Adelaide; University of Alaska System; University of Alaska Anchorage; University of Texas System; University of Texas Arlington; Clark Atlanta University; University System of Georgia; Georgia Institute of Technology; University System of Georgia; Georgia Institute of Technology; Southern University System; Southern University &amp; A&amp;M College; University of California System; University of California Berkeley; United States Department of Energy (DOE); Lawrence Berkeley National Laboratory; Humboldt University of Berlin; Ruhr University Bochum; University of Wurzburg; Universite Libre de Bruxelles; Vrije Universiteit Brussel; Harvard University; Harvard University; Massachusetts Institute of Technology (MIT); Chiba University; Chiba University; Loyola University Chicago; University of Canterbury; University System of Maryland; University of Maryland College Park; University System of Ohio; Ohio State University; University System of Ohio; Ohio State University; University System of Ohio; Ohio State University; University of Copenhagen; Niels Bohr Institute; Dortmund University of Technology; Michigan State University; University of Alberta; University of Erlangen Nuremberg; Technical University of Munich; University of Geneva; Ghent University; University of California System; University of California Irvine; Helmholtz Association; Karlsruhe Institute of Technology; Helmholtz Association; Karlsruhe Institute of Technology; Queens University - Canada; University of Kansas; University of California System; University of California Los Angeles; Mercer University; University of Wisconsin System; University of Wisconsin Madison; University of Wisconsin System; University of Wisconsin Madison; University of Wisconsin System; University of Wisconsin Madison; Johannes Gutenberg University of Mainz; Marquette University; University of Munster; University of Delaware; University of Delaware; Yale University; University of Oxford; Drexel University; South Dakota School Mines &amp; Technology; University of Wisconsin System; University of Rochester; Utah System of Higher Education; University of Utah; Stockholm University; Oskar Klein Centre; Stockholm University; State University of New York (SUNY) System; State University of New York (SUNY) Stony Brook; Sungkyunkwan University (SKKU); Sungkyunkwan University (SKKU); Institute for Basic Science - Korea (IBS); University of Alabama System; University of Alabama Tuscaloosa; Pennsylvania Commonwealth System of Higher Education (PCSHE); Pennsylvania State University; Pennsylvania State University - University Park; Pennsylvania Commonwealth System of Higher Education (PCSHE); Pennsylvania State University; Pennsylvania State University - University Park; Uppsala University; University of Wuppertal; Helmholtz Association; Deutsches Elektronen-Synchrotron (DESY); University of Padua; National Research Nuclear University MEPhI (Moscow Engineering Physics Institute); University of Tokyo</t>
  </si>
  <si>
    <t>Henningsen, F (corresponding author), Tech Univ Munich, James Frank Str 1, D-85748 Garching, Germany.;Henningsen, F (corresponding author), Max Planck Inst Phys &amp; Astrophys, Fohringer Ring 6, D-80805 Munich, Germany.</t>
  </si>
  <si>
    <t>felix.henningsen@tum.de</t>
  </si>
  <si>
    <t>Kelley, James L./AAP-5988-2020; Haungs, Andreas/JXW-9490-2024; Schroeder, Frank G./IRH-9416-2023; Sandrock, Alexander/AAT-1285-2020; Fan, Kwok Lung/AEY-2473-2022; Kauer, Matt/AAY-7581-2020; Sarkar, Subir/GPT-4902-2022; Beatty, James/D-9310-2011; Sarkar, Subir/G-5978-2011; Tjus, Julia/G-8145-2012; Sánchez, Juan Antonio Aguilar/H-4467-2015; Kun, Emma/AAJ-6527-2020; Rea, Immacolata Carmen/AAV-4830-2021; Reichherzer, Patrick/GLV-4438-2022</t>
  </si>
  <si>
    <t>Haungs, Andreas/0000-0002-9638-7574; Schroeder, Frank G./0000-0001-8495-7210; Sandrock, Alexander/0000-0002-6779-1172; Fan, Kwok Lung/0000-0002-8246-4751; Kauer, Matt/0000-0003-1830-9076; Beatty, James/0000-0003-0481-4952; Sarkar, Subir/0000-0002-3542-858X; Tjus, Julia/0000-0002-1748-7367; Rea, Immacolata Carmen/0000-0002-3954-7754; Reichherzer, Patrick/0000-0003-4513-8241</t>
  </si>
  <si>
    <t>Helmholtz Association</t>
  </si>
  <si>
    <t>Helmholtz Association(Helmholtz Association)</t>
  </si>
  <si>
    <t>USA -U.S. National Science Foundation-Office of Polar Programs, U.S. National Science Foundation-Physics Division, U.S. National Science Foundation-EPSCoR, Wisconsin Alumni Research Foundation, Center for High Throughput Computing (CHTC) at the University of Wisconsin-Madison, Open Science Grid (OSG), Extreme Science and Engineering Discovery Environment (XSEDE), Frontera computing project at the Texas Advanced Computing Center, U.S. Department of Energy-National Energy Research Scientific Computing Center, Particle astrophysics research computing center at the University of Maryland, Institute for Cyber-Enabled Research at Michigan State University, and Astroparticle physics computational facility at Marquette University; Belgium -Funds for Scientific Research (FRS-FNRS and FWO), FWO Odysseus and Big Science programmes, and Belgian Federal Science Policy Office (Belspo); Germany -Bundesministerium fur Bildung und Forschung (BMBF), Deutsche Forschungsgemeinschaft (DFG), Helmholtz Alliance for Astroparticle Physics (HAP), Initiative and Networking Fund of the Helmholtz Association, Deutsches Elektronen Synchrotron (DESY), and High Performance Computing cluster of the RWTH Aachen; Sweden -Swedish Research Council, Swedish Polar Research Secretariat, Swedish National Infrastructure for Computing (SNIC), and Knut and Alice Wallenberg Foundation; Australia -Australian Research Council; Canada -Natural Sciences and Engineering Research Council of Canada, Calcul Quebec, Compute Ontario, Canada Foundation for Innovation, WestGrid, and Compute Canada; Denmark -Villum Fonden and Carlsberg Foundation; New Zealand Marsden Fund; Japan -Japan Society for Promotion of Science (JSPS) and Institute for Global Prominent Research (IGPR) of Chiba University; Korea -National Research Foundation of Korea (NRF); Switzerland -Swiss National Science Foundation (SNSF); United Kingdom -Department of Physics, University of Oxford.</t>
  </si>
  <si>
    <t>PROCEEDINGS OF SCIENCE</t>
  </si>
  <si>
    <t>Trieste</t>
  </si>
  <si>
    <t>Via Bonomea, 265, Trieste, ITALY</t>
  </si>
  <si>
    <t>Conference Proceedings Citation Index - Science (CPCI-S)</t>
  </si>
  <si>
    <t>BV8SG</t>
  </si>
  <si>
    <t>WOS:001081844903007</t>
  </si>
  <si>
    <t>Reconstruction of Neutrino Events in IceCube using Graph Neural Networks</t>
  </si>
  <si>
    <t>The IceCube Neutrino Observatory is a cubic-kilometer scale neutrino detector embedded in the Antarctic ice of the South Pole. In the near future, the detector will be augmented by extensions, such as the IceCube Upgrade and the planned Gen2 detector. The sparseness of observed light in the detector for low-energy events, and the irregular detector geometry, have always been a challenge to the reconstruction of the detected neutrinos' parameters of interest. This challenge remains with the IceCube Upgrade, currently under construction, which introduces seven new detector strings with novel detector modules. The Upgrade modules will increase the detection rate of low-energy events and allow us to further constrain neutrino oscillation physics. However, the geometry of these modules render existing traditional reconstruction algorithms more difficult to use. We introduce a new reconstruction algorithm based on Graph Neural Networks, which we use to reconstruct neutrino events at much faster processing times than the traditional algorithms, while providing comparable resolution. We show that our algorithm is applicable not only to reconstructing data of the current IceCube detector, but also simulated events for next-generation extensions, such as the IceCube Upgrade.</t>
  </si>
  <si>
    <t>Minh, MH (corresponding author), Tech Univ Munich, Munich, Germany.</t>
  </si>
  <si>
    <t>martin.haminh@icecube.wisc.edu</t>
  </si>
  <si>
    <t>Sánchez, Juan Antonio Aguilar/H-4467-2015; Sandrock, Alexander/AAT-1285-2020; Rea, Immacolata Carmen/AAV-4830-2021; Schroeder, Frank G./IRH-9416-2023; Beatty, James/D-9310-2011; Kowalski, Marek P/G-5546-2012; Fan, Kwok Lung/AEY-2473-2022; Kelley, James L./AAP-5988-2020; Haungs, Andreas/JXW-9490-2024; Tjus, Julia/G-8145-2012; Reichherzer, Patrick/GLV-4438-2022; Sarkar, Subir/G-5978-2011; Kauer, Matt/AAY-7581-2020; Kun, Emma/AAJ-6527-2020; Sarkar, Subir/GPT-4902-2022</t>
  </si>
  <si>
    <t>Sandrock, Alexander/0000-0002-6779-1172; Rea, Immacolata Carmen/0000-0002-3954-7754; Schroeder, Frank G./0000-0001-8495-7210; Beatty, James/0000-0003-0481-4952; Fan, Kwok Lung/0000-0002-8246-4751; Haungs, Andreas/0000-0002-9638-7574; Tjus, Julia/0000-0002-1748-7367; Reichherzer, Patrick/0000-0003-4513-8241; Sarkar, Subir/0000-0002-3542-858X; Kauer, Matt/0000-0003-1830-9076;</t>
  </si>
  <si>
    <t>WOS:001081844903002</t>
  </si>
  <si>
    <t>Searching for High-Energy Neutrinos from Core-Collapse Supernovae with IceCube</t>
  </si>
  <si>
    <t>IceCube is a cubic kilometer neutrino detector array in the Antarctic ice that was designed to search for astrophysical, high-energy neutrinos. It has detected a diffuse flux of astrophysical neutrinos that appears to be of extragalactic origin. A possible contribution to this diffuse flux could stem from core-collapse supernovae. The high-energy neutrinos could either come from the interaction of the ejecta with a dense circumstellar medium or a jet, emanating from the star's core, that stalls in the star's envelope. Here, we will present results of a stacking analysis to search for this high-energy neutrino emission from core-collapse supernovae using 7 years of nu(mu) track events from IceCube.</t>
  </si>
  <si>
    <t>RWTH Aachen University; University of Adelaide; University of Alaska System; University of Alaska Anchorage; University of Texas System; University of Texas Arlington; Clark Atlanta University; University System of Georgia; Georgia Institute of Technology; University System of Georgia; Georgia Institute of Technology; Southern University System; Southern University &amp; A&amp;M College; University of California System; University of California Berkeley; United States Department of Energy (DOE); Lawrence Berkeley National Laboratory; Humboldt University of Berlin; University of Wurzburg; Ruhr University Bochum; Universite Libre de Bruxelles; Vrije Universiteit Brussel; Harvard University; Harvard University; Massachusetts Institute of Technology (MIT); Chiba University; Chiba University; Loyola University Chicago; University of Canterbury; University System of Maryland; University of Maryland College Park; University System of Ohio; Ohio State University; University System of Ohio; Ohio State University; University System of Ohio; Ohio State University; University of Copenhagen; Niels Bohr Institute; Dortmund University of Technology; Michigan State University; University of Alberta; University of Erlangen Nuremberg; Technical University of Munich; University of Geneva; Ghent University; University of California System; University of California Irvine; Helmholtz Association; Karlsruhe Institute of Technology; Helmholtz Association; Karlsruhe Institute of Technology; Queens University - Canada; University of Kansas; University of California System; University of California Los Angeles; Mercer University; University of Wisconsin System; University of Wisconsin Madison; University of Wisconsin System; University of Wisconsin Madison; University of Wisconsin System; University of Wisconsin Madison; Johannes Gutenberg University of Mainz; Marquette University; University of Munster; University of Delaware; University of Delaware; Yale University; University of Oxford; Drexel University; South Dakota School Mines &amp; Technology; University of Wisconsin System; University of Rochester; Utah System of Higher Education; University of Utah; Stockholm University; Oskar Klein Centre; Stockholm University; State University of New York (SUNY) System; State University of New York (SUNY) Stony Brook; Sungkyunkwan University (SKKU); Institute for Basic Science - Korea (IBS); Sungkyunkwan University (SKKU); University of Alabama System; University of Alabama Tuscaloosa; Pennsylvania Commonwealth System of Higher Education (PCSHE); Pennsylvania State University; Pennsylvania State University - University Park; Pennsylvania Commonwealth System of Higher Education (PCSHE); Pennsylvania State University; Pennsylvania State University - University Park; Uppsala University; University of Wuppertal; Helmholtz Association; Deutsches Elektronen-Synchrotron (DESY); University of Padua; National Research Nuclear University MEPhI (Moscow Engineering Physics Institute); University of Tokyo</t>
  </si>
  <si>
    <t>Necker, J (corresponding author), DESY, D-15738 Zeuthen, Germany.</t>
  </si>
  <si>
    <t>jannis.necker@desy.de</t>
  </si>
  <si>
    <t>Sarkar, Subir/G-5978-2011; Sandrock, Alexander/AAT-1285-2020; Haungs, Andreas/JXW-9490-2024; Reichherzer, Patrick/GLV-4438-2022; Kun, Emma/AAJ-6527-2020; Sarkar, Subir/GPT-4902-2022; Sánchez, Juan Antonio Aguilar/H-4467-2015; Kauer, Matt/AAY-7581-2020; Beatty, James/D-9310-2011; Fan, Kwok Lung/AEY-2473-2022; Schroeder, Frank G./IRH-9416-2023; Tjus, Julia/G-8145-2012; Kelley, James L./AAP-5988-2020; Rea, Immacolata Carmen/AAV-4830-2021</t>
  </si>
  <si>
    <t>Sarkar, Subir/0000-0002-3542-858X; Sandrock, Alexander/0000-0002-6779-1172; Haungs, Andreas/0000-0002-9638-7574; Reichherzer, Patrick/0000-0003-4513-8241; Kauer, Matt/0000-0003-1830-9076; Beatty, James/0000-0003-0481-4952; Fan, Kwok Lung/0000-0002-8246-4751; Schroeder, Frank G./0000-0001-8495-7210; Tjus, Julia/0000-0002-1748-7367; Rea, Immacolata Carmen/0000-0002-3954-7754</t>
  </si>
  <si>
    <t>USA - U.S. National Science Foundation-Office of Polar Programs, U.S. National Science Foundation-Physics Division, U.S. National Science Foundation-EPSCoR, Wisconsin Alumni Research Foundation, Center for High Throughput Computing (CHTC) at the University of Wisconsin-Madison, Open Science Grid (OSG), Extreme Science and Engineering Discovery Environment (XSEDE), Frontera computing project at the Texas Advanced Computing Center, U.S. Department of Energy-National Energy Research Scientific Computing Center, Particle astrophysics research computing center at the University of Maryland, Institute for Cyber-Enabled Research at Michigan State University, and Astroparticle physics computational facility at Marquette University; Belgium - Funds for Scientific Research (FRS-FNRS and FWO), FWO Odysseus and Big Science programmes, and Belgian Federal Science Policy Office (Belspo); Germany - Bundesministerium fur Bildung und Forschung (BMBF), Deutsche Forschungsgemeinschaft (DFG), Helmholtz Alliance for Astroparticle Physics (HAP), Initiative and Networking Fund of the Helmholtz Association, Deutsches Elektronen Synchrotron (DESY), and High Performance Computing cluster of the RWTH Aachen; Sweden - Swedish Research Council, Swedish Polar Research Secretariat, Swedish National Infrastructure for Computing (SNIC), and Knut and Alice Wallenberg Foundation; Australia - Australian Research Council; Canada - Natural Sciences and Engineering Research Council of Canada, Calcul Quebec, Compute Ontario, Canada Foundation for Innovation, WestGrid, and Compute Canada; Denmark - Villum Fonden and Carlsberg Foundation; New Zealand Marsden Fund; Japan - Japan Society for Promotion of Science (JSPS) and Institute for Global Prominent Research (IGPR) of Chiba University; Korea - National Research Foundation of Korea (NRF); Switzerland - Swiss National Science Foundation (SNSF); United Kingdom - Department of Physics, University of Oxford.</t>
  </si>
  <si>
    <t>WOS:001081844903066</t>
  </si>
  <si>
    <t>Neutrino Education, Outreach, and Communications Activities: Captivating Examples from IceCube</t>
  </si>
  <si>
    <t>The IceCube Neutrino Observatory at the South Pole has tremendous emotional appeal-the extreme Antarctic environment coupled with the aura of a pioneering experiment that explores the universe in a new way. However, as with most cutting-edge experiments, it is still challenging to translate the exotic, demanding science into accessible language. We present three examples of recent successful education, outreach, and communication activities that demonstrate how we leverage efforts and sustain connections to produce engaging results. First we describe our participation in the PolarTREC program, which pairs researchers with educators to provide deployments in the Antarctic, and how we have sustained relationships with these educators to produce high-quality experiences to reach target audiences even during a pandemic. We then focus on three activities from the past year: a summer enrichment program for high school students that was also modified for a 10-week IceCube after school program, a virtual visit to the South Pole for the ScienceWriters 2020 conference, and a series of short videos in English and Spanish suitable for all ages that explain traveling, living, and working at the South Pole.</t>
  </si>
  <si>
    <t>RWTH Aachen University; University of Adelaide; University of Alaska System; University of Alaska Anchorage; University of Texas System; University of Texas Arlington; Clark Atlanta University; University System of Georgia; Georgia Institute of Technology; University System of Georgia; Georgia Institute of Technology; Southern University System; Southern University &amp; A&amp;M College; University of California System; University of California Berkeley; United States Department of Energy (DOE); Lawrence Berkeley National Laboratory; Humboldt University of Berlin; University of Wurzburg; Ruhr University Bochum; Universite Libre de Bruxelles; Vrije Universiteit Brussel; Harvard University; Harvard University; Massachusetts Institute of Technology (MIT); Chiba University; Chiba University; Loyola University Chicago; University of Canterbury; University System of Maryland; University of Maryland College Park; University System of Ohio; Ohio State University; University System of Ohio; Ohio State University; University System of Ohio; Ohio State University; University of Copenhagen; Niels Bohr Institute; Dortmund University of Technology; Michigan State University; University of Alberta; University of Erlangen Nuremberg; Technical University of Munich; University of Geneva; Ghent University; University of California System; University of California Irvine; Helmholtz Association; Karlsruhe Institute of Technology; Helmholtz Association; Karlsruhe Institute of Technology; Queens University - Canada; University of Kansas; University of California System; University of California Los Angeles; Mercer University; University of Wisconsin System; University of Wisconsin Madison; University of Wisconsin System; University of Wisconsin Madison; University of Wisconsin System; University of Wisconsin Madison; Johannes Gutenberg University of Mainz; Marquette University; University of Munster; University of Delaware; University of Delaware; Yale University; University of Oxford; Drexel University; South Dakota School Mines &amp; Technology; University of Wisconsin System; University of Rochester; Utah System of Higher Education; University of Utah; Oskar Klein Centre; Stockholm University; Stockholm University; State University of New York (SUNY) System; State University of New York (SUNY) Stony Brook; Sungkyunkwan University (SKKU); Institute for Basic Science - Korea (IBS); Sungkyunkwan University (SKKU); University of Alabama System; University of Alabama Tuscaloosa; Pennsylvania Commonwealth System of Higher Education (PCSHE); Pennsylvania State University; Pennsylvania State University - University Park; Pennsylvania Commonwealth System of Higher Education (PCSHE); Pennsylvania State University; Pennsylvania State University - University Park; Uppsala University; University of Wuppertal; Helmholtz Association; Deutsches Elektronen-Synchrotron (DESY); University of Padua; National Research Nuclear University MEPhI (Moscow Engineering Physics Institute); University of Tokyo</t>
  </si>
  <si>
    <t>Madsen, J (corresponding author), Univ Wisconsin, Madison, WI USA.</t>
  </si>
  <si>
    <t>jim.madsen@icecube.wisc.edu</t>
  </si>
  <si>
    <t>Reichherzer, Patrick/GLV-4438-2022; Sandrock, Alexander/AAT-1285-2020; Sarkar, Subir/G-5978-2011; Fan, Kwok Lung/AEY-2473-2022; Rea, Immacolata Carmen/AAV-4830-2021; Schroeder, Frank G./IRH-9416-2023; Kun, Emma/AAJ-6527-2020; Sarkar, Subir/GPT-4902-2022; Kauer, Matt/AAY-7581-2020; Tjus, Julia/G-8145-2012; Kelley, James L./AAP-5988-2020; Beatty, James/D-9310-2011; Sánchez, Juan Antonio Aguilar/H-4467-2015; Haungs, Andreas/JXW-9490-2024</t>
  </si>
  <si>
    <t>Reichherzer, Patrick/0000-0003-4513-8241; Sandrock, Alexander/0000-0002-6779-1172; Sarkar, Subir/0000-0002-3542-858X; Fan, Kwok Lung/0000-0002-8246-4751; Rea, Immacolata Carmen/0000-0002-3954-7754; Schroeder, Frank G./0000-0001-8495-7210; Kauer, Matt/0000-0003-1830-9076; Tjus, Julia/0000-0002-1748-7367; Beatty, James/0000-0003-0481-4952; Haungs, Andreas/0000-0002-9638-7574</t>
  </si>
  <si>
    <t>USA -U.S. National Science Foundation-Office of Polar Programs; U.S. National Science Foundation-Physics Division; U.S. National Science Foundation-EPSCoR; Wisconsin Alumni Research Foundation; Center for High Throughput Computing (CHTC)</t>
  </si>
  <si>
    <t>USA -U.S. National Science Foundation-Office of Polar Programs; U.S. National Science Foundation-Physics Division(National Science Foundation (NSF)); U.S. National Science Foundation-EPSCoR(National Science Foundation (NSF)); Wisconsin Alumni Research Foundation; Center for High Throughput Computing (CHTC)</t>
  </si>
  <si>
    <t>WOS:001081844905069</t>
  </si>
  <si>
    <t>Design, performance, and analysis of a measurement of optical properties of antarctic ice below 400 nm</t>
  </si>
  <si>
    <t>DEEP GLACIAL ICE</t>
  </si>
  <si>
    <t>The IceCubeNeutrino Observatory, located at the geographic South Pole, is theworld's largest neutrino telescope, instrumenting 1 km(3) of Antarctic ice with 5160 photosensors to detect Cherenkov light. For the IceCube Upgrade, to be deployed during the 2022-23 polar field season, and the enlarged detector IceCube-Gen2 several new optical sensor designs are under development. One of these optical sensors, the Wavelength-shifting Optical Module (WOM), uses wavelength-shifting and light-guiding techniques to measure Cherenkov photons in the UV range from 250 nm to 380 nm. In order to understand the potential gains from this new technology, a measurement of the scattering and absorption lengths of UV light was performed in the SPICEcore borehole at the South Pole during the winter seasons of 2018/2019 and 2019/2020. For this purpose, a calibration device with a UV light source and a detector using the wavelength shifting technology was developed. We present the design of the developed calibration device, its performance during the measurement campaigns, and the comparison of data to a Monte Carlo simulation.</t>
  </si>
  <si>
    <t>Brostean-Kaiser, J (corresponding author), DESY, D-15738 Zeuthen, Germany.</t>
  </si>
  <si>
    <t>jannes.brostean-kaiser@icecube.wisc.edu</t>
  </si>
  <si>
    <t>Rea, Immacolata Carmen/AAV-4830-2021; Tjus, Julia/G-8145-2012; Sánchez, Juan Antonio Aguilar/H-4467-2015; Schroeder, Frank G./IRH-9416-2023; Fan, Kwok Lung/AEY-2473-2022; Beatty, James/D-9310-2011; Kun, Emma/AAJ-6527-2020; Haungs, Andreas/JXW-9490-2024; Kauer, Matt/AAY-7581-2020; Sandrock, Alexander/AAT-1285-2020; Reichherzer, Patrick/GLV-4438-2022; Kelley, James L./AAP-5988-2020</t>
  </si>
  <si>
    <t>Rea, Immacolata Carmen/0000-0002-3954-7754; Tjus, Julia/0000-0002-1748-7367; Schroeder, Frank G./0000-0001-8495-7210; Fan, Kwok Lung/0000-0002-8246-4751; Beatty, James/0000-0003-0481-4952; Haungs, Andreas/0000-0002-9638-7574; Kauer, Matt/0000-0003-1830-9076; Sandrock, Alexander/0000-0002-6779-1172; Reichherzer, Patrick/0000-0003-4513-8241;</t>
  </si>
  <si>
    <t>NSF National Science Foundation</t>
  </si>
  <si>
    <t>NSF National Science Foundation(National Science Foundation (NSF))</t>
  </si>
  <si>
    <t>The author would like to thank the SPICEcore collaboration for providing the borehole, the US Ice Drilling Program, the Antarctic Support Contractor and the NSF National Science Foundation for providing the equipment to perform the measurement and for their support at South Pole.</t>
  </si>
  <si>
    <t>WOS:001081844903015</t>
  </si>
  <si>
    <t>Anker, A; Paul, MP</t>
  </si>
  <si>
    <t>Anker, Astrid; Paul, Manuel P.</t>
  </si>
  <si>
    <t>ARIANNA Collaboration</t>
  </si>
  <si>
    <t>A novel trigger based on neural networks for radio neutrino detectors</t>
  </si>
  <si>
    <t>The ARIANNA experiment is a proposed Askaryan detector designed to record radio signals induced by neutrino interactions in the Antarctic ice. Because of the low neutrino flux at high energies, the physics output is limited by statistics. Hence, an increase in sensitivity significantly improves the interpretation of data and offers the ability to probe newparameter spaces. The trigger thresholds are limited by the rate of triggering on unavoidable thermal noise fluctuations. The real-time thermal noise rejection algorithm enables the thresholds to be lowered substantially and increases the sensitivity by up to a factor of two compared to the current ARIANNA capabilities. A deep learning discriminator, based on a Convolutional Neural Network (CNN), is implemented to identify and remove a high percentage of thermal events in real time while retaining most of the neutrino signals. We describe a CNN that runs on the current ARIANNA microcomputer and retains 95% of the neutrino signals at a thermal rejection factor of 10(5). Finally, the experimental verification from lab measurements are conducted.</t>
  </si>
  <si>
    <t>[Anker, Astrid; Paul, Manuel P.] Univ Calif Irvine, Dept Phys &amp; Astron, Irvine, CA 92697 USA</t>
  </si>
  <si>
    <t>Anker, A (corresponding author), Univ Calif Irvine, Dept Phys &amp; Astron, Irvine, CA 92697 USA.</t>
  </si>
  <si>
    <t>aanker@uci.edu</t>
  </si>
  <si>
    <t>U.S. National Science Foundation-Office of Polar Programs; U.S. National Science Foundation-Physics Division [NSF-1607719]; NSF [NRT 1633631]; German research foundation (DFG) [GL 914/1-1, NE 2031/2-1m]; Taiwan Ministry of Science and Technology; Swedish Government strategic program Stand Up for Energy; MEPhI Academic Excellence Project [02.a03.21.0005]; Megagrant 2013 program of Russia [14.12.31.0006]</t>
  </si>
  <si>
    <t>U.S. National Science Foundation-Office of Polar Programs(National Science Foundation (NSF)); U.S. National Science Foundation-Physics Division(National Science Foundation (NSF)); NSF(National Science Foundation (NSF)); German research foundation (DFG)(German Research Foundation (DFG)); Taiwan Ministry of Science and Technology; Swedish Government strategic program Stand Up for Energy; MEPhI Academic Excellence Project; Megagrant 2013 program of Russia</t>
  </si>
  <si>
    <t>We are grateful to the U.S. National Science Foundation-Office of Polar Programs, the U.S. National Science Foundation-Physics Division (grant NSF-1607719) for supporting the ARIANNA array at Moore's Bay, and NSF grant NRT 1633631. Without the invaluable contributions of the people at McMurdo Station, the ARIANNA stations would have never been built. We acknowledge funding from the German research foundation (DFG) under grants GL 914/1-1 and NE 2031/2-1m, the Taiwan Ministry of Science and Technology, the Swedish Government strategic program Stand Up for Energy, MEPhI Academic Excellence Project (Contract No. 02.a03.21.0005) and the Megagrant 2013 program of Russia, via agreement 14.12.31.0006 from 24.06.2013.</t>
  </si>
  <si>
    <t>WOS:001081844903030</t>
  </si>
  <si>
    <t>Barwick, SW</t>
  </si>
  <si>
    <t>Barwick, Steven W.</t>
  </si>
  <si>
    <t>Science Case and Detector Concept for the ARIANNA High Energy Neutrino Telescope at Moore's Bay, Antarctica</t>
  </si>
  <si>
    <t>The ARIANNA neutrino detector, located at sea-level on the Ross Ice Shelf, Antarctica, consists of 200 autonomous and independent detector stations separated by 1 kilometer in a uniform triangular mesh, and serves to inform the planning of the future projects. The primary science mission of ARIANNA is to search for sources of neutrinos with energies greater than 10(17) eV, complementing the reach of IceCube and other neutrino telescopes that focus on lower energies. An ARIANNA observation of a neutrino source would provide strong insight into the enigmatic sources of cosmic rays. ARIANNA observes the radio emission from high energy neutrino interactions in the Antarctic ice. Among radio based concepts under current investigation, ARIANNA would uniquely survey the vast majority of the southern sky at any instant in time, and an important region of the northern sky, by virtue of its location on the surface of the Ross Ice Shelf at Moore's Bay. The broad sky coverage is specific to the Moore's Bay site, providing capabilities to observe explosive sources from unknown directions. The ARIANNA architecture is designed to measure the angular direction to within 4 degrees for every neutrino candidate, which too plays an important role in the pursuit of multi-messenger observations of astrophysical sources. The sea level location reduces the impact of a potentially serious background associated with the cores of cosmic ray air showers striking the ice surface, generating radio pulses which are similar to those expected from neutrino events. Reflecting layers at the bottom or within the ice sheet (which are known to exist in thick ice sheets) might create a troublesome rate of background events, provided the reflection coefficients are large enough, that arrive at the detector from the same directions as neutrinos.</t>
  </si>
  <si>
    <t>[Barwick, Steven W.] Univ Calif Irvine, Dept Phys &amp; Astron, Irvine, CA 92617 USA</t>
  </si>
  <si>
    <t>Barwick, SW (corresponding author), Univ Calif Irvine, Dept Phys &amp; Astron, Irvine, CA 92617 USA.</t>
  </si>
  <si>
    <t>sbarwick@uci.edu</t>
  </si>
  <si>
    <t>U.S. National Science Foundation-Office of Polar Programs; U.S. National Science Foundation-Physics Division [NSF-1607719]; NSF [NRT 1633631]; German research foundation (DFG) [GL 914/1-1, NE 2031/2-1m]; Taiwan Ministry of Science and Technology; Swedish Government strategic program Stand Up for Energy, MEPhI Academic Excellence Project [02.a03.21.0005), 14.12.31.0006]</t>
  </si>
  <si>
    <t>U.S. National Science Foundation-Office of Polar Programs(National Science Foundation (NSF)); U.S. National Science Foundation-Physics Division(National Science Foundation (NSF)); NSF(National Science Foundation (NSF)); German research foundation (DFG)(German Research Foundation (DFG)); Taiwan Ministry of Science and Technology; Swedish Government strategic program Stand Up for Energy, MEPhI Academic Excellence Project</t>
  </si>
  <si>
    <t>WOS:001081844904031</t>
  </si>
  <si>
    <t>Avalos, JJB; García-Tejedor, JI; García-Población, O; de Gregorio, SA; Vrublevskyy, I; López-Comazzi, A; Moreno, AG; García, DM; Cuevas, E; Velasco, AB; Ramos, R</t>
  </si>
  <si>
    <t>Blanco Avalos, Juan Jose; Ignacio Garcia-Tejedor, Juan; Garcia-Poblacion, Oscar; Ayuso de Gregorio, Sindulfo; Vrublevskyy, Ivan; Lopez-Comazzi, Alejandro; Gomis Moreno, Almudena; Moure Garcia, David; Cuevas, Emilio; Barreto Velasco, Africa; Ramos, Ramon</t>
  </si>
  <si>
    <t>ICaRO: a new cosmic ray detector at Izana Atmospheric Observatory</t>
  </si>
  <si>
    <t>A twin detector of ORCA, the cosmic ray detector operating at Juan Carlos I Spanish Antarctic Base, is foreseen to be installed at Izana Observatory (IZO) during the second part of 2021. IZO belongs to the State Meteorological Agency of Spain (AEMET) and it is located at the top of a mountain plateau in Teide volcano at Tenerife Island (28 degrees 18 ' N, 16 degrees 29 ' W, 2400 m a.s.l.) at vertical cut-off rigidity of 11.5 GV. ICaRO (Izana Cosmic Ray Observatory) is composed of a BF3-based 3NM64 (ICRO) and a 3 bare BF3 counters (ICRB). The neutron monitor is complemented by a muon telescope sharing a common room in a single stack. The muon telescope follows the MITO approach, and thus is composed of two scintillator layers, Top and Bottom. It is able to provide muon counting rate and muon impact points on the scintillator layers. MITO's layers are 1.365 m apart with the two BF3 sets, ICRO and ICRB, in between. As such, the lead surrounding ICRO acts as filter for particles traversing throughout Top and Bottom. ICaRO will provide counting rates of neutrons in two energy thresholds, muon counting rate and muon incoming directions throughout the detector volume.</t>
  </si>
  <si>
    <t>[Blanco Avalos, Juan Jose; Ignacio Garcia-Tejedor, Juan; Garcia-Poblacion, Oscar; Ayuso de Gregorio, Sindulfo; Vrublevskyy, Ivan; Lopez-Comazzi, Alejandro] Univ Alcala, Space Res Grp, Alcala De Henares, Spain; [Gomis Moreno, Almudena; Moure Garcia, David] Inst Geog Nacl Expanol, Madrid, Spain; [Cuevas, Emilio; Barreto Velasco, Africa; Ramos, Ramon] Agencia Estatal Meteorol, Observ Atmosfer Izana, Madrid, Spain</t>
  </si>
  <si>
    <t>Universidad de Alcala; Agencia Estatal de Meteorologia (AEMET); Centro de Investigacion Atmosferica de Izana (CIAI)</t>
  </si>
  <si>
    <t>Avalos, JJB (corresponding author), Univ Alcala, Space Res Grp, Alcala De Henares, Spain.</t>
  </si>
  <si>
    <t>juanjo.blanco@uah.es</t>
  </si>
  <si>
    <t>Blanco-Avalos, Juan Jose/E-3627-2014</t>
  </si>
  <si>
    <t>Blanco-Avalos, Juan Jose/0000-0002-8666-0696</t>
  </si>
  <si>
    <t>Ministerio de Ciencia e Innovacion [PID2019-107806GB-I00]</t>
  </si>
  <si>
    <t>Ministerio de Ciencia e Innovacion(Instituto de Salud Carlos IIISpanish Government)</t>
  </si>
  <si>
    <t>Data of neutron monitors has been downloaded from NMDB page: http://www.nmdb.eu/nest/.Dst index from http://wdc.kugi.kyoto-u.ac.jp/dstdir/.Spacecraft data from https://cdaweb.gsfc.nasa.gov/WebServices/.Authors thank to Dr. Juan Garzon for providing TRISTAN data. Thanks to the project PID2019-107806GB-I00, funded by Ministerio de Ciencia e Innovacion.</t>
  </si>
  <si>
    <t>WOS:001081844904085</t>
  </si>
  <si>
    <t>Buatthaisong, N; Ruffolo, D; Sáiz, A; Banglieng, C; Mitthumsiri, W; Nutaro, T; Nuntiyakul, W</t>
  </si>
  <si>
    <t>Buatthaisong, Nutthawara; Ruffolo, David; Saiz, Alejandro; Banglieng, Chanoknan; Mitthumsiri, Warit; Nutaro, Tanin; Nuntiyakul, Waraporn</t>
  </si>
  <si>
    <t>Diurnal anisotropy enhancement due to non-local effects of coronal mass ejections</t>
  </si>
  <si>
    <t>COSMIC-RAYS</t>
  </si>
  <si>
    <t>In addition to solar modulation according to the similar to 11-year sunspot cycle and the similar to 22-year solar magnetic cycle, the time profile of the Galactic cosmic ray flux can also exhibit short-term (similar to 2-week) modulation events. These are distinct from Forbush decreases in that they are more symmetric in time and evolve over a time scale much longer than the transit of an interplanetary shock and/or coronal mass ejection (CME). Using data from the Princess Sirindhorn Neutron Monitor at the summit of Doi Inthanon, Thailand, with the world's highest effective vertical geomagnetic cutoff rigidity for a fixed station (16.7 GV), we have examined the solar diurnal anisotropy and find that it exhibited strong peaks during two short-term modulation events in 2012, which were indeed stronger than the diurnal anisotropy variation from sunspot minimum to maximum. We attribute these short-term modulation events to non-local effects of CME shocks. CME shocks (possibly single, multiple, or merged) that propagate beyond Earth inhibit the access of cosmic rays for similar to 2 weeks. The direction of anisotropy enhancement favors an explanation in terms of cosmic ray diffusion perpendicular to the interplanetary magnetic field, which eventually causes the cosmic ray flux to stop decreasing and gradually recover.</t>
  </si>
  <si>
    <t>[Buatthaisong, Nutthawara; Ruffolo, David; Saiz, Alejandro; Mitthumsiri, Warit] Mahidol Univ, Dept Phys, Fac Sci, Bangkok 10400, Thailand; [Banglieng, Chanoknan] Rajamangala Univ Technol Thanyaburi, Fac Sci &amp; Technol, Div Phys, Khlong Luang Dist 12110, Pathum Thani, Thailand; [Nutaro, Tanin] Ubon Ratchathani Univ, Dept Phys, Fac Sci, Ubon Ratchathani 34190, Thailand; [Nuntiyakul, Waraporn] Chiang Mai Univ, Dept Phys &amp; Mat Sci, Fac Sci, Chiang Mai 50200, Thailand</t>
  </si>
  <si>
    <t>Mahidol University; Rajamangala University of Technology Thanyaburi; Ubon Ratchathani University; Chiang Mai University</t>
  </si>
  <si>
    <t>Ruffolo, D (corresponding author), Mahidol Univ, Dept Phys, Fac Sci, Bangkok 10400, Thailand.</t>
  </si>
  <si>
    <t>david.ruf@mahidol.ac.th</t>
  </si>
  <si>
    <t>Development and Promotion of Science and Technology Talents Project (DPST); Thailand Science Research and Innovation [RTA6280002]</t>
  </si>
  <si>
    <t>Development and Promotion of Science and Technology Talents Project (DPST); Thailand Science Research and Innovation</t>
  </si>
  <si>
    <t>N.B. would like to express her sincere gratitude to the Development and Promotion of Science and Technology Talents Project (DPST) for the scholarship and all the opportunities. We acknowledge logistical support to operate the Mawson Neutron Monitor from Australia's Antarctic Program and support via grant RTA6280002 from Thailand Science Research and Innovation.</t>
  </si>
  <si>
    <t>WOS:001081844904092</t>
  </si>
  <si>
    <t>Dasgupta, P; Hughes, K</t>
  </si>
  <si>
    <t>Dasgupta, Paramita; Hughes, Kaeli</t>
  </si>
  <si>
    <t>ARA Collaboration</t>
  </si>
  <si>
    <t>The Calibration of the Geometry and Antenna delay in Askaryan Radio Array Station 4 and 5</t>
  </si>
  <si>
    <t>The Askaryan Radio Array (ARA) experiment at the South Pole is designed to detect the radio signals produced by ultra high energy cosmic neutrino interactions in the ice. There are 5 independent ARA stations, one of which (A5) includes a low-threshold phased array trigger string. Each ARA station is designed to work as an autonomous detector. The Data Acquisition System in all ARA stations is equipped with the Ice Ray Sampler second-generation (IRS2) chip, a custom-made, application-specific integrated circuit (ASIC) for high-speed sampling and digitization. In this contribution, we describe the methodology used to calibrate the IRS2 digitizer chip and the station geometry, namely the relative timing between each pair of ARA antennas, deployed at 200m below the Antarctic ice surface, and their geometrical positions in the ice, for ARA stations 4 and 5. Our calibration allows for proper timing correlations between incoming signals, which is crucial for radio vertex reconstruction and thus detection of ultra high energy neutrinos through the Askaryan effect. We achieve a signal timing precision on a sub-nanosecond level and an antenna position precision within 10 cm.</t>
  </si>
  <si>
    <t>[Dasgupta, Paramita] Univ Libre Bruxelles, Fac Sci, CP230, B-1050 Brussels, Belgium; [Hughes, Kaeli] Univ Chicago, Enrico Fermi Inst, Dept Phys, Kavli Inst Cosmol Phys, Chicago, IL 60637 USA</t>
  </si>
  <si>
    <t>Universite Libre de Bruxelles; University of Chicago</t>
  </si>
  <si>
    <t>Dasgupta, P (corresponding author), Univ Libre Bruxelles, Fac Sci, CP230, B-1050 Brussels, Belgium.</t>
  </si>
  <si>
    <t>paramita.dasgupta@ulb.be; kahuges@uchicago.edu</t>
  </si>
  <si>
    <t>National Science Foundation Office of Polar Programs and Physics Division [OPP-902483, OPP-1002483, 1607555, OPP-1359535, OPP-1404212, OPP-2013134, NSF 2019597]; NSF [DGE-1746045]</t>
  </si>
  <si>
    <t>National Science Foundation Office of Polar Programs and Physics Division; NSF(National Science Foundation (NSF))</t>
  </si>
  <si>
    <t>We thank the National Science Foundation Office of Polar Programs and Physics Division for their generous support through NSF OPP-902483, Grant NSF OPP-1002483, Grant NSF 1607555, Grant NSF OPP-1359535, Grant NSF OPP-1404212, and Grant NSF OPP-2013134, and Grant NSF 2019597. K. Hughes thanks the NSF for support through DGE-1746045. We would also like to acknowledge the Belgian Funds for Scientific Research (FRS-FNRS and FWO) and the FWO programme for International Research Infrastructure (IRI).</t>
  </si>
  <si>
    <t>WOS:001081844903041</t>
  </si>
  <si>
    <t>Hubert, G</t>
  </si>
  <si>
    <t>Hubert, Guillaume</t>
  </si>
  <si>
    <t>Continuously Measurements of Energy Spectra of Cosmic-Ray-induced-neutrons on the Concordia Antarctic Station for the period 2015-2021</t>
  </si>
  <si>
    <t>ENVIRONMENT</t>
  </si>
  <si>
    <t>The CHINSTRAP (Continuous High-altitude Investigation of the Neutron Spectra for Terrestrial Radiation Antarctic Project) supported by the French Polar Agency (IPEV) aims at recording cosmic-ray (CR) induced-neutron spectra at the Concordia station since December 2015. The neutron spectrometer measures the neutron spectrum over a wide energy range from meV up to tens of GeV with a short time resolution. Several parameters can influence the measurement, including systematic and environmental effects such as the atmospheric pressure, the hydrometric environment close to the instrument and the atmospheric water vapor. This paper presents CR induced neutrons measurements analyses from 2015 to 2021 in Concordia, integrating corrections to take into account environmental and systematic effects. Long-term and short-term analyses are proposed, applied to count rate, fluxes and spectra. A last part investigates the contribution of modelling to data analyses and the ability to deduce the solar modulation from neutron spectra and the radiation field extrapolation using nuclear transport in atmosphere. An underlying objective is also to improve physical models allowing analyses of continuous and simultaneously measurements of CR induced neutrons spectra.</t>
  </si>
  <si>
    <t>[Hubert, Guillaume] Univ Toulouse, ONERA DPHY, 2 Ave Edouard Belin, Toulouse, France</t>
  </si>
  <si>
    <t>Universite de Toulouse</t>
  </si>
  <si>
    <t>Hubert, G (corresponding author), Univ Toulouse, ONERA DPHY, 2 Ave Edouard Belin, Toulouse, France.</t>
  </si>
  <si>
    <t>guillaume.hubert@onera.fr</t>
  </si>
  <si>
    <t>IPEV (French Polar Institute, Institut PaulEmile Victor)</t>
  </si>
  <si>
    <t>The authors thank the personnel of the Concordia station for their great help and hard work in harsh conditions. This work is supported by the IPEV (French Polar Institute, Institut PaulEmile Victor) in the framework of the CHINSTRAP project.</t>
  </si>
  <si>
    <t>WOS:001081844904093</t>
  </si>
  <si>
    <t>Hughes, K</t>
  </si>
  <si>
    <t>Hughes, Kaeli</t>
  </si>
  <si>
    <t>Implementing a Low-Threshold Analysis with the Askaryan Radio Array (ARA)</t>
  </si>
  <si>
    <t>The Askaryan Radio Array (ARA) is a ground-based radio detector at the South Pole designed to capture Askaryan emission from ultra-high energy neutrinos interacting within the Antarctic ice. The newest ARA station has been equipped with a phased array trigger, in which radio signals in multiple antennas are summed in predetermined directions prior to the trigger. In this way, impulsive signals add coherently, while noise likely does not, allowing the trigger threshold to be lower than a traditional ARA station. Early results on just a fraction of available data from this new system prove the feasibility of a low-threshold analysis.</t>
  </si>
  <si>
    <t>[Hughes, Kaeli] Univ Chicago, Chicago, IL 60637 USA</t>
  </si>
  <si>
    <t>University of Chicago</t>
  </si>
  <si>
    <t>Hughes, K (corresponding author), Univ Chicago, Chicago, IL 60637 USA.</t>
  </si>
  <si>
    <t>kahughes@uchicago.edu</t>
  </si>
  <si>
    <t>National Science Foundation Office of Polar Programs and Physics Division [NSF OPP-902483, NSF OPP-1002483, NSF 1607555, NSF OPP-1359535, NSF OPP-1404212, NSF OPP-2013134, NSF 2019597]; NSF [DGE-1746045]</t>
  </si>
  <si>
    <t>We thank the National Science Foundation Office of Polar Programs and Physics Division for their generous support through NSF OPP-902483, Grant NSF OPP-1002483, Grant NSF 1607555, Grant NSF OPP-1359535, Grant NSF OPP-1404212, and Grant NSF OPP-2013134, and Grant NSF 2019597. K. Hughes thanks the NSF for support through DGE-1746045.</t>
  </si>
  <si>
    <t>WOS:001081844903102</t>
  </si>
  <si>
    <t>Kim, M</t>
  </si>
  <si>
    <t>Kim, Myoungchul</t>
  </si>
  <si>
    <t>A Template-based UHE Neutrino Search Strategy for the Askaryan Radio Array (ARA)</t>
  </si>
  <si>
    <t>The Askaryan Radio Array (ARA) is a gigaton-size neutrino radio telescope located near the geographic South Pole. ARA has five independent stations designed to detect Askaryan emission coming from the interactions between ultra-high energy neutrinos (&gt; 10 PeV) and Antarctic ice. Each station includes of 16 antenna deployed in a matrix shape at up to 200 m deep in the ice. A simulated neutrino template, including the detector response model, was implemented in a new search technique for reducing background noise and improving the vertex reconstruction resolution. The template is used to scan through the data using the matched filter method, inspired by LIGO, looking for a low SNR neutrino signature and ultimately aiming to lower the detector's energy threshold at the analysis level. I will present the estimated sensitivity improvements to ARA analyses through the application of the template technique with results from simulation.</t>
  </si>
  <si>
    <t>[Kim, Myoungchul] Chiba Univ, Chiba, Japan</t>
  </si>
  <si>
    <t>Chiba University</t>
  </si>
  <si>
    <t>Kim, M (corresponding author), Chiba Univ, Chiba, Japan.</t>
  </si>
  <si>
    <t>mkim@icecube.wisc.edu</t>
  </si>
  <si>
    <t>National Science Foundation Office of Polar Programs and Physics Division [NSF OPP-902483, NSF OPP-1002483, NSF 1607555, NSF OPP-1359535, NSF OPP-1404212, NSF OPP-2013134, NSF 2019597]</t>
  </si>
  <si>
    <t>National Science Foundation Office of Polar Programs and Physics Division</t>
  </si>
  <si>
    <t>We thank the National Science Foundation Office of Polar Programs and Physics Division for their generous support through NSF OPP-902483, Grant NSF OPP-1002483, Grant NSF 1607555, Grant NSF OPP-1359535, Grant NSF OPP-1404212, and Grant NSF OPP-2013134, and Grant NSF 2019597.</t>
  </si>
  <si>
    <t>WOS:001081844903096</t>
  </si>
  <si>
    <t>Muangha, P; Ruffolo, D; Sáiz, A; Banglieng, C; Evenson, P; Seunarine, S; Oh, S; Jung, J; Duldig, M; Humble, J</t>
  </si>
  <si>
    <t>Muangha, Pradiphat; Ruffolo, David; Saiz, Alejandro; Banglieng, Chanoknan; Evenson, Paul; Seunarine, Surujhdeo; Oh, Suyeon; Jung, Jongil; Duldig, Marc; Humble, John</t>
  </si>
  <si>
    <t>Time-Delay Measurements from Antarctic Neutron Monitor Stations Indicate Weak Spectral Changes during 27-day Variations</t>
  </si>
  <si>
    <t>Using neutron time-delay data from neutron monitors (NMs), we can extract the leader fraction, L, of neutron counts that do not follow a previous neutron count in the same counter tube due to the same cosmic ray shower L. is the inverse of the neutron multiplicity and serves as a proxy of the cosmic ray spectral index over the rigidity range of the NM response function. We have outfitted several Antarctic NMs with special electronics to collect neutron time delay distributions. We present a comparative analysis of L during two time periods: 1) during December 2015 to January 2017, for NMs at South Pole (SP), McMurdo (MC), and Jang Bogo (JB), and 2) during February 2020 to February 2021, for NMs at SP, JB, and Mawson (MA). To first order L varies in concert with the count rate C, reflecting unrolling of the Galactic cosmic ray (GCR) spectrum as part of solar modulation during the declining phase of solar cycle 24 and during solar minimum. However, during 27-day variations in C due to high-speed solar wind streams (HSSs) and corotating interaction regions (CIRs), L usually had a very weak variation. Our results indicate weak GeV-range GCR spectral variation due to HSSs and CIRs, relative to the flux variation, in contrast with the strong observed spectral variation due to solar modulation.</t>
  </si>
  <si>
    <t>[Muangha, Pradiphat; Ruffolo, David; Saiz, Alejandro; Banglieng, Chanoknan] Mahidol Univ, Dept Phys, Fac Sci, Bangkok 10400, Thailand; [Banglieng, Chanoknan] Rajamangala Univ Technol Thanyaburi, Fac Sci &amp; Technol, Div Phys, Pathum Thani 12110, Thailand; [Evenson, Paul] Univ Delaware, Dept Phys &amp; Astron, Newark, DE 19716 USA; [Seunarine, Surujhdeo] Univ Wisconsin River Falls, Dept Phys, River Falls, WI 54022 USA; [Oh, Suyeon] Chungnam Natl Univ, Dept Astron Space Sci &amp; Geol, Daejeon 34134, South Korea; [Jung, Jongil] Chonnam Natl Univ, Dept Earth Sci Educ, Gwangju 61186, South Korea; [Duldig, Marc; Humble, John] Univ Tasmania, Sch Nat Sci, Hobart, Tas 7001, Australia</t>
  </si>
  <si>
    <t>Mahidol University; Rajamangala University of Technology Thanyaburi; University of Delaware; University of Wisconsin System; University of Wisconsin River Falls; Chungnam National University; Chonnam National University; University of Tasmania</t>
  </si>
  <si>
    <t>Muangha, P (corresponding author), Mahidol Univ, Dept Phys, Fac Sci, Bangkok 10400, Thailand.</t>
  </si>
  <si>
    <t>fhoone@hotmail.com; david.ruf@mahidol.ac.th; alejandro.sai@mahidol.ac.th; evenson@udel.edu; surujhdeo.seunarine@uwrf.edu</t>
  </si>
  <si>
    <t>Australias Antarctic Program for operating the Mawson NM; National Astronomical Research Institute of Thailand [RTA6280002]; Thailand Science Research and Innovation</t>
  </si>
  <si>
    <t>Australias Antarctic Program for operating the Mawson NM; National Astronomical Research Institute of Thailand; Thailand Science Research and Innovation</t>
  </si>
  <si>
    <t>We acknowledge logistical support from Australias Antarctic Program for operating the Mawson NM and support from the National Astronomical Research Institute of Thailand and grant RTA6280002 from Thailand Science Research and Innovation.</t>
  </si>
  <si>
    <t>WOS:001081844904112</t>
  </si>
  <si>
    <t>Munakata, K</t>
  </si>
  <si>
    <t>Munakata, Kazuoki</t>
  </si>
  <si>
    <t>GMDN Collaboration</t>
  </si>
  <si>
    <t>A Peculiar ICME Event in August 2018 Observed with the Global Muon Detector Network</t>
  </si>
  <si>
    <t>We demonstrate that global observations of high-energy cosmic rays contribute to understanding unique characteristics of a large-scale magnetic flux rope (MFR) causing a magnetic storm in August 2018. Following a weak interplanetary shock on 25 August 2018, a MFR caused an unexpectedly large geomagnetic storm. It is likely that this event became geoeffective because the MFR was accompanied by a corotating interaction region (CIR) and compressed by high-speed solar wind following the MFR. In fact, a Forbush decrease was observed in cosmic-ray data inside the MFR as expected, and a significant cosmic-ray density increase exceeding the unmodulated level before the shock was also observed near the trailing edge of the MFR. The cosmic-ray density increase can be interpreted in terms of the adiabatic heating of cosmic rays near the trailing edge of the MFR, as the corotating interaction region prevents free expansion of the MFR and results in the compression near the trailing edge. A northeast-directed spatial gradient in the cosmic-ray density was also derived during the cosmic-ray density increase, suggesting that the center of the heating near the trailing edge is located northeast of Earth. The second order anisotropy is observed during the density increase clearly representing an intensity enhancement of cosmic rays with approximately 90 degree pitch angle, possibly indicating the betatron acceleration of CRs during the cosmic-ray density increase and/or accelerated CRs leaking along the magnetic field from the density increase region toward the south where lower CR population is expected. This is one of the best examples demonstrating that the observation of high energy cosmic rays provides us with information of the three-dimensional macroscopic picture of the interaction between coronal mass ejections and the ambient solar wind, which is essential for prediction of large magnetic storms.</t>
  </si>
  <si>
    <t>[Munakata, Kazuoki] Shinshu Univ, Dept Phys, 3-1-1 Asahi, Matsumoto, Nagano 3908621, Japan</t>
  </si>
  <si>
    <t>Shinshu University</t>
  </si>
  <si>
    <t>Munakata, K (corresponding author), Shinshu Univ, Dept Phys, 3-1-1 Asahi, Matsumoto, Nagano 3908621, Japan.</t>
  </si>
  <si>
    <t>kmuna00@shinshu-u.ac.jp</t>
  </si>
  <si>
    <t>National Institute of Polar Research, in Japan; Institute for Space-Earth Environmental Research (ISEE), Nagoya University; Institute for Cosmic Ray Research (ICRR), University of Tokyo; Nagoya University; INPE; UFSM; Australian Antarctic Division; Research Administration of Kuwait University [SP01/09]</t>
  </si>
  <si>
    <t>National Institute of Polar Research, in Japan; Institute for Space-Earth Environmental Research (ISEE), Nagoya University; Institute for Cosmic Ray Research (ICRR), University of Tokyo; Nagoya University; INPE; UFSM; Australian Antarctic Division; Research Administration of Kuwait University</t>
  </si>
  <si>
    <t>This work is supported in part by the joint research programs of the National Institute of Polar Research, in Japan, the Institute for Space-Earth Environmental Research (ISEE), Nagoya University, and the Institute for Cosmic Ray Research (ICRR), University of Tokyo. The observations are supported by Nagoya University with the Nagoya muon detector, by INPE and UFSM with the Sao Martinho da Serra muon detector, by the Australian Antarctic Division with the Hobart muon detector, and by project SP01/09 of the Research Administration of Kuwait University with the Kuwait City muon detector. Global Muon Detector Network data are available at the website (http://cosray.shinshu-u.ac.jp/crest/DB/Public/main.php) of the Cosmic Ray Experimental Science Team (CREST) of Shinshu University. The authors gratefully acknowledge the NOAA Air Resources Laboratory (ARL) for the provision of GDAS data, which are available at READY website (http://www.ready.noaa.gov) and used in this paper. The Wind spacecraft data were obtained via the NASA homepage and the hourly D ST index is provided by the WDC for Geomagnetism, Kyoto, Japan.</t>
  </si>
  <si>
    <t>WOS:001081844904095</t>
  </si>
  <si>
    <t>Pollmann, A</t>
  </si>
  <si>
    <t>Pollmann, Anna</t>
  </si>
  <si>
    <t>Luminescence of water and ice as a new detection channel for neutrino telescopes</t>
  </si>
  <si>
    <t>Natural water and ice are currently used as optical detection media in large scale neutrino telescopes, such as IceCube, KM3NeT/ANTARES and GVD. When charged particles, such as those produced by high energy neutrino interactions, pass through ice or water at relativistic speeds they induce Cherenkov light emission. These photons are recorded by the optical sensors of neutrino telescopes. However, slower moving particles, including potential exotic matter such as Magnetic Monopoles or Q-balls, cannot be recorded using this detection channel. New kinds of signatures can be detected by using light emission from luminescence in water or ice. This light is induced by highly ionizing particles passing through a medium and exciting the surrounding matter. This detection channel enables searches for exotic particles which are too slow to induce Cherenkov light emission and currently cannot be probed by neutrino telescopes. Luminescence light is possibly highly dependent on the ice quality, solubles, and temperature. Therefore a comprehensive study is demanded. To utilize luminescence as a new detection channel in neutrino telescopes, laboratory measurements using water and ice as well as an in-situ measurement in Antarctic ice were performed. The experiments as well the measurement results will be presented covering light yields, spectra and decay times. The impact on searches for new physics with neutrino telescopes will be discussed.</t>
  </si>
  <si>
    <t>[Pollmann, Anna] Univ Wuppertal, Gaussstr 20, Wuppertal, Germany</t>
  </si>
  <si>
    <t>University of Wuppertal</t>
  </si>
  <si>
    <t>Pollmann, A (corresponding author), Univ Wuppertal, Gaussstr 20, Wuppertal, Germany.</t>
  </si>
  <si>
    <t>anna.pollmann@uni-wuppertal.de</t>
  </si>
  <si>
    <t>National Science Foundation</t>
  </si>
  <si>
    <t>National Science Foundation(National Science Foundation (NSF))</t>
  </si>
  <si>
    <t>The author would like to thank the SPICEcore collaboration for providing the borehole, the US Ice Drilling Program, the Antarctic Support Contractor and the National Science Foundation for providing the equipment to perform the described measurement and for their support at South Pole.</t>
  </si>
  <si>
    <t>WOS:001081844903047</t>
  </si>
  <si>
    <t>Poopakun, K; Nuntiyakul, W; Ruffolo, D; Evenson, P; Peng, J; Chuanraksasat, P; Duldig, ML; Humble, JE; Oh, S</t>
  </si>
  <si>
    <t>Poopakun, K.; Nuntiyakul, W.; Ruffolo, D.; Evenson, P.; Peng, J.; Chuanraksasat, P.; Duldig, M. L.; Humble, J. E.; Oh, S.</t>
  </si>
  <si>
    <t>Solar Magnetic Polarity Effect on Neutron Monitor Count Rates from Latitude Surveys Versus Antarctic Stations</t>
  </si>
  <si>
    <t>The Galactic cosmic ray spectrum manifests subtle variations over the 22-year solar magnetic cycle in addition to more pronounced variations over the 11-year sunspot cycle. We conducted numerous latitude surveys by operating a neutron monitor onboard an icebreaker that traveled across a wide range of geomagnetic cutoff rigidity. Here we revisit our previous work to study spectral changes using 13 annual latitude surveys from 1994 to 2007 by comparing with neutron monitor data from Mawson instead of McMurdo, which closed in 2017, in order to allow a comparison with more recent latitude surveys. We confirm linear trends between count rates at different geomagnetic cutoff rigidity and changes in slope before and after the polarity reversal in 2000 as an effect of solar magnetic polarity. We performed two more latitude surveys (in 2019 and 2020) with a monitor similar to the 3NM64 in the previous surveys but without lead rings around the central tube, a so-called semi-leaded neutron monitor. We also found similar results for the relationship between the count rate of the semi-leaded neutron monitor and that of the Jang Bogo and Mawson neutron monitor stations in Antarctica.</t>
  </si>
  <si>
    <t>[Poopakun, K.; Nuntiyakul, W.] Chiang Mai Univ, Dept Phys &amp; Mat Sci, Fac Sci, Chiang Mai 50200, Thailand; [Ruffolo, D.] Mahidol Univ, Dept Phys, Fac Sci, Bangkok 10400, Thailand; [Evenson, P.] Univ Delaware, Dept Phys &amp; Astron, Newark, DE 19716 USA; [Peng, J.] Polar Res Inst China, Shanghai 200136, Peoples R China; [Chuanraksasat, P.] Natl Astron Res Inst Thailand, Chiang Mai 50180, Thailand; [Duldig, M. L.; Humble, J. E.] Univ Tasmania, Sch Nat Sci, Hobart, Tas 7001, Australia; [Oh, S.] Chonnam Natl Univ, Dept Earth Sci Educ, Gwangju 61186, South Korea</t>
  </si>
  <si>
    <t>Chiang Mai University; Mahidol University; University of Delaware; Polar Research Institute of China; University of Tasmania; Chonnam National University</t>
  </si>
  <si>
    <t>Poopakun, K (corresponding author), Chiang Mai Univ, Dept Phys &amp; Mat Sci, Fac Sci, Chiang Mai 50200, Thailand.</t>
  </si>
  <si>
    <t>kledsai_p@cmu.ac.th; waraporn.n@cmu.ac.th; david.ruf@mahidol.ac.th; evenson@udel.edu; jiangpeng@pric.org.cn; pongpichit.ch@gmail.com; Marc.Duldig@utas.edu.au; John.Humble@utas.edu.au; suyeonoh@jnu.ac.kr</t>
  </si>
  <si>
    <t>Australia's Antarctic Program for operating the Mawson NM; Thailand Science Research and Innovation [RTA6280002]</t>
  </si>
  <si>
    <t>Australia's Antarctic Program for operating the Mawson NM; Thailand Science Research and Innovation</t>
  </si>
  <si>
    <t>We acknowledge logistical support from Australia's Antarctic Program for operating the Mawson NM. The research is supported in part by Thailand Science Research and Innovation via Research Team Promotion Grant RTA6280002. We thank the Northern Science Park (Chiang Mai) for providing laboratory space at the park, which helps the research team working smoothly.</t>
  </si>
  <si>
    <t>WOS:001081844904098</t>
  </si>
  <si>
    <t>Similä, M; Poluianov, S; Usoskin, I; Mishev, A; Kovaltsov, G; Strauss, DT</t>
  </si>
  <si>
    <t>Simila, Markus; Poluianov, Stepan; Usoskin, Ilya; Mishev, Alexander; Kovaltsov, Gennady; Strauss, Du Toit</t>
  </si>
  <si>
    <t>Pulse height-length analysis of data from neutron monitors DOMC/DOMB with a new data acquisition system</t>
  </si>
  <si>
    <t>STATION</t>
  </si>
  <si>
    <t>Two high-altitude polar neutron monitors DOMC and DOMB (Dome C, Concordia station, Antarctic plateau, 3233 m a.s.l.) received a major electronics upgrade in 2019. While a typical standard neutron monitor data acquisition (DAQ) system only registers the number of pulses from a cosmicray particle detector, the new system digitizes all pulses with 2 MHz sampling rate and stores this information in raw data files. This feature makes it possible to conduct a pulse height-length analysis of the neutron monitor data on a routine basis. In this study, we have analysed several months of the cosmic-ray data recorded with the new DAQ system during 2019-2020 (more than 10 million pulses). We identified several pulse branches corresponding to different processes: (a) secondary particles from individual cosmic-ray cascades, (b) noise, (c) double pulses originated from particles of the same local cascade, (d) high multiple pulses likely related to atmospheric muons, (e) double pulses potentially caused by contamination by neutrons scattered in the neighbouring instrument. We also studied the waiting time distributions of pulses and have shown that two peaks can be clearly distinguished: (1) at about 1 millisecond, which is related to the intracascade particles, and (2) at 30-1000 milliseconds related to different uncorrelated cosmic-ray cascades. Our conclusions are supported by theoretical estimates of the waiting times in different scenarios.</t>
  </si>
  <si>
    <t>[Simila, Markus; Poluianov, Stepan; Usoskin, Ilya; Mishev, Alexander] Univ Oulu, Oulu 90014, Finland; [Kovaltsov, Gennady] Ioffe Phys Tech Inst, St Petersburg, Russia; [Strauss, Du Toit] North West Univ, Potchefstroom, South Africa</t>
  </si>
  <si>
    <t>University of Oulu; Russian Academy of Sciences; St. Petersburg Scientific Centre of the Russian Academy of Sciences; Ioffe Physical Technical Institute; North West University - South Africa</t>
  </si>
  <si>
    <t>Poluianov, S (corresponding author), Univ Oulu, Oulu 90014, Finland.</t>
  </si>
  <si>
    <t>stepan.poluianov@oulu.fi</t>
  </si>
  <si>
    <t>Italian polar program PNRA [LTCPAA PNRA 2015/AC3, BSRN PNRA OSS-06]; French Polar Institute IPEV; Academy of Finland [304435, 321882, 330064, 330427]; Finnish Antarctic Research Program (FINNARP); Academy of Finland (AKA) [330427, 304435] Funding Source: Academy of Finland (AKA)</t>
  </si>
  <si>
    <t>Italian polar program PNRA; French Polar Institute IPEV; Academy of Finland(Research Council of Finland); Finnish Antarctic Research Program (FINNARP); Academy of Finland (AKA)(Research Council of Finland)</t>
  </si>
  <si>
    <t>We thank the personnel of Concordia station for hosting DOMC and DOMB neutron monitors and acknowledge hospitality of the Italian polar program PNRA (via the LTCPAA PNRA 2015/AC3 and the BSRN PNRA OSS-06 projects) and the French Polar Institute IPEV. The work is supported by the Academy of Finland (projects CRIPA-X No. 304435, ESPERA No. 321882, QUASARE 330064, HEAIM-2 330427), and Finnish Antarctic Research Program (FINNARP).</t>
  </si>
  <si>
    <t>WOS:001081844904074</t>
  </si>
  <si>
    <t>Vieregg, AG; Abarr, Q; Allison, P; Yebra, JA; Alvarez-Muñiz, J; Beatty, JJ; Besson, DZ; Chen, P; Chen, Y; Cheng, X; Clem, JM; Connolly, A; Cremonesi, L; Deaconu, C; Flaherty, J; Frikken, D; Gorham, PW; Hast, C; Hornhuber, C; Huang, JJ; Hughes, K; Hynous, A; Ku, Y; Kuo, CY; Liu, TC; Martin, Z; Miki, C; Nam, J; Nichol, RJ; Nishimura, K; Novikov, A; Nozdrina, A; Oberla, E; Prohira, S; Prechelt, R; Rauch, BF; Roberts, JM; Romero-Wolf, A; Russell, JW; Seckel, D; Shiao, J; Smith, D; Southall, D; Varner, GS; Wang, SH; Wang, YH; Wissel, SA; Young, R; Zas, E; Zeolla, A</t>
  </si>
  <si>
    <t>Vieregg, A. G.; Abarr, Q.; Allison, P.; Ammerman Yebra, J.; Alvarez-Muniz, J.; Beatty, J. J.; Besson, D. Z.; Chen, P.; Chen, Y.; Cheng, X.; Clem, J. M.; Connolly, A.; Cremonesi, L.; Deaconu, C.; Flaherty, J.; Frikken, D.; Gorham, P. W.; Hast, C.; Hornhuber, C.; Huang, J. J.; Hughes, K.; Hynous, A.; Ku, Y.; Kuo, C. -Y.; Liu, T. C.; Martin, Z.; Miki, C.; Nam, J.; Nichol, R. J.; Nishimura, K.; Novikov, A.; Nozdrina, A.; Oberla, E.; Prohira, S.; Prechelt, R.; Rauch, B. F.; Roberts, J. M.; Romero-Wolf, A.; Russell, J. W.; Seckel, D.; Shiao, J.; Smith, D.; Southall, D.; Varner, G. S.; Wang, S. -H.; Wang, Y. -H.; Wissel, S. A.; Young, R.; Zas, E.; Zeolla, A.</t>
  </si>
  <si>
    <t>Discovering the highest energy neutrinos with the Payload for Ultrahigh Energy Observations (PUEO)</t>
  </si>
  <si>
    <t>The Payload for Ultrahigh Energy Observations (PUEO) is a NASA Long-Duration Balloon Mission that has been selected for concept development. PUEO has unprecedented sensitivity to ultra-high energy neutrinos above 10(18) eV. PUEO will be sensitive to both Askaryan emission from neutrino-induced cascades in Antarctic ice and geomagnetic emission from upward-going air showers that are a result of tau neutrino interactions. PUEO is also especially well-suited for point source and transient searches. Compared to its predecessor ANITA, PUEO achieves better than an order-of-magnitude improvement in sensitivity and lowers the energy threshold for detection, by implementing a coherent phased array trigger, adding more channels, optimizing the detection bandwidth, and implementing real-time filtering. Here we discuss the science reach and plans for PUEO, leading up to a 2024 launch.</t>
  </si>
  <si>
    <t>[Vieregg, A. G.; Deaconu, C.; Hughes, K.; Oberla, E.; Smith, D.; Southall, D.; Zeolla, A.] Univ Chicago, Enrico Fermi Inst, Dept Phys, Kavli Inst Cosmol Phys, Chicago, IL 60637 USA; [Abarr, Q.; Rauch, B. F.] Washington Univ, Dept Phys, McDonnell Ctr Space Sci, St Louis, MO 63130 USA; [Allison, P.; Beatty, J. J.; Connolly, A.; Flaherty, J.; Frikken, D.; Prohira, S.] Ohio State Univ, Dept Phys, Ctr Cosmol &amp; AstroParticle Phys, Columbus, OH 43210 USA; [Ammerman Yebra, J.; Alvarez-Muniz, J.; Zas, E.] Univ Santiago de Compostela, IGFAE, Santiago De Compostela 15782, Spain; [Besson, D. Z.; Hornhuber, C.; Novikov, A.; Nozdrina, A.; Young, R.] Univ Kansas, Dept Phys &amp; Astron, Lawrence, KS 66045 USA; [Besson, D. Z.] Moscow Engn Phys Inst, Moscow, Russia; [Chen, P.; Chen, Y.; Kuo, C. -Y.; Nam, J.; Shiao, J.; Wang, S. -H.; Wang, Y. -H.] Natl Taiwan Univ, Grad Inst Astrophys, Dept Phys, Leung Ctr Cosmol &amp; Particle Astrophys, Taipei, Taiwan; [Cheng, X.; Nichol, R. J.] UCL, Dept Phys &amp; Astron, London, England; [Clem, J. M.; Seckel, D.] Univ Delaware, Dept Phys, Newark, DE 19716 USA; [Cremonesi, L.] Queen Mary Univ London, Sch Phys &amp; Astron, London, England; [Gorham, P. W.; Martin, Z.; Miki, C.; Nishimura, K.; Prechelt, R.; Russell, J. W.; Varner, G. S.] Univ Hawaii Manoa, Honolulu, HI 96822 USA; [Hast, C.] SLAC Natl Accelerator Lab, Menlo Pk, CA 94025 USA; [Huang, J. J.; Liu, T. C.] Natl Yang Ming Chiao Tung Univ, Dept Phys, Taipei, Taiwan; [Hynous, A.] NASA, Wallops Flight Facil, Wallops Isl, VA 23337 USA; [Ku, Y.; Wissel, S. A.] Penn State Phys Dept, Inst Gravitat &amp; Cosmos, University Pk, PA 16802 USA; [Roberts, J. M.] Univ Calif San Diego, Ctr Astrophys &amp; Space Sci, La Jolla, CA 92093 USA; [Romero-Wolf, A.] CALTECH, Jet Prop Lab, Pasadena, CA 91109 USA; [Wissel, S. A.] Penn State Astron &amp; Astrophys Dept, University Pk, PA 16802 USA; [Wissel, S. A.] Calif Polytech State Univ San Luis Obispo, San Luis Obispo, CA 93407 USA</t>
  </si>
  <si>
    <t>University of Chicago; Washington University (WUSTL); University System of Ohio; Ohio State University; Universidade de Santiago de Compostela; University of Kansas; National Research Nuclear University MEPhI (Moscow Engineering Physics Institute); National Taiwan University; University of London; University College London; University of Delaware; University of London; Queen Mary University London; University College London; University of Hawaii System; University of Hawaii Manoa; Stanford University; United States Department of Energy (DOE); SLAC National Accelerator Laboratory; National Yang Ming Chiao Tung University; National Aeronautics &amp; Space Administration (NASA); NASA Goddard Space Flight Center; Wallops Flight Facility; University of California System; University of California San Diego; California Institute of Technology; National Aeronautics &amp; Space Administration (NASA); NASA Jet Propulsion Laboratory (JPL); California State University System; California Polytechnic State University San Luis Obispo</t>
  </si>
  <si>
    <t>Vieregg, AG (corresponding author), Univ Chicago, Enrico Fermi Inst, Dept Phys, Kavli Inst Cosmol Phys, Chicago, IL 60637 USA.</t>
  </si>
  <si>
    <t>avieregg@kicp.uchicago.edu</t>
  </si>
  <si>
    <t>Beatty, James/D-9310-2011; zas, enrique/I-5556-2015; Huang, Jian Jang/L-9953-2016</t>
  </si>
  <si>
    <t>Beatty, James/0000-0003-0481-4952;</t>
  </si>
  <si>
    <t>NASA [80NSSC21M0116, 80NSSC20K0775]</t>
  </si>
  <si>
    <t>NASA(National Aeronautics &amp; Space Administration (NASA))</t>
  </si>
  <si>
    <t>We would like to thank NASA grants 80NSSC21M0116 and 80NSSC20K0775.</t>
  </si>
  <si>
    <t>WOS:001081844902103</t>
  </si>
  <si>
    <t>Wang, SH</t>
  </si>
  <si>
    <t>Wang, Shih-Hao</t>
  </si>
  <si>
    <t>TAROGE Collaboration; ARIANNA Collaboration</t>
  </si>
  <si>
    <t>TAROGE-M: Radio Observatory on Antarctic High Mountain for Detecting Near-Horizon Ultra-High Energy Air Showers</t>
  </si>
  <si>
    <t>The TAROGE-M observatory is an autonomous antenna array on the top of Mt. Melbourne (similar to 2700m altitude) in Antarctica, designed to detect radio pulses from ultra-high energy (over 10(17) eV) air showers coming from near-horizon directions. The targeted sources include cosmic rays, Earth-skimming tau neutrinos, and most of all, the anomalous near-horizon upward-going events of yet unknown origin discovered by ANITA experiments. The detection concept follows that of ANITA: monitoring large area of ice from high-altitude and taking advantage of strong geomagnetic field and quiet radio background in Antarctica, whereas having significantly greater livetime and scalability. The TAROGE-M station, upgraded from its prototype built in 2019, was deployed in January 2020, and consists of 6 log-periodic dipole antennas pointing horizontally with bandwidth of 180-450 MHz. The station is then calibrated with drone-borne transmitter, with which the event reconstruction obtained similar to 0.3 degrees angular resolution. The station was then smoothly operating in the following month, with the live time of similar to 30 days, before interrupted by a power problem, and its online filtering has identified several candidate cosmic-ray events and sent out via satellite communication. In this paper, the instrumentation of the station for polar and high-altitude environment, its radio-locating performance, the preliminary result on cosmic-ray detection, and the future extension plan are presented.</t>
  </si>
  <si>
    <t>[Wang, Shih-Hao] Natl Taiwan Univ, Dept Phys, 1,Sec 4,Roosevelt Rd, Taipei 10617, Taiwan; [Wang, Shih-Hao] Natl Taiwan Univ, Leung Ctr Cosmol &amp; Particle Astrophys, 1,Sec 4,Roosevelt Rd, Taipei 10617, Taiwan</t>
  </si>
  <si>
    <t>National Taiwan University; National Taiwan University</t>
  </si>
  <si>
    <t>Wang, SH (corresponding author), Natl Taiwan Univ, Dept Phys, 1,Sec 4,Roosevelt Rd, Taipei 10617, Taiwan.;Wang, SH (corresponding author), Natl Taiwan Univ, Leung Ctr Cosmol &amp; Particle Astrophys, 1,Sec 4,Roosevelt Rd, Taipei 10617, Taiwan.</t>
  </si>
  <si>
    <t>wsh4180@gmail.com</t>
  </si>
  <si>
    <t>Taiwan Ministry of Science and Technology (MOST); Korea Polar Research Institute (KOPRI); U.S. National Science Foundation-Office of Polar Programs; U.S. National Science Foundation-Physics Division [NSF-1607719]; NSF [NRT 1633631]; German research foundation (DFG) [GL 914/1-1, NE 2031/2-1m]; Taiwan Ministry of Science and Technology; Swedish Government strategic program Stand Up for Energy, MEPhI Academic Excellence Project [02, a03.21.0005, 14.12.31.0006]</t>
  </si>
  <si>
    <t>Taiwan Ministry of Science and Technology (MOST); Korea Polar Research Institute (KOPRI)(Korea Polar Research Institute of Marine Research Placement (KOPRI)); U.S. National Science Foundation-Office of Polar Programs(National Science Foundation (NSF)); U.S. National Science Foundation-Physics Division(National Science Foundation (NSF)); NSF(National Science Foundation (NSF)); German research foundation (DFG)(German Research Foundation (DFG)); Taiwan Ministry of Science and Technology; Swedish Government strategic program Stand Up for Energy, MEPhI Academic Excellence Project</t>
  </si>
  <si>
    <t>We wish to thank the supports from Taiwan Ministry of Science and Technology (MOST) and from Korea Polar Research Institute (KOPRI), and the great logistics and field support from on-ice Jang Bogo station crews in 2019-2020 season. We are grateful to the U.S. National Science Foundation-Office of Polar Programs, the U.S. National Science Foundation-Physics Division (grant NSF-1607719) for supporting the ARIANNA array at Moore's Bay, and NSF grant NRT 1633631. We acknowledge funding from the German research foundation (DFG) under grants GL 914/1-1 and NE 2031/2-1m, the Taiwan Ministry of Science and Technology, the Swedish Government strategic program Stand Up for Energy, MEPhI Academic Excellence Project (Contract No. 02.a03.21.0005) and the Megagrant 2013 program of Russia, via agreement 14.12.31.0006 from 24.06.2013.</t>
  </si>
  <si>
    <t>WOS:001081844904015</t>
  </si>
  <si>
    <t>B</t>
  </si>
  <si>
    <t>Bloom, LE</t>
  </si>
  <si>
    <t>Bloom, Lisa E.</t>
  </si>
  <si>
    <t>FROM THE HEROIC SUBLIME TO ENVIRONMENTS OF GLOBAL DECLINE INTRODUCTION</t>
  </si>
  <si>
    <t>CLIMATE CHANGE AND THE NEW POLAR AESTHETICS: Artists Reimagine the Arctic and Antarctic</t>
  </si>
  <si>
    <t>Editorial Material; Book Chapter</t>
  </si>
  <si>
    <t>CLIMATE-CHANGE; POLITICS; AESTHETICS; AFTERLIFE; GENDER; POLAR; NORTH; ART</t>
  </si>
  <si>
    <t>DUKE UNIV PRESS</t>
  </si>
  <si>
    <t>DURHAM</t>
  </si>
  <si>
    <t>905 W MAIN ST, SUITE 18-B, DURHAM, NC 27701 USA</t>
  </si>
  <si>
    <t>978-1-4780-2324-1; 978-1-4780-1864-3; 978-1-4780-1599-4</t>
  </si>
  <si>
    <t>Art; Environmental Studies</t>
  </si>
  <si>
    <t>Book Citation Index – Social Sciences &amp; Humanities (BKCI-SSH)</t>
  </si>
  <si>
    <t>Art; Environmental Sciences &amp; Ecology</t>
  </si>
  <si>
    <t>BV9XV</t>
  </si>
  <si>
    <t>WOS:001092957200001</t>
  </si>
  <si>
    <t>Climate Change and the New Polar Aesthetics</t>
  </si>
  <si>
    <t>Book</t>
  </si>
  <si>
    <t>POLITICS; AFTERLIFE; GENDER; NORTH; ART</t>
  </si>
  <si>
    <t>WOS:001092957200010</t>
  </si>
  <si>
    <t>ANTARCTICA AND THE CONTEMPORARY SUBLIME IN INTERSECTIONAL FEMINIST ART PRACTICES</t>
  </si>
  <si>
    <t>Article; Book Chapter</t>
  </si>
  <si>
    <t>WOS:001092957200002</t>
  </si>
  <si>
    <t>RECLAIMING THEARCTIC THROUGH FEMINIST AND BLACK AESTHETIC PERSPECTIVES</t>
  </si>
  <si>
    <t>WOS:001092957200003</t>
  </si>
  <si>
    <t>AT MEMORY'S EDGE COLLABORATIVE PERSPECTIVES ON CLIMATE TRAUMA IN ARCTIC CINEMA</t>
  </si>
  <si>
    <t>WOS:001092957200004</t>
  </si>
  <si>
    <t>WHAT IS UNSEEN AND MISSING IN THE CIRCUMPOLAR NORTH CONTEMPORARY ART AND INDIGENOUS AND COLLABORATIVE PERSPECTIVES</t>
  </si>
  <si>
    <t>WOS:001092957200005</t>
  </si>
  <si>
    <t>VIEWERS AS CITIZEN SCIENTISTS ARCHIVING DETRITUS</t>
  </si>
  <si>
    <t>WOS:001092957200006</t>
  </si>
  <si>
    <t>THE LOGIC OF OIL AND ICE REIMAGINING DOCUMENTARY CINEMA IN THE CAPITALOCENE</t>
  </si>
  <si>
    <t>WOS:001092957200007</t>
  </si>
  <si>
    <t>CRITICAL POLAR ART LEADS TO SOCIAL ACTIVISM BEYOND THE DISENGAGED GAZE</t>
  </si>
  <si>
    <t>WOS:001092957200008</t>
  </si>
  <si>
    <t>SEEING FROM THE FUTURE EPILOGUE</t>
  </si>
  <si>
    <t>WOS:001092957200009</t>
  </si>
  <si>
    <t>Abbasi, R; Ackermann, M; Adams, J; Aguilar, JA; Ahlers, M; Ahrens, M; Alispach, C; Alves, AA ; Amin, NM; An, R; Andeen, K; Anderson, T; Anton, G; Argüelles, C; Ashida, Y; Axani, S; Bai, X; Balagopal, A; Barbano, A; Barwick, SW; Bastian, B; Basu, V; Baur, S; Bay, R; Beatty, JJ; Becker, KH; Tjus, JB; Bellenghi, C; BenZvi, S; Berley, D; Bernardini, E; Besson, DZ; Binder, G; Bindig, D; Blaufuss, E; Blot, S; Boddenberg, M; Bontempo, F; Borowka, J; Böser, S; Botner, O; Böttcher, J; Bourbeau, E; Bradascio, F; Braun, J; Bron, S; Brostean-Kaiser, J; Browne, S; Burgman, A; Burley, RT; Busse, RS; Campana, MA; Carnie-Bronca, EG; Chen, C; Chirkin, D; Choi, K; Clark, BA; Clark, K; Classen, L; Coleman, A; Collin, GH; Conrad, JM; Coppin, P; Correa, P; Cowen, DF; Cross, R; Dappen, C; Dave, P; De Clercq, C; DeLaunay, JJ; Dembinski, H; Deoskar, K; De Ridder, S; Desai, A; Desiati, P; de Vries, KD; de Wasseige, G; de With, M; DeYoung, T; Dharani, S; Diaz, A; Díaz-Vélez, JC; Dittmer, M; Dujmovic, H; Dunkman, M; DuVernois, MA; Dvorak, E; Ehrhardt, T; Eller, P; Engel, R; Erpenbeck, H; Evans, J; Evenson, PA; Fan, KL; Fazely, AR; Fiedlschuster, S; Fienberg, AT; Filimonov, K; Finley, C; Fischer, L; Fox, D; Franckowiak, A; Friedman, E; Fritz, A; Fürst, P; Gaisser, TK; Gallagher, J; Ganster, E; Garcia, A; Garrappa, S; Gerhardt, L; Ghadimi, A; Glaser, C; Glauch, T; Glusenkamp, T; Goldschmidt, A; Gonzalez, JG; Goswami, S; Grant, D; Grégoire, T; Griswold, S; Gündüz, M; Günther, C; Haack, C; Hallgren, A; Halliday, R; Halve, L; Halzen, F; Minh, MH; Hanson, K; Hardin, J; Harnisch, AA; Haungs, A; Hauser, S; Hebecker, D; Helbing, K; Henningsen, F; Hettinger, EC; Hickford, S; Hignight, J; Hill, C; Hill, GC; Hoffman, KD; Hoffmann, R; Hoinka, T; Hokanson-Fasig, B; Hoshina, K; Huang, F; Huber, M; Huber, T; Hultqvist, K; Hünnefeld, M; Hussain, R; In, S; Iovine, N; Ishihara, A; Jansson, M; Japaridze, GS; Jeong, M; Jones, BJP; Kang, D; Kang, W; Kang, X; Kappes, A; Kappesser, D; Karg, T; Karl, M; Karle, A; Katz, U; Kauer, M; Kellermann, M; Kelley, JL; Kheirandish, A; Kin, K; Kintscher, T; Kiryluk, J; Klein, SR; Koirala, R; Kolanoski, H; Kontrimas, T; Kopke, L; Kopper, C; Kopper, S; Koskinen, DJ; Koundal, P; Kovacevich, M; Kowalski, M; Kozynets, T; Kun, E; Kurahashi, N; Lad, N; Gualda, CL; Lanfranchi, JL; Larson, MJ; Lauber, F; Lazar, JP; Lee, JW; Leonard, K; Leszczynska, A; Li, Y; Lincetto, M; Liu, QR; Liubarska, M; Lohfink, E; Mariscal, CJL; Lu, L; Lucarelli, F; Ludwig, A; Luszczak, W; Lyu, Y; Ma, WY; Madsen, J; Mahn, KBM; Makino, Y; Mancina, S; Maris, IC; Maruyama, R; Mase, K; McElroy, T; McNally, F; Mead, JV; Meagher, K; Medina, A; Meier, M; Meighen-Berger, S; Micallef, J; Mockler, D; Montaruli, T; Moore, RW; Morse, R; Moulai, M; Naab, R; Nagai, R; Naumann, U; Necker, J; Nguyen, LV; Niederhausen, H; Nisa, MU; Nowicki, SC; Nygren, DR; Pollmann, AO; Oehler, M; Olivas, A; O'Sullivan, E; Pandya, H; Pankova, DV; Park, N; Parker, GK; Paudel, EN; Paul, L; de los Heros, CP; Peters, L; Peterson, J; Philippen, S; Pieloth, D; Pieper, S; Pittermann, M; Pizzuto, A; Plum, M; Popovych, Y; Porcelli, A; Rodriguez, MP; Price, PB; Pries, B; Przybylski, GT; Raab, C; Raissi, A; Rameez, M; Rawlins, K; Rea, IC; Rehman, A; Reichherzer, P; Reimann, R; Renzi, G; Resconi, E; Reusch, S; Rhode, W; Richman, M; Riedel, B; Roberts, EJ; Robertson, S; Roellinghoff, G; Rongen, M; Rott, C; Ruhe, T; Ryckbosch, D; Cantu, DR; Safa, I; Saffer, J; Herrera, SES; Sandrock, A; Sandroos, J; Santander, M; Sarkar, S; Sarkar, S; Satalecka, K; Scharf, M; Schaufel, M; Schieler, H; Schindler, S; Schlunder, P; Schmidt, T; Schneider, A; Schneider, J; Schröder, FG; Schumacher, L; Schwefer, G; Sclafani, S; Seckel, D; Seunarine, S; Sharma, A; Shefali, S; Silva, M; Skrzypek, B; Smithers, B; Snihur, R; Soedingrekso, J; Soldin, D; Spannfellner, C; Spiczak, GM; Spiering, C; Stachurska, J; Stamatikos, M; Stanev, T; Stein, R; Stettner, J; Steuer, A; Stezelberger, T; Sturwald, T; Stuttard, T; Sullivan, GW; Taboada, I; Tenholt, F; Ter-Antonyan, S; Tilav, S; Tischbein, F; Tollefson, K; Tomankova, L; Tönnis, C; Toscano, S; Tosi, D; Trettin, A; Tselengidou, M; Tung, CF; Turcati, A; Turcotte, R; Turley, CF; Twagirayezu, JP; Ty, B; Elorrieta, MAU; Valtonen-Mattila, N; Vandenbroucke, J; van Eijndhoven, N; Vannerom, D; van Santen, J; Verpoest, S; Vraeghe, M; Walck, C; Watson, TB; Weaver, C; Weigel, P; Weindl, A; Weiss, MJ; Weldert, J; Wendt, C; Werthebach, J; Weyrauch, M; Whitehorn, N; Wiebusch, CH; Williams, DR; Wolf, M; Woschnagg, K; Wrede, G; Wulff, J; Xu, XW; Xu, Y; Yanez, JP; Yoshida, S; Yu, S; Yuan, T; Zhang, Z</t>
  </si>
  <si>
    <t>Deployment of the IceCube Upgrade Camera System in the SPICEcore hole</t>
  </si>
  <si>
    <t>GLACIAL ICE; DUST</t>
  </si>
  <si>
    <t>IceCube is a cubic-kilometer scale neutrino telescope located at the geographic South Pole. The detector utilizes the extremely transparent Antarctic ice as a medium for detecting Cherenkov radiation from neutrino interactions. While the optical properties of the glacial ice are generally well modeled and understood, the uncertainties which remain are still the dominant source of systematic uncertainties for many IceCube analyses. A camera and LED system is being built for the IceCube Upgrade that will enable the observation of optical properties throughout the Upgrade array. The SPICEcore hole, a 1.7 km deep ice-core hole located near the IceCube detector, has given the opportunity to test the performance of the camera system ahead of the Upgrade construction. In this contribution, we present the results of the camera and LED system deployment during the 2019/2020 austral summer season as part of a SPICEcore luminescence logger system.</t>
  </si>
  <si>
    <t>Rott, C (corresponding author), Univ Utah, Dept Phys &amp; Astron, Salt Lake City, UT 84112 USA.;Rott, C; Tönnis, C (corresponding author), Sungkyunkwan Univ, Dept Phys, Suwon 16419, South Korea.;Rott, C; Tönnis, C (corresponding author), Sungkyunkwan Univ, Inst Basic Sci, Suwon 16419, South Korea.;Pollmann, AO (corresponding author), Univ Wuppertal, Dept Phys, D-42119 Wuppertal, Germany.</t>
  </si>
  <si>
    <t>rott@physics.utah.edu</t>
  </si>
  <si>
    <t>Sarkar, Subir/G-5978-2011; Kauer, Matt/AAY-7581-2020; Kun, Emma/AAJ-6527-2020; Haungs, Andreas/JXW-9490-2024; Sarkar, Subir/GPT-4902-2022; Schroeder, Frank G./IRH-9416-2023; Sandrock, Alexander/AAT-1285-2020; Fan, Kwok Lung/AEY-2473-2022; Sánchez, Juan Antonio Aguilar/H-4467-2015; Kelley, James L./AAP-5988-2020; Tjus, Julia/G-8145-2012; Reichherzer, Patrick/GLV-4438-2022; Beatty, James/D-9310-2011</t>
  </si>
  <si>
    <t>Sarkar, Subir/0000-0002-3542-858X; Kauer, Matt/0000-0003-1830-9076; Haungs, Andreas/0000-0002-9638-7574; Schroeder, Frank G./0000-0001-8495-7210; Sandrock, Alexander/0000-0002-6779-1172; Fan, Kwok Lung/0000-0002-8246-4751; Tjus, Julia/0000-0002-1748-7367; Reichherzer, Patrick/0000-0003-4513-8241; Beatty, James/0000-0003-0481-4952</t>
  </si>
  <si>
    <t>WOS:001081844903005</t>
  </si>
  <si>
    <t>Clark, BA; Halliday, R</t>
  </si>
  <si>
    <t>Clark, Brian A.; Halliday, Robert</t>
  </si>
  <si>
    <t>IceCube-Gen2 Collaboration</t>
  </si>
  <si>
    <t>Simulation and sensitivities for a phased IceCube-Gen2 deployment</t>
  </si>
  <si>
    <t>The IceCube Neutrino Observatory opened the window on high-energy neutrino astronomy by confirming the existence of PeV astrophysical neutrinos and identifying the first compelling astrophysical neutrino source in the blazar TXS0506+056. Planning is underway to build an enlarged detector, IceCube-Gen2, which will extend measurements to higher energies, increase the rate of observed cosmic neutrinos and provide improved prospects for detecting fainter sources. IceCube-Gen2 is planned to have an extended in-ice optical array, a radio array at shallower depths for detecting ultra-high-energy (&gt;100 PeV) neutrinos, and a surface component studying cosmic rays. In this contribution, we will discuss the simulation of the in-ice optical component of the baseline design of the IceCube-Gen2 detector, which foresees the deployment of an additional similar to 120 new detection strings to the existing 86 in IceCube over similar to 7 Antarctic summer seasons. Motivated by the phased construction plan for IceCube-Gen2, we discuss how the reconstruction capabilities and sensitivities of the instrument are expected to progress throughout its deployment.</t>
  </si>
  <si>
    <t>[Clark, Brian A.; Halliday, Robert] Michigan State Univ, E Lansing, MI 48824 USA</t>
  </si>
  <si>
    <t>Michigan State University</t>
  </si>
  <si>
    <t>Clark, BA; Halliday, R (corresponding author), Michigan State Univ, E Lansing, MI 48824 USA.</t>
  </si>
  <si>
    <t>baclark@msu.edu; hallid15@msu.edu</t>
  </si>
  <si>
    <t>Fan, Kwok Lung/AEY-2473-2022; Sarkar, Subir/G-5978-2011; Tjus, Julia/G-8145-2012; Nelles, Anna/AAU-1193-2020; Schroeder, Frank G./IRH-9416-2023; Hallmann, Steffen/HLQ-7871-2023</t>
  </si>
  <si>
    <t>Fan, Kwok Lung/0000-0002-8246-4751; Sarkar, Subir/0000-0002-3542-858X; Tjus, Julia/0000-0002-1748-7367; Nelles, Anna/0000-0002-1720-6350; Schroeder, Frank G./0000-0001-8495-7210; Hallmann, Steffen/0000-0001-9847-7189</t>
  </si>
  <si>
    <t>WOS:001081844904028</t>
  </si>
  <si>
    <t>Hanson, JC</t>
  </si>
  <si>
    <t>Hanson, Jordan C.</t>
  </si>
  <si>
    <t>Broadband RF Phased Array Design for UHE neutrino detection</t>
  </si>
  <si>
    <t>Radio-frequency (RF) phased array systems have a wide variety of applications in engineering and physics research. Among these applications is ultra-high energy neutrino (UHE-nu) detection above 100 PeV via the Askaryan effect. Phased array design usually requires numerical modeling with expensive commercial computational packages. Using the open-source MIT Electrogmagnetic Equation Propagation (MEEP) package, a set of phased array designs relevant for UHE-nu detection is presented. Specifically, one-dimensional arrays of Yagi-Uda and horn antennas were modeled in the bandwidth of the Askaryan effect [0.1 - 5] GHz, and compared to theoretical expectations. Precise matches between MEEP simulation and radiation pattern predictions at different frequencies and beam angles are demonstrated. Finally, the effect of embedding a phased array within Antarctic ice is studied. Askaryan-class UHE-nu detectors are being constructed in Antarctic ice because it is an ideal detection medium for UHE-nu Future work will develop the phased array concepts with parallel MEEP, in order to increase the detail, complexity, and speed of the computations.</t>
  </si>
  <si>
    <t>[Hanson, Jordan C.] Whittier Coll, 13406 East Philadelphia St, Los Angeles, CA 90602 USA</t>
  </si>
  <si>
    <t>Whittier College</t>
  </si>
  <si>
    <t>Hanson, JC (corresponding author), Whittier Coll, 13406 East Philadelphia St, Los Angeles, CA 90602 USA.</t>
  </si>
  <si>
    <t>jhanson2@whittier.edu</t>
  </si>
  <si>
    <t>WOS:001081844904057</t>
  </si>
  <si>
    <t>Kato, C; Kadokura, A; Munakata, K; Evenson, P; Kataoka, R; Miyake, S; Asano, S</t>
  </si>
  <si>
    <t>Kato, Chihiro; Kadokura, Akira; Munakata, Kazuoki; Evenson, Paul; Kataoka, Ryuho; Miyake, Shoko; Asano, Shunta</t>
  </si>
  <si>
    <t>Simultaneous observation of cosmic rays with muon detector and neutron monitor at the Syowa station in the Antarctic</t>
  </si>
  <si>
    <t>Since February 2018, simultaneous observation of cosmic ray (CR) muon and neutron is continued. The operation is quite stable and its duty cycle is higher than 95%. These detectors are showing their usefulness by responding to, for example, a peculiar CME event in August 2018. There is another interesting event in September 2019. A Sudden Stratospheric Warming (SSW) was observed and muon counts responded to the SSW. This response is caused by that muon counts on the ground are affected by high altitude temperature. Temperature effect on CR muon now can be corrected with high altitude temperature data. There is, however, some matter of research about how the method works. This event seems to be valuable to improve correction method. We describe a character of muon and neutron data accumulated during the last three years and discuss potential use in studying atmospheric effect on CR muon and neutron count rates.</t>
  </si>
  <si>
    <t>[Kato, Chihiro; Munakata, Kazuoki; Asano, Shunta] Shinshu Univ, Fac Sci, Dept Sci, Phys Course, 3-1-1 Asahi, Matsumoto, Nagano, Japan; [Kadokura, Akira; Kataoka, Ryuho] Natl Inst Polar Res NIPR, 10-3 Midori Cho, Tachikawa, Tokyo, Japan; [Kadokura, Akira] Polar Environm Data Sci Ctr, Joint Support Ctr Data Sci Res Res Org Informat &amp;, 10-3 Midori Cho, Tachikawa, Tokyo, Japan; [Evenson, Paul; Miyake, Shoko] Univ Delaware, Dept Phys &amp; Astron, Bartol Res Inst, Sharp Lab 217, Newark, DE 19716 USA; Ibaraki Coll, Natl Inst Technol, 866 Nakane, Hitachinaka, Ibaraki, Japan</t>
  </si>
  <si>
    <t>Shinshu University; Research Organization of Information &amp; Systems (ROIS); National Institute of Polar Research (NIPR) - Japan; University of Delaware</t>
  </si>
  <si>
    <t>Kato, C (corresponding author), Shinshu Univ, Fac Sci, Dept Sci, Phys Course, 3-1-1 Asahi, Matsumoto, Nagano, Japan.</t>
  </si>
  <si>
    <t>ckato@shinshu-u.ac.jp; kadokura@nipr.ac.jp; kmuna00@shinshu-u.ac.jp; evenson@udel.edu; ryuho.kataoka@gmail.com; miyakesk@ee.ibaraki-ct.ac.jp; 20SS201H@shinshu-u.ac.jp</t>
  </si>
  <si>
    <t>WOS:001081844904076</t>
  </si>
  <si>
    <t>Prechelt, R; Wissel, S; Romero-Wolf, A</t>
  </si>
  <si>
    <t>Prechelt, Remy; Wissel, Stephanie; Romero-Wolf, Andrew</t>
  </si>
  <si>
    <t>An analysis of a tau-neutrino hypothesis for the near-horizon cosmic-ray-like events observed by ANITA-IV</t>
  </si>
  <si>
    <t>We present the results of a simulation of the acceptance of the Antarctic Impulsive Transient Antenna (ANITA) to possible nu(tau) point source fluxes detected via g-lepton-induced air showers. This investigation is framed around the detection of four upward-going extensive air shower events observed very close to the horizon in ANITA-IV. These four events as well as the overall diffuse and point source exposure to Earth-skimming nu(tau) are also compared against published ultrahigh-energy neutrino limits from the Pierre Auger Observatory. We find that while these four events were detected at sky coordinates close to ANITA's maximum nu(tau) sensitivity and were not simultaneously visible by Auger, the implied fluence necessary for ANITA to observe these events is in tension with limits set by Auger across a wide range of energies and is additionally in tension with ANITA's Askaryan in-ice neutrino channel above 10(19) eV.</t>
  </si>
  <si>
    <t>[Prechelt, Remy] Univ Hawaii Manoa, Dept Phys &amp; Astron, Honolulu, HI 96822 USA; [Wissel, Stephanie] Penn State Univ, Dept Astron &amp; Astrophys, Dept Phys, University Pk, PA 16802 USA; [Romero-Wolf, Andrew] CALTECH, Jet Prop Lab, 4800 Oak Grove Dr, Pasadena, CA 91109 USA</t>
  </si>
  <si>
    <t>University of Hawaii System; University of Hawaii Manoa; Pennsylvania Commonwealth System of Higher Education (PCSHE); Pennsylvania State University; Pennsylvania State University - University Park; California Institute of Technology; National Aeronautics &amp; Space Administration (NASA); NASA Jet Propulsion Laboratory (JPL)</t>
  </si>
  <si>
    <t>prechelt@hawaii.edu</t>
  </si>
  <si>
    <t>WOS:001081844903060</t>
  </si>
  <si>
    <t>Keilhauer, B</t>
  </si>
  <si>
    <t>Search for secluded dark matter with 6 years of IceCube data</t>
  </si>
  <si>
    <t>CANDIDATES</t>
  </si>
  <si>
    <t>The IceCube neutrino observatory-installed in the Antarctic ice-is the largest neutrino telescope to date. It consists of 5,160 photomultiplier-tubes spread among 86 vertical strings making a total detector volume of more than a cubic kilometer. IceCube detects neutrinos via Cherenkov light emitted by charged relativistic particles produced when a neutrino interacts in or near the detector. The detector is particularly sensitive to high-energy neutrinos of due to its size and photosensor spacing. In this analysis we search for dark matter that annihilates into a metastable mediator that subsequently decays into Standard Model particles. These models yield an enhanced high-energy neutrino flux from dark matter annihilation inside the Sun compared to models without a mediator. Neutrino signals that are produced directly inside the Sun are strongly attenuated at higher energies due to interactions with the solar plasma. In the models considered here, the mediator can escape the Sun before producing any neutrinos, thereby avoiding attenuation. We present the results of an analysis of six years of IceCube data looking for dark matter in the Sun. We consider mediator lifetimes between 1 ms to 10 s and dark matter masses between 200 GeV and 75 TeV.</t>
  </si>
  <si>
    <t>RWTH Aachen University; University of Adelaide; University of Alaska System; University of Alaska Anchorage; University of Texas System; University of Texas Arlington; Clark Atlanta University; University System of Georgia; Georgia Institute of Technology; University System of Georgia; Georgia Institute of Technology; Southern University System; Southern University &amp; A&amp;M College; University of California System; University of California Berkeley; United States Department of Energy (DOE); Lawrence Berkeley National Laboratory; Humboldt University of Berlin; University of Wurzburg; Ruhr University Bochum; Universite Libre de Bruxelles; Vrije Universiteit Brussel; Harvard University; Harvard University; Massachusetts Institute of Technology (MIT); Chiba University; Chiba University; Loyola University Chicago; University of Canterbury; University System of Maryland; University of Maryland College Park; University System of Ohio; Ohio State University; University System of Ohio; Ohio State University; University System of Ohio; Ohio State University; University of Copenhagen; Niels Bohr Institute; Dortmund University of Technology; Michigan State University; University of Alberta; University of Erlangen Nuremberg; Technical University of Munich; University of Geneva; Ghent University; University of California System; University of California Irvine; Helmholtz Association; Karlsruhe Institute of Technology; Helmholtz Association; Karlsruhe Institute of Technology; Queens University - Canada; University of Kansas; University of California System; University of California Los Angeles; Mercer University; University of Wisconsin System; University of Wisconsin Madison; University of Wisconsin System; University of Wisconsin Madison; University of Wisconsin System; University of Wisconsin Madison; Johannes Gutenberg University of Mainz; Marquette University; University of Munster; University of Delaware; University of Delaware; Yale University; University of Oxford; Drexel University; South Dakota School Mines &amp; Technology; University of Wisconsin System; University of Rochester; Utah System of Higher Education; University of Utah; Oskar Klein Centre; Stockholm University; Stockholm University; State University of New York (SUNY) System; State University of New York (SUNY) Stony Brook; Sungkyunkwan University (SKKU); Sungkyunkwan University (SKKU); Institute for Basic Science - Korea (IBS); University of Alabama System; University of Alabama Tuscaloosa; Pennsylvania Commonwealth System of Higher Education (PCSHE); Pennsylvania State University; Pennsylvania State University - University Park; Pennsylvania Commonwealth System of Higher Education (PCSHE); Pennsylvania State University; Pennsylvania State University - University Park; Uppsala University; University of Wuppertal; Helmholtz Association; Deutsches Elektronen-Synchrotron (DESY); University of Padua; National Research Nuclear University MEPhI (Moscow Engineering Physics Institute); University of Tokyo</t>
  </si>
  <si>
    <t>Tönnis, C (corresponding author), Sungkyunkwan Univ, Dept Phys, Suwon 16419, South Korea.;Tönnis, C (corresponding author), Sungkyunkwan Univ, Inst Basic Sci, Suwon 16419, South Korea.</t>
  </si>
  <si>
    <t>Sarkar, Subir/GPT-4902-2022; Kauer, Matt/AAY-7581-2020; Haungs, Andreas/JXW-9490-2024; Sánchez, Juan Antonio Aguilar/H-4467-2015; Rea, Immacolata Carmen/AAV-4830-2021; Tjus, Julia/G-8145-2012; Schroeder, Frank G./IRH-9416-2023; Fan, Kwok Lung/AEY-2473-2022; Kun, Emma/AAJ-6527-2020; Sarkar, Subir/G-5978-2011; Reichherzer, Patrick/GLV-4438-2022; Sandrock, Alexander/AAT-1285-2020; Beatty, James/D-9310-2011</t>
  </si>
  <si>
    <t>Kauer, Matt/0000-0003-1830-9076; Haungs, Andreas/0000-0002-9638-7574; Rea, Immacolata Carmen/0000-0002-3954-7754; Tjus, Julia/0000-0002-1748-7367; Schroeder, Frank G./0000-0001-8495-7210; Fan, Kwok Lung/0000-0002-8246-4751; Sarkar, Subir/0000-0002-3542-858X; Reichherzer, Patrick/0000-0003-4513-8241; Sandrock, Alexander/0000-0002-6779-1172; Beatty, James/0000-0003-0481-4952</t>
  </si>
  <si>
    <t>BV7QS</t>
  </si>
  <si>
    <t>WOS:001070848604047</t>
  </si>
  <si>
    <t>Buckley, JH</t>
  </si>
  <si>
    <t>Buckley, James H.</t>
  </si>
  <si>
    <t>APT Collaboration</t>
  </si>
  <si>
    <t>The Advanced Particle-astrophysics Telescope (APT) Project Status</t>
  </si>
  <si>
    <t>We describe the development of a future gamma-ray/cosmic-ray mission called the Advanced Particle-astrophysics Telescope (APT). The instrument will combine a pair tracker and Compton telescope in a single monolithic design. By using scintillating fibers for the tracker and wavelength-shifting fibers to readout CsI detectors, the instrument will achieve an order of magnitude improvement in sensitivity compared with Fermi but with fewer readout channels, and lower complexity. By incorporating multiple Compton imaging over a very large effective area, the instrument will also achieve orders of magnitude improvement in MeV sensitivity compared with other proposed instruments. The mission would have a broad impact on astroparticle physics, but the primary science drivers for the mission include: (1) probing WIMP dark matter across the entire natural mass range and annihilation cross section for a thermal WIMP, (2) providing a nearly all-sky instantaneous FoV, with prompt sub-degree localization and polarization measurements for gamma-ray transients such as neutron-star mergers and (3) making measurements of rare utraheavy cosmic ray nuclei to distinguish between n-star merger and SNae r-process synthesis of the heavy elements. We will describe ongoing work including a series of accelerator beam tests, a piggy-back Antactic flight (APTlite) and the recently funded long-duration balloon mission: the Antarctic Demonstrator for APT (ADAPT).</t>
  </si>
  <si>
    <t>[Buckley, James H.] Washington Univ St Louis, Dept Phys, 1 Brookings Dr, St Louis, MO 63130 USA</t>
  </si>
  <si>
    <t>Washington University (WUSTL)</t>
  </si>
  <si>
    <t>Buckley, JH (corresponding author), Washington Univ St Louis, Dept Phys, 1 Brookings Dr, St Louis, MO 63130 USA.</t>
  </si>
  <si>
    <t>buckley@wustl.edu</t>
  </si>
  <si>
    <t>NASA [80NSSC19K0625]; NASA APRA [20-APRA20-0148]</t>
  </si>
  <si>
    <t>NASA(National Aeronautics &amp; Space Administration (NASA)); NASA APRA(National Aeronautics &amp; Space Administration (NASA))</t>
  </si>
  <si>
    <t>This work was made possible through support by NASA grant 80NSSC19K0625 and NASA APRA award 20-APRA20-0148. The collaboration also acknowledges generous ongoing support from the McDonnell Center for the Space Sciences and the Peggy and Steve Fossett Foundation.</t>
  </si>
  <si>
    <t>WOS:001070848605047</t>
  </si>
  <si>
    <t>Chen, WL; Buckley, JH</t>
  </si>
  <si>
    <t>Chen, Wenlei; Buckley, James H.</t>
  </si>
  <si>
    <t>The Advanced Particle-astrophysics Telescope: Simulation of the Instrument Performance for Gamma-Ray Detection</t>
  </si>
  <si>
    <t>We present simulations of the instrument performance of the Advanced Particle-astrophysics Telescope (APT), a mission concept of a gamma-ray and cosmic-ray observatory in a sun-Earth Lagrange orbit. The key components of the APT detector include a multiple-layer tracker composed of scintillating fibers and an imaging calorimeter composed of thin layers of CsI:Na scintillators. The design is aimed at maximizing effective area and field of view for gamma-ray and cosmic-ray measurements, subject to constraints on instrument cost and total payload mass. We simulate a detector design based on 3-meter scintillating fibers and develop reconstruction algorithms for gamma-rays from a few hundreds of keV up to a few TeV energies. At the photon energy above 30 MeV, pair-production/shower reconstruction is applied; the results show that APT could provide an order of magnitude improvement in effective area and sensitivity for gamma-ray detection compared with the Fermi Large Area Telescope (LAT). A multiple-Compton-scattering reconstruction at photon energies below 10 MeV achieves sensitive detection of faint gamma-ray bursts (GRBs) and other W-ray transients down to similar to 0.01 MeV/cm(2) with degree-level to sub-degree-level localization accuracy. The Compton analysis also provides a measurement of polarization where the minimum detectable degree of polarization for similar to 1 MeV/cm(2) GRBs is below 20%. In addition to the APT simulations, we present the simulated performance of the Antarctic Demonstrator for APT, a 0.5m-square cross section balloon experiment that includes all of the key elements of the full APT detector.</t>
  </si>
  <si>
    <t>[Chen, Wenlei] Univ Minnesota Twin Cities, Sch Phys &amp; Astron, 116 Church St SE, Minneapolis, MN 55455 USA; [Buckley, James H.] Washington Univ, Dept Phys, 1 Brookings Dr, St Louis, MO USA</t>
  </si>
  <si>
    <t>University of Minnesota System; University of Minnesota Twin Cities; Washington University (WUSTL)</t>
  </si>
  <si>
    <t>Chen, WL (corresponding author), Univ Minnesota Twin Cities, Sch Phys &amp; Astron, 116 Church St SE, Minneapolis, MN 55455 USA.</t>
  </si>
  <si>
    <t>chen6339@umn.edu</t>
  </si>
  <si>
    <t>WOS:001070848604105</t>
  </si>
  <si>
    <t>García-Castro, D</t>
  </si>
  <si>
    <t>Garcia-Castro, D.</t>
  </si>
  <si>
    <t>TRISTAN Collaboration</t>
  </si>
  <si>
    <t>The TRISTAN detector. Cosmic ray survey between latitudes 38°N and 53°S along the Atlantic Ocean</t>
  </si>
  <si>
    <t>TRISTAN (TRasgo para InveSTigaciones ANtarticas) is a cosmic ray detector of the TRASGO family. The detector has been installed at the Spanish Antarctic Base in Livignston Island, as one of the detectors of ORCA (Antarctic Cosmic Ray Observaroty) in December 2019. TRISTAN detector collected data during three journeys crossing the Atlantic Ocean between latitudes 38 degrees N and 53 degrees S on board of the Sarmiento de Gamboa and BIO Hesperides oceanographic vessels. The trips took place between November 2018 and December 2019. The main purpose is to evaluate the capability of a TRASGO detector to explore the geomagnetic field variations and the different atmospheric behaviours at both hemispheres and in the Equator region. The main technical aspects of the detector and its performance (efficiency, resolutions, and acceptances) will be discussed and the preliminary results of the last journey will be presented.</t>
  </si>
  <si>
    <t>[Garcia-Castro, D.] Univ Santiago Compostela, IGFAE, Santiago De Compostela, Spain</t>
  </si>
  <si>
    <t>Universidade de Santiago de Compostela</t>
  </si>
  <si>
    <t>García-Castro, D (corresponding author), Univ Santiago Compostela, IGFAE, Santiago De Compostela, Spain.</t>
  </si>
  <si>
    <t>damian.garcia@usc.es</t>
  </si>
  <si>
    <t>Xunta de Galicia (Centro singular de investigacion de Galicia accreditation 2019-2022); European Union ERDF; Maria de Maeztu Units of Excellence program [MDM-2016-0692]; Spanish Research State Agency; Spanish Agencia Estatal de Investigacion [CTM2016-77325-C2-2-P]; European Regional Development Fund, FEDER; Ministerio de Ciencia, Investigacion y Universidades; European Social Fund (FSE); Club para el Desarrollo de las Ciencias, of Madrid</t>
  </si>
  <si>
    <t>Xunta de Galicia (Centro singular de investigacion de Galicia accreditation 2019-2022); European Union ERDF(European Union (EU)); Maria de Maeztu Units of Excellence program; Spanish Research State Agency; Spanish Agencia Estatal de Investigacion(Spanish Government); European Regional Development Fund, FEDER(European Union (EU)); Ministerio de Ciencia, Investigacion y Universidades; European Social Fund (FSE)(European Social Fund (ESF)); Club para el Desarrollo de las Ciencias, of Madrid</t>
  </si>
  <si>
    <t>The authors acknowledge the following funding sources: The IGFAE has received financial support from Xunta de Galicia (Centro singular de investigacion de Galicia accreditation 2019-2022), by European Union ERDF, and by the Maria de Maeztu Units of Excellence program MDM-2016-0692 and the Spanish Research State Agency. The TRASGO project has been partially funded by the Club para el Desarrollo de las Ciencias, of Madrid. The TRISTAN project is being funded by the Spanish Agencia Estatal de Investigacion under the contract CTM2016-77325-C2-2-P and by the European Regional Development Fund, FEDER. D. Garcia-Castro thanks to the Ministerio de Ciencia, Investigacion y Universidades and the European Social Fund (FSE) for a predoctoral grant (FPI 2017).</t>
  </si>
  <si>
    <t>WOS:001070848603052</t>
  </si>
  <si>
    <t>Hoffman, K</t>
  </si>
  <si>
    <t>Hoffman, Kara</t>
  </si>
  <si>
    <t>ARA Collaborat</t>
  </si>
  <si>
    <t>A Decade of the Askaryan Radio Array</t>
  </si>
  <si>
    <t>PERFORMANCE; DESIGN</t>
  </si>
  <si>
    <t>The Askaryan Radio Array has developed the hardware and analysis techniques required to realize an observatory scale array for the detection of ultra high energy neutrinos in the radio frequency detection channel, while also delivering world competitive limits on the high energy neutrino flux. The first ARA instrumentation was installed in the Antarctic ice cap near the geographic South Pole over a decade ago. The addition of each new cluster of antennas in the ice brought improvement and innovation. The final installation in the austral summer of 2017-2018 included a phased array trigger which demonstrated the ability to increase the trigger efficiency using interferometric information in real time. ARA's detailed in situ measurements of the propagation of radio frequency signals in the ice have established the polar ice cap as an ideal host for such an array, while informing the reconstruction and simulation of in ice events. With five deep radio antenna clusters are currently operating at the South Pole, current ARA results boast world competitive sensitivity to ultra high energy neutrinos, while the data currently on disk holds the promise of extending these results to lower fluxes in the near future. Following on the success of ARA, two new embedded in ice arrays have been planned, RNO-G and IceCube Gen2.</t>
  </si>
  <si>
    <t>[Hoffman, Kara] Univ Maryland, College Pk, MD 20742 USA</t>
  </si>
  <si>
    <t>University System of Maryland; University of Maryland College Park</t>
  </si>
  <si>
    <t>Hoffman, K (corresponding author), Univ Maryland, College Pk, MD 20742 USA.</t>
  </si>
  <si>
    <t>kara@umd.edu</t>
  </si>
  <si>
    <t>WOS:001070848600012</t>
  </si>
  <si>
    <t>Hughes, Z</t>
  </si>
  <si>
    <t>Hughes, Zachary</t>
  </si>
  <si>
    <t>Characterization of a prototype imaging calorimeter for the Advanced Particle-astrophysics Telescope from an Antarctic balloon flight and CERN beam test</t>
  </si>
  <si>
    <t>We report the results and analysis methods from field-testing the imaging calorimeter prototype for the Advanced Particle-astrophysics Telescope (APT) through an antarctic balloon flight (in the 2019 austral Antarctic balloon season) and through a CERN heavy-ion beam test in 2018. The Advanced Particle-astrophysics Telescope is a proposed space-based gamma- and cosmic-ray instrument that utilizes a novel distributed imaging calorimeter for both particle tracking and energy reconstruction. The imaging CsI calorimeter (ICC) consists of a CsI:Na scintillator read out by (WLS) fibers in both the x- and y-planes. To function both as a gamma-ray and cosmic-ray instrument APT must operate over a large dynamic range, from the single photon-election regime for low energy gamma-ray events to high-/ cosmic-ray events. Analysis of data from a 150 mm x 150 mm prototype instrument (APTlite) on a piggy-back flight on the 2019 SuperTIGER-2.3 balloon instrument provided cosmic ray data that were used to demonstrate the key detector and electronics elements of the ICC. Significantly, analysis of flight data demonstrated the large dynamic range of the instrument, showing the possibility to reconstruct the nuclear charge through analysis of the scintillation tail of saturating high-Z cosmic-ray events by utilizing the deep memory depth available to the TARGET waveform digitizer electronics. Spatial reconstruction of events was performed using a two-sided Voigt profile demonstrating position localization within the imaging calorimeter plane to less 3 WLS fiber widths. Charge resolution was evaluated on a 50 mm x 50 mm prototype placed in the 150 GeV/nuc, A/Z = 2.2 CERN SPS beam line. Nuclei were tagged using HNX/TIGERISS silicon-strip detectors and silicon pad detectors, which allowed for fragmentation cuts in the data. The vastly saturating signals were reconstructed from the CsI:Na scintillation tail and show an APT charge resolution up to Z = 11 (with experimental limitations preventing full evaluation for Z larger 11) and demonstrated no significant non-linearity in the Z(2) measurement derived from the CsI:Na optical signal response up to Z = 82.</t>
  </si>
  <si>
    <t>zdhughes@wustl.edu</t>
  </si>
  <si>
    <t>WOS:001070848601037</t>
  </si>
  <si>
    <t>Quinn, S</t>
  </si>
  <si>
    <t>Quinn, S.</t>
  </si>
  <si>
    <t>GAPS Collaboration</t>
  </si>
  <si>
    <t>The GAPS Instrument: A Large Area Time of Flight and High Resolution Exotic Atom Spectrometer for Cosmic Antinuclei</t>
  </si>
  <si>
    <t>Low-energy cosmic ray antideuterons (&lt; 0.25 GeV/n) are a compelling, mostly uncharted channel of many viable dark matter models and benefit from highly suppressed astrophysical background. The General Antiparticle Spectrometer (GAPS) is a first-of-its-kind exotic-atom-based Antarctic balloon-borne experiment specialized for detection of low-energy antiprotons, antideuterons, and antihelium with a targeted launch in 2022. The results of novel technology development and a summary of current construction status are the focus of this contribution. GAPS exploits a novel antiparticle identification technique based on exotic atom formation and decay, allowing more active target material for a larger overall acceptance since no magnet is required. The GAPS instrument consists of a large-area (similar to 50 m(2)) scintillator time-of-flight, ten planes of custom silicon detectors with dedicated ASIC readout, and a novel oscillating heat pipe cooling approach. This contribution will briefly introduce the exotic atom detection technique. Following this, the instrument design will be discussed and detailed description of experimental hardware and expected performance will be presented. I will conclude with recent construction and testing progress while also highlighting developments of a scaled, integrated prototype.</t>
  </si>
  <si>
    <t>[Quinn, S.] Dept Phys &amp; Astron, 475 Portola Plaza, Los Angeles, CA 90095 USA</t>
  </si>
  <si>
    <t>Quinn, S (corresponding author), Dept Phys &amp; Astron, 475 Portola Plaza, Los Angeles, CA 90095 USA.</t>
  </si>
  <si>
    <t>spq@ucla.edu</t>
  </si>
  <si>
    <t>NASA APRA grants [NNX17AB44G, NNX17AB45G, NNX17AB46G, NNX17AB47G]; JAXA/ISAS Small Science Program FY2017; Istituto Nazionale di Fisica Nucleare (INFN); Italian Space Agency through the ASI INFN [2018-28-HH.0]; UCLA Division of Physical Sciences; Heising-Simons Foundation; Alfred P. Sloan Foundation; National Science Foundation [1122374, PHY-1551980]; JSPS KAKENHI [JP26707015, JP17H01136, JP19H05198, JP17K14313, JP18K13928]; Sumitomo Foundation grant</t>
  </si>
  <si>
    <t>NASA APRA grants; JAXA/ISAS Small Science Program FY2017; Istituto Nazionale di Fisica Nucleare (INFN)(Istituto Nazionale di Fisica Nucleare (INFN)); Italian Space Agency through the ASI INFN; UCLA Division of Physical Sciences; Heising-Simons Foundation; Alfred P. Sloan Foundation(Alfred P. Sloan Foundation); National Science Foundation(National Science Foundation (NSF)); JSPS KAKENHI(Ministry of Education, Culture, Sports, Science and Technology, Japan (MEXT)Japan Society for the Promotion of ScienceGrants-in-Aid for Scientific Research (KAKENHI)); Sumitomo Foundation grant</t>
  </si>
  <si>
    <t>This work is supported in the U.S. by NASA APRA grants (NNX17AB44G, NNX17AB45G, NNX17AB46G, and NNX17AB47G), in Japan by JAXA/ISAS Small Science Program FY2017, and in Italy by Istituto Nazionale di Fisica Nucleare (INFN) and by the Italian Space Agency through the ASI INFN agreement n. 2018-28-HH.0: Partecipazione italiana al GAPS -General AntiParticle Spectrometer. R.A. Ong receives support from the UCLA Division of Physical Sciences. K. Perez receives support from the Heising-Simons Foundation and Alfred P. Sloan Foundation. F. Rogers is supported through the National Science Foundation Graduate Research Fellowship under grant 1122374. P. von Doetinchem receives support from the National Science Foundation under award PHY-1551980. H. Fuke receives support from JSPS KAKENHI grants JP26707015, JP17H01136, and JP19H05198. M. Kozai receives support from JSPS KAKENHI grant JP17K14313. S. Okazaki receives support from JSPS KAKENHI grant JP18K13928. Y. Shimizu receives support from Sumitomo Foundation grant.</t>
  </si>
  <si>
    <t>WOS:001070848600067</t>
  </si>
  <si>
    <t>Rogers, F</t>
  </si>
  <si>
    <t>Rogers, Field</t>
  </si>
  <si>
    <t>Cosmic Antiproton Sensitivity for the GAPS Experiment</t>
  </si>
  <si>
    <t>DARK-MATTER; RAY</t>
  </si>
  <si>
    <t>The General Antiparticle Spectrometer (GAPS) experiment is a balloon payload designed to measure low-energy cosmic antinuclei during at least three similar to 35-day Antarctic flights, with the first flight planned for December, 2022. With its large geometric acceptance and novel exotic atombased particle identification method, GAPS will detect similar to 1000 antiprotons per flight, producing a precision cosmic antiproton spectrum in the kinetic energy range of 0.03-0.23 GeV/n at float altitude (corresponding to 0.085-0.30 GeV/n at the top of the atmosphere). With these high statistics in a measurement extending to lower energy than any previous experiment, and with orthogonal sources of systematic uncertainty compared to measurements made using traditional magnetic spectrometer techniques, the GAPS antiproton measurement will be sensitive to physics including dark matter annihilation, primordial black hole evaporation, and cosmic ray propagation. The antiproton measurement will also validate the GAPS exotic atom technique for the antideuteron and antihelium rare-event searches and provide insight into models of cosmic particle attenuation and production in the atmosphere. This contribution demonstrates the GAPS sensitivity to antiprotons using a full instrument simulation, event reconstruction, and solar and atmospheric effects.</t>
  </si>
  <si>
    <t>[Rogers, Field] MIT, 77 Massachusetts Ave, Cambridge, MA 02139 USA</t>
  </si>
  <si>
    <t>Massachusetts Institute of Technology (MIT)</t>
  </si>
  <si>
    <t>Rogers, F (corresponding author), MIT, 77 Massachusetts Ave, Cambridge, MA 02139 USA.</t>
  </si>
  <si>
    <t>frrogers@mit.edu</t>
  </si>
  <si>
    <t>Tiberio, Alessio/AAW-4372-2020; Scotti, Valentina/U-3238-2018</t>
  </si>
  <si>
    <t>Tiberio, Alessio/0000-0002-8016-8844; Scotti, Valentina/0000-0001-8868-3990</t>
  </si>
  <si>
    <t>NASA APRA [NNX17AB44G, NNX17AB45G, NNX17AB46G, NNX17AB47G]; JAXA/ISAS Small Science Program [FY2017]; Istituto Nazionale di Fisica Nucleare (INFN); Italian Space Agency through ASI INFN [2018-28-HH.0]; National Science Foundation (NSF) [1122374]; NSF [PHY-1551980, 2030508]; JSPS KAKENHI [JP17H01136, JP19H05198, JP20K04002]; Mitsubishi Foundation Research Grant [2019-10038]; Heising-Simons award [2018-0766]; Sumitomo Foundation [180322]</t>
  </si>
  <si>
    <t>NASA APRA(National Aeronautics &amp; Space Administration (NASA)); JAXA/ISAS Small Science Program; Istituto Nazionale di Fisica Nucleare (INFN)(Istituto Nazionale di Fisica Nucleare (INFN)); Italian Space Agency through ASI INFN; National Science Foundation (NSF)(National Science Foundation (NSF)); NSF(National Science Foundation (NSF)); JSPS KAKENHI(Ministry of Education, Culture, Sports, Science and Technology, Japan (MEXT)Japan Society for the Promotion of ScienceGrants-in-Aid for Scientific Research (KAKENHI)); Mitsubishi Foundation Research Grant; Heising-Simons award; Sumitomo Foundation</t>
  </si>
  <si>
    <t>This work is supported in the U.S. by NASA APRA grants (NNX17AB44G, NNX17AB45G, NNX17AB46G, and NNX17AB47G), in Japan by JAXA/ISAS Small Science Program FY2017, and in Italy by Istituto Nazionale di Fisica Nucleare (INFN) and the Italian Space Agency through ASI INFN agreement No. 2018-28-HH.0: Partecipazione italiana al GAPS -General AntiParticle Spectrometer. F. Rogers is supported by the National Science Foundation (NSF) Graduate Research Fellowship under Grant No. 1122374. P. von Doetinchem received support from the NSF under award PHY-1551980. H. Fuke is supported by JSPS KAKENHI grants (JP17H01136 and JP19H05198) and Mitsubishi Foundation Research Grant 2019-10038. K. Perez and M. Xiao are supported by Heising-Simons award 2018-0766. Y. Shimizu receives support from JSPS KAKENHI grant JP20K04002 and Sumitomo Foundation Grant No. 180322. Technical support and advanced computing resources from the University of Hawaii Information Technology Services Cyberinfrastructure are gratefully acknowledged. This research was done using resources provided by the Open Science Grid [29, 30], which is supported by the NSF award No. 2030508.</t>
  </si>
  <si>
    <t>WOS:001070848601036</t>
  </si>
  <si>
    <t>Sakai, K; Abe, K; Fuke, H; Haino, S; Hams, T; Hasegawa, M; Kim, KC; Lee, MH; Makida, Y; Mitchell, JW; Nishimura, J; Nozaki, M; Orito, R; Ormes, JF; Picot-Clemente, N; Sasaki, M; Seo, ES; Streitmatter, RE; Thakur, N; Yamamoto, A; Yoshida, T; Yoshimura, K</t>
  </si>
  <si>
    <t>Sakai, K.; Abe, K.; Fuke, H.; Haino, S.; Hams, T.; Hasegawa, M.; Kim, K. C.; Lee, M. H.; Makida, Y.; Mitchell, J. W.; Nishimura, J.; Nozaki, M.; Orito, R.; Ormes, J. F.; Picot-Clemente, N.; Sasaki, M.; Seo, E. S.; Streitmatter, R. E.; Thakur, N.; Yamamoto, A.; Yoshida, T.; Yoshimura, K.</t>
  </si>
  <si>
    <t>New result of Antideuteron search in BESS-Polar II</t>
  </si>
  <si>
    <t>High precision cosmic-ray low energy antiproton fluxes reported by BESS-Polar, PAMELA and AMS-02 are consistent with secondary production from interactions of primary cosmic rays with the interstellar medium. This severely constrains the possibility of antiprotons of primary origin such as annihilation or decay of supersymmetric dark matter or evaporation of primordial black holes. In the case of antideuterons, secondary production in collisions is strongly suppressed, especially at low energies, because of the very low production cross-section and strict kinematic requirements compared to antiproton production. The lack of secondary background would imply that there is still plenty of room to search for primary antideuterons from novel production processes. The most sensitive search ever realized was reported by using the BESS flight data obtained during the previous solar minimum period in 1997. By comparison, the BESS-Polar II flight in 2007/2008 accumulated cosmic-ray data in near solar minimum conditions with more than ten times the statistics of BESS97. We will report the result of a new search for antideuterons with unprecedented sensitivity by using BESS-Polar II data.</t>
  </si>
  <si>
    <t>[Sakai, K.; Hams, T.; Mitchell, J. W.; Sasaki, M.; Streitmatter, R. E.; Thakur, N.] NASA Goddard Space Flight Ctr NASA GSFC, Greenbelt, MD 20771 USA; [Abe, K.; Orito, R.] Kobe Univ, Kobe, Hyogo 6578501, Japan; [Fuke, H.; Yoshida, T.] Japan Aerosp Explorat Agcy ISAS JAXA, Inst Space &amp; Astronaut Sci, Sagamihara, Kanagawa 2525210, Japan; [Haino, S.; Makida, Y.; Nozaki, M.; Yamamoto, A.] High Energy Accelerator Res Org KEK, Tsukuba, Ibaraki 3050801, Japan; [Kim, K. C.; Lee, M. H.; Picot-Clemente, N.; Seo, E. S.] Univ Maryland, IPST, College Pk, MD 20742 USA; [Nishimura, J.] Univ Tokyo, Bunkyo, Tokyo 1130033, Japan; [Ormes, J. F.] Univ Denver, Denver, CO 80208 USA; [Yoshimura, K.] Okayama Univ, Okayama, Okayama 7000082, Japan; [Sakai, K.; Hams, T.; Sasaki, M.] Ctr Res &amp; Explorat Space Sci &amp; Technol CRESST, Greenbelt, MD USA; [Abe, K.] Univ Tokyo, Kamioka Observ, ICRR, Hida, Gifu 5061205, Japan; [Haino, S.] Acad Sinica, Inst Phys, Taipei 11529, Taiwan; [Orito, R.] Tokushima Univ, Tokushima, Tokushima 7708502, Japan</t>
  </si>
  <si>
    <t>Kobe University; Japan Aerospace Exploration Agency (JAXA); Institute of Space &amp; Astronautical Science (ISAS); High Energy Accelerator Research Organization (KEK); University System of Maryland; University of Maryland College Park; University of Tokyo; University of Denver; Okayama University; University of Tokyo; Academia Sinica - Taiwan; Tokushima University</t>
  </si>
  <si>
    <t>Sakai, K (corresponding author), NASA Goddard Space Flight Ctr NASA GSFC, Greenbelt, MD 20771 USA.;Sakai, K (corresponding author), Ctr Res &amp; Explorat Space Sci &amp; Technol CRESST, Greenbelt, MD USA.</t>
  </si>
  <si>
    <t>kenichi.sakai@nasa.gov</t>
  </si>
  <si>
    <t>KAKENHI; MEXT-JSPS; U.S. byNASA</t>
  </si>
  <si>
    <t>KAKENHI(Ministry of Education, Culture, Sports, Science and Technology, Japan (MEXT)Japan Society for the Promotion of ScienceGrants-in-Aid for Scientific Research (KAKENHI)); MEXT-JSPS(Ministry of Education, Culture, Sports, Science and Technology, Japan (MEXT)Japan Society for the Promotion of Science); U.S. byNASA</t>
  </si>
  <si>
    <t>The BESS-Polar program is a Japan-United States collaboration, supported in Japan by the Grant-in-Aid 'KAKENHI' for Specially Promoted and Basic Researches, MEXT-JSPS, and in the U.S. byNASA. Balloon flight operations were carried out by the NASA Columbia Scientific Balloon Facility and the National Science Foundation United States Antarctic Program. We would like to express our sincere thanks for their continuous professional support.</t>
  </si>
  <si>
    <t>WOS:001070848601026</t>
  </si>
  <si>
    <t>Santos, NA; Dasso, S; Gulisano, AM; Areso, O; Pereira, M; Asorey, H; Rubinstein, L</t>
  </si>
  <si>
    <t>Santos, N. A.; Dasso, S.; Gulisano, A. M.; Areso, O.; Pereira, M.; Asorey, H.; Rubinstein, L.</t>
  </si>
  <si>
    <t>LAGO Collaboration</t>
  </si>
  <si>
    <t>Observations of the cosmic ray detector at the Argentine Marambio base in the Antarctic Peninsula</t>
  </si>
  <si>
    <t>In March 2019 a Space Weather Laboratory was deployed at Marambio base in the Antarctic Peninsula. The main instrument installed was a cosmic ray detector based on water Cherenkov radiation. This detector is the first permanent Antarctic node of LAGO Collaboration (Latin American Giant Observatory). LAGO Project is an extended Astroparticle Observatory and it is mainly oriented to basic research in three branches of Astroparticle physics: the Extreme Universe, Space Weather phenomena, and Atmospheric Radiation at ground level. LAGO Space Weather program is directed towards the study of how the variations of the flux of secondary cosmic rays at ground level are linked with the heliospheric and geomagnetic modulations. Observations made during 2019 and 2020 are presented here. We analyze the effect of barometric pressure and local temperature in the count rate. The corrected count rate observed with the water Cherenkov detector is compared with observations of Oulu neutron monitor which has similar rigidity cut-off than the Marambio site.</t>
  </si>
  <si>
    <t>[Santos, N. A.; Dasso, S.] Univ Buenos Aires UBA, Fac Ciencias Exactas &amp; Nat FCEN, Dept Ciencias Atmosfera &amp; Oceanos DCAO, Pabellon 2 Intendente Guiraldes 2160, Buenos Aires, Argentina; [Dasso, S.; Gulisano, A. M.; Areso, O.; Pereira, M.; Rubinstein, L.] Univ Buenos Aires, Inst Astron &amp; Fis Espacio IAFE, Consejo Nacl Invest Cient Tecn CONICET, Intendente Guiraldes 2160 Ciudad Univ, Buenos Aires, Argentina; [Dasso, S.; Gulisano, A. M.] Univ Buenos Aires UBA, Fac Ciencias Exactas &amp; Nat FCEN, Dept Fis DF, Pabellon 1 Intendente Guiraldes 2160, Buenos Aires, Argentina; [Gulisano, A. M.] Inst Antartico Argentino, Direcc Nacl Antartico, 25 Mayo 1143, Buenos Aires, Argentina; [Asorey, H.] UNSAM, CONICET, CNEA, Inst Tecnol Detecc &amp; Astroparticulas ITeDA,Ctr, Ave Gen Paz 1499, Buenos Aires, Argentina; [Asorey, H.] Univ Buenos Aires, Fac Ingn, Dept Elect, Lab Acust &amp; Elect LACEAC, Ave Paseo Colon 850, Buenos Aires, Argentina</t>
  </si>
  <si>
    <t>University of Buenos Aires; Instituto de Astronomia y Fisica del Espacio (IAFE); University of Buenos Aires; Consejo Nacional de Investigaciones Cientificas y Tecnicas (CONICET); University of Buenos Aires; Instituto Antartico Argentino; Consejo Nacional de Investigaciones Cientificas y Tecnicas (CONICET); Comision Nacional de Energia Atomica (CNEA); University of Buenos Aires</t>
  </si>
  <si>
    <t>Santos, NA (corresponding author), Univ Buenos Aires UBA, Fac Ciencias Exactas &amp; Nat FCEN, Dept Ciencias Atmosfera &amp; Oceanos DCAO, Pabellon 2 Intendente Guiraldes 2160, Buenos Aires, Argentina.</t>
  </si>
  <si>
    <t>nsantos@at.fcen.uba.ar; sdasso@iafe.uba.ar; adrianagulisano@gmail.com; areso@iafe.uba.ar; matiaspereira@iafe.uba.ar; hernan.asorey@iteda.cnea.gov.ar; lrubinstein@iafe.uba.ar</t>
  </si>
  <si>
    <t>Gulisano, AM/HTQ-2717-2023; Nunez, Luis A/D-3404-2013; Ramírez, Alejandra Vesga/AAU-3074-2021; Gulisano, Adriana M./AAD-9554-2021</t>
  </si>
  <si>
    <t>Nunez, Luis A/0000-0003-4575-5899; Ramírez, Alejandra Vesga/0000-0002-2238-3108; Gulisano, Adriana M./0000-0002-2234-4432</t>
  </si>
  <si>
    <t>Argentianean grants UBACYT (UBA) [PICT-2019-02754]</t>
  </si>
  <si>
    <t>Argentianean grants UBACYT (UBA)</t>
  </si>
  <si>
    <t>The authors acknowledge support from the Argentianean grants UBACYT (UBA) and PICT-2019-02754 (FONCyT-ANPCyT). LAGO collaboration is very grateful to all the participating institutions and The Pierre Auger collaboration for their continuos support. Acknowledgements to the NMDB database, founded under the European Union's FP7 programme for providing data, as well as to the Oulu neutron monitor webpage and the Sodankyla Geophysical Observatory.</t>
  </si>
  <si>
    <t>WOS:001070848602065</t>
  </si>
  <si>
    <t>Stanley, RS; De Kockere, S</t>
  </si>
  <si>
    <t>Stanley, Rose S.; De Kockere, Simon</t>
  </si>
  <si>
    <t>Radar Echo Telescope Collaboration</t>
  </si>
  <si>
    <t>Simulation and Optimisation for the Radar Echo Telescope for Cosmic Rays</t>
  </si>
  <si>
    <t>SHOWERS; ARRAY</t>
  </si>
  <si>
    <t>The SLAC T-576 beam test experiment showed the feasibility of the radar detection technique to probe high-energy particle cascades in dense media. Corresponding particle-level simulations indicate that the radar method has very promising sensitivity to probe the &gt;PeV cosmic neutrino flux. As such, it is crucial to demonstrate the in-situ feasibility of the radar echo method, which is the main goal of the current RET-CR experiment. Although the final goal of the Radar Echo Telescope is to detect cosmic neutrinos, we seek a proof of principle using cosmic-ray air showers penetrating the (high-altitude) Antarctic ice sheet. When an UHECR particle cascade propagates into a high-elevation ice sheet, it produces a dense in-ice cascade of charged particles which can reflect incoming radio waves. Using a surface cosmic-ray detector, the energy and direction of the UHECR can be reconstructed, and as such this constitutes a nearly ideal in-situ test beam to provide the proof of principle for the radar echo technique. RET-CR will consist of a transmitter array, receiver antennas and a surface scintillator plate array. Here we present the simulation efforts for RET-CR performed to optimise the surface array layout and triggering system, which affords an estimate of the expected event rate.</t>
  </si>
  <si>
    <t>[Stanley, Rose S.; De Kockere, Simon] Vrije Univ Brussel, Pl Laan 2, B-1050 Brussels, Belgium</t>
  </si>
  <si>
    <t>Vrije Universiteit Brussel</t>
  </si>
  <si>
    <t>Stanley, RS (corresponding author), Vrije Univ Brussel, Pl Laan 2, B-1050 Brussels, Belgium.</t>
  </si>
  <si>
    <t>Rose.Stanley@vub.be; Simon.De.Kockere@vub.be</t>
  </si>
  <si>
    <t>National Science Foundation [NSF/PHY-2012980, NSF/PHY-2012989]; Flemish Foundation for Scientific Research [FWO-12ZD920N]; European Research Council under the EU-ropean Unions Horizon 2020 research and innovation programme [805486]; Belgian Funds for Scientific Research (FRS-FNRS); NSF [1806923]; NSF CAREER [1752922, 2033500]; U.S. National Science Foundation-EPSCoR (RII Track-2 FEC) [2019597]</t>
  </si>
  <si>
    <t>National Science Foundation(National Science Foundation (NSF)); Flemish Foundation for Scientific Research(FWO); European Research Council under the EU-ropean Unions Horizon 2020 research and innovation programme(European Research Council (ERC)); Belgian Funds for Scientific Research (FRS-FNRS)(Fonds de la Recherche Scientifique - FNRS); NSF(National Science Foundation (NSF)); NSF CAREER(National Science Foundation (NSF)NSF - Office of the Director (OD)); U.S. National Science Foundation-EPSCoR (RII Track-2 FEC)</t>
  </si>
  <si>
    <t>RET-CR is supported by the National Science Foundation under award numbers NSF/PHY-2012980 and NSF/PHY-2012989. This work is also supported by the Flemish Foundation for Scientific Research FWO-12ZD920N, the European Research Council under the EU-ropean Unions Horizon 2020 research and innovation programme (grant agreement No 805486), and the Belgian Funds for Scientific Research (FRS-FNRS). A. Connolly acknowledges support from NSF Award #1806923. S. Wissel was supported by NSF CAREER Awards #1752922 and #2033500. DZB is grateful for support from the U.S. National Science Foundation-EPSCoR (RII Track-2 FEC, award ID 2019597). We express our gratitude to R. Dallier, L. Martin, J-L. Beney and the CODALEMA experiment for providing electronics and hardware to be used in the surface radio stations of RET-CR. Computing resources were provided by the Ohio Supercomputer Center.</t>
  </si>
  <si>
    <t>WOS:001070848603067</t>
  </si>
  <si>
    <t>Stoessl, A</t>
  </si>
  <si>
    <t>Stoessl, A.</t>
  </si>
  <si>
    <t>Searching for cosmic antihelium nuclei with the GAPS experiment</t>
  </si>
  <si>
    <t>At low energies, cosmic antideuterons and antihelium provide an ultra-low background signature of dark matter annihilation, decay, and other beyond the Standard Model phenomena. The General Antiparticle Spectrometer (GAPS) is an Antarctic balloon experiment designed to search for low-energy (0.1-0.3 GeV/n) antinuclei, and is planned to launch in the austral summer of 2022. While optimized for an antideuteron search, GAPS also has unprecedented capabilites for the detection of low-energy antihelium nuclei, utilizing a novel detection technique based on the formation, decay, and annihilation of exotic atoms. The AMS-02 collaboration has recently reported several antihelium nuclei candidate events, which sets GAPS in a unique position to set constraints on the cosmic antihelium flux in an energy region which is essentially free of astrophysical background. In this contribution, we illustrate the capabilities of GAPS to search for cosmic antihelium-3 utilizing complete instrument simulations, event reconstruction, and the inclusion of atmospheric effects. We show that GAPS is capable of setting unprecedented limits on the cosmic antihelium flux, opening a new window on exotic cosmic physics.</t>
  </si>
  <si>
    <t>[Stoessl, A.] Univ Hawaii Manoa, Dept Phys &amp; Astron, Honolulu, HI 96822 USA</t>
  </si>
  <si>
    <t>University of Hawaii System; University of Hawaii Manoa</t>
  </si>
  <si>
    <t>Stoessl, A (corresponding author), Univ Hawaii Manoa, Dept Phys &amp; Astron, Honolulu, HI 96822 USA.</t>
  </si>
  <si>
    <t>NASA APRA grants [NNX17AB44G, NNX17AB45G, NNX17AB46G, NNX17AB47G]; JAXA/ISAS Small Science Program FY2017; Istituto Nazionale di Fisica Nucleare (INFN); Italian Space Agency through ASI INFN [2018-28-HH.0]; National Science Foundation Graduate Research Fellowship [1122374]; National Science Foundation [PHY-1551980, 2030508]; JSPS KAKENHI [JP17H01136, JP19H05198, JP20K04002]; Mitsubishi Foundation Research Grant [2019-10038]; Heising-Simons award [2018-0766]; Sumitomo Foundation [180322]</t>
  </si>
  <si>
    <t>NASA APRA grants; JAXA/ISAS Small Science Program FY2017; Istituto Nazionale di Fisica Nucleare (INFN)(Istituto Nazionale di Fisica Nucleare (INFN)); Italian Space Agency through ASI INFN; National Science Foundation Graduate Research Fellowship(National Science Foundation (NSF)); National Science Foundation(National Science Foundation (NSF)); JSPS KAKENHI(Ministry of Education, Culture, Sports, Science and Technology, Japan (MEXT)Japan Society for the Promotion of ScienceGrants-in-Aid for Scientific Research (KAKENHI)); Mitsubishi Foundation Research Grant; Heising-Simons award; Sumitomo Foundation</t>
  </si>
  <si>
    <t>This work is supported in the U.S. by NASA APRA grants (NNX17AB44G, NNX17AB45G, NNX17AB46G, and NNX17AB47G), in Japan by JAXA/ISAS Small Science Program FY2017, and in Italy by Istituto Nazionale di Fisica Nucleare (INFN) and the Italian Space Agency through ASI INFN agreement No. 2018-28-HH.0: Partecipazione italiana al GAPS -General AntiParticle Spectrometer. F. Rogers is supported by the National Science Foundation Graduate Research Fellowship under Grant No. 1122374. P. von Doetinchem received support from the National Science Foundation under award PHY-1551980. H. Fuke is supported by JSPS KAKENHI grants (JP17H01136 and JP19H05198) and Mitsubishi Foundation Research Grant 2019-10038. K. Perez and M. Xiao are supported by Heising-Simons award 2018-0766. Y. Shimizu receives support from JSPS KAKENHI grant JP20K04002 and Sumitomo Foundation Grant No. 180322. Technical support and advanced computing resources from the University of Hawaii Information Technology Services -Cyberinfrastructure are gratefully acknowledged. This researchwas done using resources provided by the Open Science Grid [21, 22], which is supported by the National Science Foundation award #2030508.</t>
  </si>
  <si>
    <t>WOS:001070848604025</t>
  </si>
  <si>
    <t>Sudvarg, M; Buhler, J; Buckley, J; Chen, WL; Hughes, Z; Ramey, E; Cherry, M; Alnussirat, S; Larm, R; Chungata, CB</t>
  </si>
  <si>
    <t>Sudvarg, Marion; Buhler, Jeremy; Buckley, James; Chen, Wenlei; Hughes, Zachary; Ramey, Emily; Cherry, Michael; Alnussirat, Samer; Larm, Ryan; Chungata, Christofer Berruz</t>
  </si>
  <si>
    <t>ADAPT Collaboration</t>
  </si>
  <si>
    <t>A Fast GRB Source Localization Pipeline for the Advanced Particle-astrophysics Telescope</t>
  </si>
  <si>
    <t>We present a pipeline for fast GRB source localization for the Advanced Particle-astrophysics Telescope. APT records multiple Compton scatterings of incoming photons across 20 CsI detector layers, from which we infer the incident angle of each photon's first scattering to localize its source direction to a circle centered on the vector formed by its first two scatterings. Circles from multiple photons are then intersected to identify their common source direction. Our pipeline, which runs in real time on low-power hardware, uses an efficient tree search to determine the most likely ordering of scatterings for each photon (which cannot be measured due to the coarse time-scale of detection), followed by likelihood-weighted averaging and iterative least-squares refinement to combine all circles into an estimated source direction. Uncertainties in the scattering locations and energy deposits require that our pipeline be robust to high levels of noise. To test our methods, we reconstructed GRB events produced by a Geant4 [1] simulation of APT's detectors paired with a second simulator that models measurement noise induced by the detector hardware. Our methods proved robust against noise and the effects of pair production, producing sub-degree localization for GRBs with fluence 0.3 MeV/cm(2). GRBs with fluence 0.03 MeV/cm(2) provided fewer photons for analysis but could still be localized within 2.5 degrees 68% of the time. Localization time for a 1-second 1.0 MeV/cm(2) GRB, measured on a quad-core, 1.4 GHz ARMv8 processor (Raspberry Pi 3B+), was consistently under 0.2 seconds - fast enough to permit real-time redirection of other instruments for follow-up observations.</t>
  </si>
  <si>
    <t>[Sudvarg, Marion; Buhler, Jeremy; Buckley, James; Chen, Wenlei; Hughes, Zachary; Ramey, Emily; Larm, Ryan; Chungata, Christofer Berruz] Washington Univ St Louis, St Louis, MO 63130 USA; [Chen, Wenlei] Univ Minnesota, Minneapolis, MN USA; [Ramey, Emily] Univ Calif Berkeley, Berkeley, CA USA; [Cherry, Michael; Alnussirat, Samer] Louisiana State Univ, Baton Rouge, LA USA; [Chungata, Christofer Berruz] Univ Bridgeport, Bridgeport, CT USA</t>
  </si>
  <si>
    <t>Washington University (WUSTL); University of Minnesota System; University of Minnesota Twin Cities; University of California System; University of California Berkeley; Louisiana State University System; Louisiana State University; University of Bridgeport</t>
  </si>
  <si>
    <t>Sudvarg, M (corresponding author), Washington Univ St Louis, St Louis, MO 63130 USA.</t>
  </si>
  <si>
    <t>msudvarg@wustl.edu; jbuhler@wustl.edu; buckley@wustl.edu; chen6339@umn.edu; zdhughes@wustl.edu; emily_ramey@berkeley.edu; cherry@lsu.edu; alnussirat1@lsu.edu; l.ryan@wustl.edu; cberruzc@my.bridgeport.edu</t>
  </si>
  <si>
    <t>NASA [80NSSC19K0625, 20-APRA20-0148]; NSF [CNS1763503]; Washington U.'s McDonnell Center for the Space Sciences; Peggy and Steve Fossett Foundation</t>
  </si>
  <si>
    <t>NASA(National Aeronautics &amp; Space Administration (NASA)); NSF(National Science Foundation (NSF)); Washington U.'s McDonnell Center for the Space Sciences; Peggy and Steve Fossett Foundation</t>
  </si>
  <si>
    <t>This work was supported by NASA awards 80NSSC19K0625 and 20-APRA20-0148, NSF award CNS1763503, Washington U.'s McDonnell Center for the Space Sciences, and the Peggy and Steve Fossett Foundation. We are grateful toWashington U. technical staff including Richard Bose, Dana Braun, and Garry Simburger for contributions to the prototype detectors and the Antarctic flight of the APTlite instrument.</t>
  </si>
  <si>
    <t>WOS:001070848604103</t>
  </si>
  <si>
    <t>Walsh, NE</t>
  </si>
  <si>
    <t>Walsh, N. E.</t>
  </si>
  <si>
    <t>SuperTIGER Collaboration</t>
  </si>
  <si>
    <t>SuperTIGER Abundances of Galactic Cosmic Rays for the Atomic Number (Z) Interval 30 to 56</t>
  </si>
  <si>
    <t>NUCLEOSYNTHESIS; ACCELERATION; ELEMENTS; ORIGIN; EJECTA; STARS</t>
  </si>
  <si>
    <t>SuperTIGER (Super Trans-Iron Galactic Element Recorder) is a long-duration-balloon instrument that completed its first Antarctic flight during the 2012-2013 austral summer, spending 55 days at an average float altitude of 125,000 feet. SuperTIGER measured the relative abundances of Galactic cosmic-ray (GCR) nuclei with high statistical precision and well resolved individual element peaks from Ne-10 to Zr-40. SuperTIGER also made exploratory measurements of the relative abundances up to Ba-56. Although the statistics are low for elements heavier than Zr-40, we present preliminary relative abundance measurements of charges Z = 41 - 56 with individual element resolution. GCR measurements up to Zr-40 support a source acceleration model where supernovae in OB associations preferentially accelerate refractory elements that are more readily embedded in interstellar dust grains than volatiles. In addition, injection into the GCR for both refractory and volatile elements appears to follow a charge dependence consistent with their grain sputtering cross sections. Our preliminary measurements of the Z = 41 - 56 range suggest the existence of an alternative GCR source or acceleration model for Z &gt; 40 elements. We report progress in refining this interesting result.</t>
  </si>
  <si>
    <t>[Walsh, N. E.] Washington Univ, Dept Phys, St Louis, MO 63130 USA; [Walsh, N. E.] Washington Univ, McDonnell Ctr Space Sci, St Louis, MO 63130 USA</t>
  </si>
  <si>
    <t>Washington University (WUSTL); Washington University (WUSTL)</t>
  </si>
  <si>
    <t>Walsh, NE (corresponding author), Washington Univ, Dept Phys, St Louis, MO 63130 USA.;Walsh, NE (corresponding author), Washington Univ, McDonnell Ctr Space Sci, St Louis, MO 63130 USA.</t>
  </si>
  <si>
    <t>newalsh@wustl.edu</t>
  </si>
  <si>
    <t>WOS:001070848601023</t>
  </si>
  <si>
    <t>Xiao, MJ</t>
  </si>
  <si>
    <t>Xiao, Mengjiao</t>
  </si>
  <si>
    <t>In Search of Cosmic-Ray Antinuclei from Dark Matter with the GAPS Experiment</t>
  </si>
  <si>
    <t>The General Antiparticle Spectrometer (GAPS) is the first experiment optimized to identify low-energy (less than or similar to 0.25 GeV/n) cosmic antinuclei, in particular antideuterons from dark matter annihilation or decay. The GAPS program will deliver unprecedented sensitivity to cosmic antideuterons, an essentially background-free signature of various dark matter models, as well as a high-statistics antiproton spectrum in the unexplored low-energy range, and leading sensitivity to cosmic antihelium. GAPS is currently under construction. The first Antarctic balloon flight of GAPS is planned for late 2022, and two additional flights are planned for the coming years. Based on measurements of our custom-developed instrument technology, including large-area lithium-drifted silicon (Si(Li)) detectors and a large-acceptance time-of-flight system, as well as detailed instrument simulation and reconstruction studies, we present here the anticipated impact of the GAPS program on dark matter searches. This contribution discusses the current status of cosmic antinuclei studies while focusing on the science potential of GAPS.</t>
  </si>
  <si>
    <t>[Xiao, Mengjiao] MIT, Dept Phys, 77 Massachusetts Ave, Cambridge, MA 02139 USA</t>
  </si>
  <si>
    <t>Xiao, MJ (corresponding author), MIT, Dept Phys, 77 Massachusetts Ave, Cambridge, MA 02139 USA.</t>
  </si>
  <si>
    <t>mjxiao@mit.edu</t>
  </si>
  <si>
    <t>NASA APRA [NNX17AB44G, NNX17AB45G, NNX17AB46G, NNX17AB47G]; JAXA/ISAS Small Science Program; National Science Foundation [PHY1551980, 1122374]; JSPS KAKENHI [JP20K04002, JP17H01136, JP19H05198]; Mitsubishi Foundation Research Grant [2019-10038]; Heising-Simons award [2018-0766]; Sumitomo Foundation [180322]; Istituto Nazionale di Fisica Nucleare (INFN); Italian Space Agency through the ASI INFN [2018-28-HH.0]</t>
  </si>
  <si>
    <t>NASA APRA(National Aeronautics &amp; Space Administration (NASA)); JAXA/ISAS Small Science Program; National Science Foundation(National Science Foundation (NSF)); JSPS KAKENHI(Ministry of Education, Culture, Sports, Science and Technology, Japan (MEXT)Japan Society for the Promotion of ScienceGrants-in-Aid for Scientific Research (KAKENHI)); Mitsubishi Foundation Research Grant; Heising-Simons award; Sumitomo Foundation; Istituto Nazionale di Fisica Nucleare (INFN)(Istituto Nazionale di Fisica Nucleare (INFN)); Italian Space Agency through the ASI INFN</t>
  </si>
  <si>
    <t>This work is supported in the U.S. by NASA APRA grants (NNX17AB44G, NNX17AB45G, NNX17AB46G, and NNX17AB47G) and in Japan by JAXA/ISAS Small Science Program FY2017. P. von Doetinchem received support from the National Science Foundation under award PHY1551980. H. Fuke is supported by JSPS KAKENHI grants (JP17H01136 and JP19H05198) and Mitsubishi FoundationResearch Grant 2019-10038. K. Perez and M. Xiao are supported by Heising-Simons award 2018-0766. F. Rogers is supported through the National Science Foundation Graduate Research Fellowship under Grant No. 1122374. Y. Shimizu receives support from JSPS KAKENHI grant JP20K04002 and Sumitomo Foundation Grant No. 180322. This work is supported in Italy by Istituto Nazionale di Fisica Nucleare (INFN) and by the Italian Space Agency through the ASI INFN agreement no. 2018-28-HH.0: Partecipazione italiana al GAPS -General AntiParticle Spectrometer. The technical support and advanced computing resources from the University of Hawaii Information Technology Services - Cyberinfrastructure are gratefully acknowledged.</t>
  </si>
  <si>
    <t>WOS:001070848604021</t>
  </si>
  <si>
    <t>Nsangue, BTN; Tang, H; Pandong, AN; Xu, LX; Adekunle, DM; Hu, FX</t>
  </si>
  <si>
    <t>Nsangue, Bruno Thierry Nyatchouba; Tang, Hao; Pandong, Achille Njomoue; Xu, Liuxiong; Adekunle, David Micah; Hu, Fuxiang</t>
  </si>
  <si>
    <t>Examining engineering performance of midwater trawl with different horizontal spread ratio, floatage, and weight parameters: A case study of model net for Antarctic krill fisheries</t>
  </si>
  <si>
    <t>INTERNATIONAL JOURNAL OF NAVAL ARCHITECTURE AND OCEAN ENGINEERING</t>
  </si>
  <si>
    <t>Midwater trawl; Antarctic krill; Flume tank; Energy efficiency; Mouth opening</t>
  </si>
  <si>
    <t>CATCH EFFICIENCY; GEAR SHAPE; DRAG; SIMULATION; DESIGN; SPEED; WATER; SIZE</t>
  </si>
  <si>
    <t>It is necessary to investigate the effectiveness of the midwater trawl in reducing fuel consumption and increasing catch performance for the development and improvement of the Antarctic krill fisheries. A 1/ 35 scale trawl model for Antarctic krill fisheries was designed based on modified Tauti's law and tested in a flume tank, and the effects of flow velocity, horizontal spread ratio, sinking force, and the ratio of buoyancy to fishing line weight on its engineering performance were analyzed in this study. The results indicated that the lower flow velocity and the ratio of buoyancy to fishing line weight conducted to the greater hydrodynamic forces and geometrical performances. The higher horizontal spread ratio and sinking force were found to have exhibited the greater drag force, net mouth opening, wing-end spread, bridle angle, net mouth area, swept area, and volume covered by trawl net. It was revealed that the engineering performance of the midwater trawl (minimal ratio between drag and swept area) was efficient when the horizontal spread ratio was at 0.55 (corresponding to the trawl horizontal opening of 64.65 m in full-scale), the sinking force was at 97.96 g (600 kg of full-scale), and the ratio of buoyancy to fishing line weight was at 4.2 and 2.6 compared to those actually used during Antarctic krill fishing. In addition, the study demonstrated that the modification of the horizontal spread ratio, sinking force, and the ratio of buoyancy to fishing line weight can be one alternative to improve the geometrical shape performance of the midwater trawl net that could improve catchability of the trawl net. ?? 2022 Production and hosting by Elsevier B.V. on behalf of Society of Naval Architects of Korea. This is an open access article under the CC BY-NC-ND license (http://creativecommons.org/licenses/by-nc-nd/4.0/).</t>
  </si>
  <si>
    <t>[Nsangue, Bruno Thierry Nyatchouba; Tang, Hao; Xu, Liuxiong] Shanghai Ocean Univ, Coll Marine Sci, Shanghai, Peoples R China; [Tang, Hao; Xu, Liuxiong] Natl Engn Res Ctr Ocean Fisheries, Shanghai, Peoples R China; [Tang, Hao; Xu, Liuxiong] Minist Agr &amp; Rural Affairs, Key Lab Ocean Fisheries Explorat, Shanghai, Peoples R China; [Tang, Hao; Xu, Liuxiong] Shanghai Ocean Univ, Key Lab Sustainable Exploitat Ocean Fisheries Res, Minist Educ, Shanghai, Peoples R China; [Tang, Hao; Xu, Liuxiong] Shanghai Ocean Univ, Ctr Polar Res, Shanghai, Peoples R China; [Pandong, Achille Njomoue] Univ Douala, Lab E3M, Natl High Polytech Sch Douala, Douala, Cameroon; [Adekunle, David Micah] Shanghai Ocean Univ, Coll Fisheries &amp; Life Sci, Shanghai, Peoples R China; [Hu, Fuxiang] Tokyo Univ Marine Sci &amp; Technol, Dept Marine Biosci, Minato ku, Tokyo, Japan</t>
  </si>
  <si>
    <t>Shanghai Ocean University; National Engineering Research Center for Oceanic Fisheries; Ministry of Agriculture &amp; Rural Affairs; Shanghai Ocean University; Shanghai Ocean University; Shanghai Ocean University; Tokyo University of Marine Science &amp; Technology</t>
  </si>
  <si>
    <t>Nsangue, BTN; Tang, H (corresponding author), Shanghai Ocean Univ, Coll Marine Sci, Shanghai, Peoples R China.;Tang, H (corresponding author), Natl Engn Res Ctr Ocean Fisheries, Shanghai, Peoples R China.;Tang, H (corresponding author), Minist Agr &amp; Rural Affairs, Key Lab Ocean Fisheries Explorat, Shanghai, Peoples R China.;Tang, H (corresponding author), Shanghai Ocean Univ, Key Lab Sustainable Exploitat Ocean Fisheries Res, Minist Educ, Shanghai, Peoples R China.;Tang, H (corresponding author), Shanghai Ocean Univ, Ctr Polar Res, Shanghai, Peoples R China.</t>
  </si>
  <si>
    <t>nsanguet@yahoo.fr; htang@shou.edu.cn</t>
  </si>
  <si>
    <t>Tang, Hao/GXH-6097-2022; xu, liu/KCL-1154-2024</t>
  </si>
  <si>
    <t>National Natural Science Foundation of China [31902426]; Shanghai Sailing Program [19YF1419800]; Special Project for the Exploitation and Utilization of Antarctic Biological Resources of Ministry of Agriculture and Rural Affairs [D-8002-18-0097]</t>
  </si>
  <si>
    <t>National Natural Science Foundation of China(National Natural Science Foundation of China (NSFC)); Shanghai Sailing Program; Special Project for the Exploitation and Utilization of Antarctic Biological Resources of Ministry of Agriculture and Rural Affairs</t>
  </si>
  <si>
    <t>This study was financially sponsored by the National Natural Science Foundation of China (Grant No. 31902426), Shanghai Sailing Program (19YF1419800), and the Special Project for the Exploitation and Utilization of Antarctic Biological Resources of Ministry of Agriculture and Rural Affairs (D-8002-18-0097).</t>
  </si>
  <si>
    <t>SOC NAVAL ARCHITECTS KOREA</t>
  </si>
  <si>
    <t>SEOUL</t>
  </si>
  <si>
    <t>SCI &amp; TECHNOL BLDG, RM 508, 635-4, YEOKSAM-DONG, GANGNAM-GU, SEOUL, 135-703, SOUTH KOREA</t>
  </si>
  <si>
    <t>2092-6782</t>
  </si>
  <si>
    <t>2092-6790</t>
  </si>
  <si>
    <t>INT J NAV ARCH OCEAN</t>
  </si>
  <si>
    <t>Int. J. Nav. Archit. Ocean Eng.</t>
  </si>
  <si>
    <t>10.1016/j.ijnaoe.2022.100448</t>
  </si>
  <si>
    <t>Engineering, Marine</t>
  </si>
  <si>
    <t>3D2AN</t>
  </si>
  <si>
    <t>WOS:000829111200007</t>
  </si>
  <si>
    <t>Gorishnya, Y; Shvets, A</t>
  </si>
  <si>
    <t>Andriychuk, M; Antyufeyeva, M; Bagatska, O</t>
  </si>
  <si>
    <t>Gorishnya, Yulia; Shvets, Alisa</t>
  </si>
  <si>
    <t>New Method for Determining the Lower Ionosphere Plasma Density by Tweek-Atmospherics: the Study of Applicability Limits</t>
  </si>
  <si>
    <t>2022 IEEE 2ND UKRAINIAN MICROWAVE WEEK, UKRMW</t>
  </si>
  <si>
    <t>IEEE 2nd Ukrainian Microwave Week (UkrMW)</t>
  </si>
  <si>
    <t>NOV 14-18, 2022</t>
  </si>
  <si>
    <t>Kharkiv, UKRAINE</t>
  </si>
  <si>
    <t>lower ionosphere diagnostic; tweek-atmospherics; ELF - VLF radiowaves; lightning location</t>
  </si>
  <si>
    <t>PROPAGATION</t>
  </si>
  <si>
    <t>Tweek-atmospherics (tweeks), along with radio transmission by VLF radio stations, are used to study the lower ionosphere. The limits for using the new single-position method for determining of electron density in the lower ionosphere by results of analysis of multimodal tweek-atmospherics is studied upon the experimental records. The database accumulated at the Ukrainian Antarctic Station Akademik Vernadsky in 2019 has been used by clustering sources of tweeks. It is shown that the propagation West - East non-reciprocity results in the least attenuation for tweeks arriving from the geomagnetic east. In non-equatorial regions the method discussed can be used up to 10 Mm from receiving point for eastern tweeks and no more than 5 Mm for tweeks from western sector, and for tweeks with other propagation directions these limits lay at roughly 7 Mm from receiving station.</t>
  </si>
  <si>
    <t>[Gorishnya, Yulia; Shvets, Alisa] Natl Acad Sci Ukraine, Ya Usikov Inst Radiophys &amp; Elect, Kharkiv, Ukraine</t>
  </si>
  <si>
    <t>National Academy of Sciences Ukraine; O. Ya. Usikov Institute for Radio Physics &amp; Electronics, National Academy of Sciences of Ukraine</t>
  </si>
  <si>
    <t>Gorishnya, Y (corresponding author), Natl Acad Sci Ukraine, Ya Usikov Inst Radiophys &amp; Elect, Kharkiv, Ukraine.</t>
  </si>
  <si>
    <t>yugorishnya@gmail.com; lsshvts@gmail.com</t>
  </si>
  <si>
    <t>IEEE</t>
  </si>
  <si>
    <t>345 E 47TH ST, NEW YORK, NY 10017 USA</t>
  </si>
  <si>
    <t>979-8-3503-3152-3</t>
  </si>
  <si>
    <t>10.1109/UKRMW58013.2022.10037049</t>
  </si>
  <si>
    <t>BV6KJ</t>
  </si>
  <si>
    <t>WOS:001058645700029</t>
  </si>
  <si>
    <t>Ravi, K; Falkowski, NR; Scales, BS; Akulava, VD; Valentovich, LN; Huffnagle, GB</t>
  </si>
  <si>
    <t>Ravi, Keerthikka; Falkowski, Nicole R.; Scales, Brittan S.; Akulava, Volha D.; Valentovich, Leonid N.; Huffnagle, Gary B.</t>
  </si>
  <si>
    <t>The Psychrotrophic Pseudomonas lundensis, a Non-aeruginosa Pseudomonad, Has a Type III Secretion System of the Ysc Family, Which Is Transcriptionally Active at 37°C</t>
  </si>
  <si>
    <t>MBIO</t>
  </si>
  <si>
    <t>2T.2.5.2; AU1044; Antarctica; M101; M105; Pseudomonas fluorescens; milk; spoilage</t>
  </si>
  <si>
    <t>REGULATOR; VIRULENCE; SALMONELLA; INVASION; ISLANDS; GENES; MILK; SPP.; EXOU</t>
  </si>
  <si>
    <t>The type III secretion system (T3SS) is a needle-like structure found in Gram-negative pathogens that directly delivers virulence factors like toxins and effector molecules into eukaryotic cells. The T3SS is classified into different families according to the type of effector and host. Of these, the Ysc family T3SS, found in Yersinia species and Pseudomonas aeruginosa, confers high virulence to bacteria against eukaryotic hosts. Here, we present the first identification and transcriptional analyses of a Ysc T3SS in a non-aeruginosaPseudomonas species, Pseudomonas lundensis, an environmental psychrotrophic bacterium and important agent of frozen food spoilage. We have identified and sequenced isolates of P. lundensis from three very distinct ecological niches (Antarctic temporary meltwater pond, U.S. supermarket 1% pasteurized milk, and cystic fibrosis lungs) and compared these to previously reported food spoilage isolates in Europe. In this paper, we show that strains of P. lundensis isolated from these diverse environments with ambient temperatures ranging from below freezing to 37 degrees C all possess a Ysc family T3SS secretion system and a T3S effector, ExoU. Using in vitro and in vivo transcriptomics, we show that the T3SS in P. lundensis is transcriptionally active, is expressed more highly at mammalian body temperature (37 degrees C) than 4 degrees C, and has even higher expression levels when colonizing a host environment (mouse intestine). Thus, this Ysc T3SS-expressing psychrotrophic Pseudomonad has an even greater range of growth niches than previously appreciated, including diseased human airways. IMPORTANCE P. lundensis strains have been isolated from environments that are distinct and diverse in both nutrient availability and environmental pressures (cold food spoilage, Antarctic melt ponds, cystic fibrosis lungs). As a species, this bacterium can grow in diverse niches that markedly vary in available nutrients and temperature, and in our study, we show that these various strains share greater than 99% sequence similarity. In addition, all isolates studied here encoded complete homologs of the Ysc family T3SS seen in P. aeruginosa. Until recently, P. aeruginosa has remained as the only Pseudomonas species to have a characterized functional Ysc (Psc) family T3SS. With the identification of a complete Ysc T3SS in P. lundensis that is expressed at 37 degrees C in vivo, it is intriguing to wonder whether this bacterium may indeed have some level of symbiotic activity, of yet unknown type, when consumed by a mammalian host.</t>
  </si>
  <si>
    <t>[Ravi, Keerthikka; Huffnagle, Gary B.] Cellular &amp; Dev Biol, Dept Mol, Ann Arbor, MI USA; [Ravi, Keerthikka; Huffnagle, Gary B.] Univ Michigan, Dept Microbiol &amp; Immunol, Ann Arbor, MI USA; [Falkowski, Nicole R.; Scales, Brittan S.; Huffnagle, Gary B.] Univ Michigan, Div Pulm &amp; Crit Care Med, Ann Arbor, MI USA; [Huffnagle, Gary B.] Univ Michigan, Mary H Weiser Food Allergy Ctr, Ann Arbor, MI USA; [Akulava, Volha D.; Valentovich, Leonid N.] Belarusian State Univ, Fac Biol, Minsk, BELARUS; [Valentovich, Leonid N.] Natl Acad Sci Belarus, Inst Microbiol, Minsk, BELARUS; [Akulava, Volha D.] Norwegian Univ Life Sci, Fac Sci &amp; Technol, As, Norway; [Scales, Brittan S.] Leibniz Inst Balt Sea Res, Rostock, Germany</t>
  </si>
  <si>
    <t>University of Michigan System; University of Michigan; University of Michigan System; University of Michigan; University of Michigan System; University of Michigan; Belarusian State University; National Academy of Sciences of Belarus (NASB); Institute of Microbiology of the National Academy of Sciences of Belarus; Norwegian University of Life Sciences; Leibniz Institut fur Ostseeforschung Warnemunde</t>
  </si>
  <si>
    <t>Huffnagle, GB (corresponding author), Cellular &amp; Dev Biol, Dept Mol, Ann Arbor, MI USA.;Huffnagle, GB (corresponding author), Univ Michigan, Dept Microbiol &amp; Immunol, Ann Arbor, MI USA.;Huffnagle, GB (corresponding author), Univ Michigan, Div Pulm &amp; Crit Care Med, Ann Arbor, MI USA.;Huffnagle, GB (corresponding author), Univ Michigan, Mary H Weiser Food Allergy Ctr, Ann Arbor, MI USA.</t>
  </si>
  <si>
    <t>ghuff@umich.edu</t>
  </si>
  <si>
    <t>Valentovich, Leonid/AGY-7530-2022</t>
  </si>
  <si>
    <t>Valentovich, Leonid/0000-0001-7329-743X; Scales, Brittan/0000-0001-8265-2165; Ravi, Keerthikka/0000-0001-7393-0936</t>
  </si>
  <si>
    <t>NIH [NHLBI R01HL121774, T32HL007749, NIAID R01AI138348]; Mary H. Weiser Food Allergy Center (MHWFAC); Nina and Jerry D. Luptak Endowment of the MHWFAC</t>
  </si>
  <si>
    <t>NIH(United States Department of Health &amp; Human ServicesNational Institutes of Health (NIH) - USA); Mary H. Weiser Food Allergy Center (MHWFAC); Nina and Jerry D. Luptak Endowment of the MHWFAC</t>
  </si>
  <si>
    <t>This work was supported in part by funding provided by NIH grants NHLBI R01HL121774 (G.B.H.), T32HL007749 (B.S.S.), and NIAID R01AI138348 (G.B.H.); the Mary H. Weiser Food Allergy Center (MHWFAC) (G.B.H.); and the Nina and Jerry D. Luptak Endowment of the MHWFAC (G.B.H.).</t>
  </si>
  <si>
    <t>2150-7511</t>
  </si>
  <si>
    <t>mBio</t>
  </si>
  <si>
    <t>JAN-FEB</t>
  </si>
  <si>
    <t>e03869-21</t>
  </si>
  <si>
    <t>10.1128/mbio.03869-21</t>
  </si>
  <si>
    <t>O0OA2</t>
  </si>
  <si>
    <t>WOS:001040888600148</t>
  </si>
  <si>
    <t>Baroni, C; Tenti, M; Bart, PJ; Salvatore, MC; Gasperini, L; Busetti, M; Sauli, C; Stucchi, EM; Tognarelli, A</t>
  </si>
  <si>
    <t>Baroni, Carlo; Tenti, Martina; Bart, Philip J.; Salvatore, Maria Cristina; Gasperini, Luca; Busetti, Martina; Sauli, Chiara; Stucchi, Eusebio Maria; Tognarelli, Andrea</t>
  </si>
  <si>
    <t>ANTARCTIC ICE SHEET RE-ADVANCE DURING THE ANTARCTIC COLD REVERSAL IDENTIFIED IN THE WESTERN ROSS SEA</t>
  </si>
  <si>
    <t>GEOGRAFIA FISICA E DINAMICA QUATERNARIA</t>
  </si>
  <si>
    <t>Drygalski Basin; Seafloor geomorphology; Geophysical data; Deglaciation; Antarctic Cold Reversal; AIS Re-advance; Antarctica</t>
  </si>
  <si>
    <t>SOUTHERN VICTORIA LAND; TERRA-NOVA BAY; HOLOCENE RAISED BEACHES; GLACIAL HISTORY; LAST DEGLACIATION; ADELIE PENGUINS; LATE WISCONSIN; CLIMATE-CHANGE; RETREAT; RECORD</t>
  </si>
  <si>
    <t>Marine geophysical data collected from the Ross Sea continental shelf during several oceanographic expeditions enabled evaluation of the Last Glacial Maximum (LGM) extent of the Antarctic Ice Sheet (AIS) through the presence of large Grounding Zone Wedges (GZWs), particularly evident in the outer reaches of the Drygalski and Joides basins to the north of Coulman Island. Seismo-stratigraphic obser-vations confirmed by geomorphological and stratigraphic data show a deep grounding line embayment dating back to the early deglacial transition, which preceded the last rapid sea-level and atmospheric CO2 rise. In this work, a new reconstruction based on the analysis of mor-pho-bathymetric and seismic reflection data from the middle reaches of the Drygalski Basin shows that the post-LGM retreat was followed by a short-lived re-advance of the grounding line during the Antarctic Cold Reversal (ACR). Evidences include GZWs that partly overprint mega-scale glacial lineations associated with the Coulman Island grounding line, followed by a Holocene retreat phase, which caused the final south-ward withdrawal of the grounded and floating ice. This late re-advance suggests a significant impact on the extent and thickness of the ground-ed ice from relatively small amplitude climate oscillations, able to exert a significant control on the AIS during the latest Pleistocene (i.e. the Last Glacial Termination). Given that the marine-based portion of the AIS in the Ross Sea was sensitive to millennial-scale climate oscillations, this evidence will contribute to clarify how the ice sheet may respond to ongoing and future climate change.</t>
  </si>
  <si>
    <t>[Baroni, Carlo; Salvatore, Maria Cristina; Stucchi, Eusebio Maria; Tognarelli, Andrea] Univ Pisa, Dipartimento Sci Terra, Via St Maria 53, Pisa 56126, PI, Italy; [Baroni, Carlo; Salvatore, Maria Cristina] CNR, Ist Geosci &amp; Georisorse, IGG, Pisa, Italy; [Tenti, Martina] Univ Ca Foscari Venezia, Dipartimento Sci Ambientali Informat &amp; Stat, Via Torino 155, I-30172 Venice, VE, Italy; [Bart, Philip J.] Louisiana State Univ, Dept Geol &amp; Geophys, Baton Rouge, LA USA; [Gasperini, Luca] CNR, Ist Sci Marine Marine Geol, ISMAR, Bologna, Italy; [Busetti, Martina; Sauli, Chiara] Ist Nazl Oceanog &amp; Geofis Sperimentale, OGS, Trieste, Italy</t>
  </si>
  <si>
    <t>University of Pisa; Consiglio Nazionale delle Ricerche (CNR); Istituto di Geoscienze e Georisorse (IGG-CNR); Universita Ca Foscari Venezia; Louisiana State University System; Louisiana State University; Consiglio Nazionale delle Ricerche (CNR); Istituto di Scienze Marine (ISMAR-CNR); Istituto Nazionale di Oceanografia e di Geofisica Sperimentale</t>
  </si>
  <si>
    <t>Baroni, C (corresponding author), Univ Pisa, Dipartimento Sci Terra, Via St Maria 53, Pisa 56126, PI, Italy.;Baroni, C (corresponding author), CNR, Ist Geosci &amp; Georisorse, IGG, Pisa, Italy.</t>
  </si>
  <si>
    <t>carlo.baroni@unipi.it</t>
  </si>
  <si>
    <t>Baroni, Carlo/D-8184-2012; Busetti, Martina/L-5185-2014</t>
  </si>
  <si>
    <t>Baroni, Carlo/0000-0001-5905-4650; Busetti, Martina/0000-0001-7039-3282; Tenti, Martina/0000-0001-7015-0504; /0000-0002-1590-7284</t>
  </si>
  <si>
    <t>Italian National Antarctic Research Programme (PNRA), by the PhD Course on Polar Sciences of the University of Venice Ca Foscari; University of Pisa research grant; PNRA, Italy; NSF, US</t>
  </si>
  <si>
    <t>Italian National Antarctic Research Programme (PNRA), by the PhD Course on Polar Sciences of the University of Venice Ca Foscari; University of Pisa research grant; PNRA, Italy; NSF, US(National Science Foundation (NSF))</t>
  </si>
  <si>
    <t>This study was supported by the Italian National Antarctic Research Programme (PNRA), by the PhD Course on Polar Sciences of the University of Venice Ca Foscari, and by the University of Pisa research grants (C. Baroni, M.C. Salvatore, Ateneo 2017-2020). We wish to thank PNRA, Italy and NSF, US for supporting this research. We are very thankful to George Denton and Massimo Frezzotti who reviewed the manuscript providing relevant suggestions and comments for improving the final version of this paper, which has been carefully revised by a native English speaker.</t>
  </si>
  <si>
    <t>COMITATO GLACIOLOGICO ITALIANO</t>
  </si>
  <si>
    <t>TORINO</t>
  </si>
  <si>
    <t>VIA VALPERGA CALUSO 35, TORINO, 10125, ITALY</t>
  </si>
  <si>
    <t>0391-9838</t>
  </si>
  <si>
    <t>1724-4781</t>
  </si>
  <si>
    <t>GEOGR FIS DIN QUAT</t>
  </si>
  <si>
    <t>Geogr. Fis. Din. Quat.</t>
  </si>
  <si>
    <t>10.4461/GFDQ.2022.45.1</t>
  </si>
  <si>
    <t>Geography, Physical</t>
  </si>
  <si>
    <t>Physical Geography</t>
  </si>
  <si>
    <t>M0MR2</t>
  </si>
  <si>
    <t>WOS:001027147300001</t>
  </si>
  <si>
    <t>Pallamraju, D; Mandal, S; Saha, S; Kumar, S; Pant, TK</t>
  </si>
  <si>
    <t>Pallamraju, D.; Mandal, S.; Saha, S.; Kumar, S.; Pant, T. K.</t>
  </si>
  <si>
    <t>New insights on the precursors to the onset of equatorial plasma irregularity generation</t>
  </si>
  <si>
    <t>2022 URSI REGIONAL CONFERENCE ON RADIO SCIENCE, USRI-RCRS</t>
  </si>
  <si>
    <t>URSI Regional Conference on Radio Science (USRI-RCRS)</t>
  </si>
  <si>
    <t>DEC 01-04, 2022</t>
  </si>
  <si>
    <t>Indore, INDIA</t>
  </si>
  <si>
    <t>SPREAD-F; WAVE CHARACTERISTICS; THERMOSPHERE; DAYGLOW; TEMPERATURE; VARIABILITY; INITIATION</t>
  </si>
  <si>
    <t>This work presents some new findings in terms of the vertical propagation speeds of gravity waves in the daytime as possible precursors to the ESF. These findings have resulted from a new approach of analyzing the radiowave reflections from the ionosphere to obtain the information of gravity waves in the daytime. Also, the typical horizontal gravity wave scale sizes in the daytime that could potentially offer the required perturbation for the ESF generation are also presented.</t>
  </si>
  <si>
    <t>[Pallamraju, D.; Saha, S.; Kumar, S.] Phys Res Lab, Ahmadabad, India; [Mandal, S.] British Antarctic Survey, Cambridge, England; [Saha, S.; Kumar, S.] Indian Inst Technol, Gandhinagar, India; [Pant, T. K.] VSSC, Space Phys Lab, Trivandrum, India</t>
  </si>
  <si>
    <t>Department of Space (DoS), Government of India; Physical Research Laboratory - India; UK Research &amp; Innovation (UKRI); Natural Environment Research Council (NERC); NERC British Antarctic Survey; Indian Institute of Technology System (IIT System); Indian Institute of Technology (IIT) - Gandhinagar; Department of Space (DoS), Government of India; Indian Space Research Organisation (ISRO); Vikram Sarabhai Space Center (VSSC)</t>
  </si>
  <si>
    <t>Pallamraju, D (corresponding author), Phys Res Lab, Ahmadabad, India.</t>
  </si>
  <si>
    <t>978-9-4639-6808-9</t>
  </si>
  <si>
    <t>Telecommunications</t>
  </si>
  <si>
    <t>BV2ZC</t>
  </si>
  <si>
    <t>WOS:001012679400112</t>
  </si>
  <si>
    <t>Glotov, S; Hushtan, K; Koval, N; Diedus, V; Chumak, M; Chumak, V</t>
  </si>
  <si>
    <t>Glotov, S.; Hushtan, K.; Koval, N.; Diedus, V.; Chumak, M.; Chumak, V.</t>
  </si>
  <si>
    <t>A review of species of the genus Mocyta (Coleoptera, Staphylinidae) in Ukraine</t>
  </si>
  <si>
    <t>BIOSYSTEMS DIVERSITY</t>
  </si>
  <si>
    <t>rove beetles; Aleocharinae; Athetini; fauna; morphology; bionomy</t>
  </si>
  <si>
    <t>ROVE BEETLES COLEOPTERA; ALEOCHARINAE; ATHETINI</t>
  </si>
  <si>
    <t>A review of the genus Mocyta Mulsant &amp; Rey, 1874, which is represented in Ukraine; a description of the main morphological features and diagnostic features is made, data on ecological features, seasonal activity of adults, the distribution of representatives of the genus in Ukraine and the world and the keys to identify the species are presented. The information on the distribution of species of the genus Mocyta in the territory of Ukraine has been clarified and significantly supplemented by new findings. The results can be used to address a number of theoretical issues of faunistics, zoogeography, and ecology, as well as in compiling the inventory of the fauna of the Ukrainian Carpathians, for comparative faunal research, in the analysis of species distribution, in biogeographic constructions, studies of faunogenesis, ecological monitoring and prediction of consequences of the influence of human activities on natural ecosystems of the region. The genus Mocyta is a widespread genus, which in terms of the combination of morphological and biological features belongs to the tribe Athetini Casey, 1910 of the subfamily Aleocharinae Fleming, 1821 of the family Staphylinidae Latreille, 1802. There are 26 known species in the fauna of Palearctic, 5 of which (Mocyta clientula, M. fungi fungi, M. fussi, M. orbata, M. orphana) are represented in the fauna of Ukraine. However, it is likely that there are two more species (M. amplicollis and M. negligens), identified for the surrounding areas, for which characteristics and comparative diagnoses have also been provided. This paper is a continuation of the initiated series of reviews of genera and species of the tribe Athetini of the fauna of Ukraine. Taking into account the wide geographical distribution and significant individual variability in size, colour and shape of the spermatheca of representatives of the genus, the identification of the latter presents some significant difficulties.</t>
  </si>
  <si>
    <t>[Glotov, S.; Hushtan, K.] Natl Acad Sci Ukraine, State Museum Nat Hist, Teatralna St 18, UA-79008 Lvov, Ukraine; [Hushtan, K.] Lviv Natl Agr Univ, Zamarstynivska St 167, UA-79068 Lvov, Ukraine; [Koval, N.; Diedus, V.; Chumak, M.; Chumak, V.] Uzhgorod Natl Univ, A Voloshyn St 32, UA-88000 Uzhgorod, Ukraine; [Koval, N.] Uzhansky Natl Nat Pk, Nezalezhnosti St 7, Velykyi Bereznyi, Ukraine; [Glotov, S.] Minist Educ &amp; Sci Ukraine, State Inst Natl Antarctic Sci Ctr, Taras Shevchenko Blvd 16, UA-01601 Kiev, Ukraine</t>
  </si>
  <si>
    <t>National Academy of Sciences Ukraine; State Museum of Natural History of the National Academy of Sciences Ukraine; Lviv National Environmental University; Ministry of Education &amp; Science of Ukraine; Uzhgorod National University; Ministry of Education &amp; Science of Ukraine; State Institution National Antarctic Scientific Center</t>
  </si>
  <si>
    <t>Glotov, S (corresponding author), Natl Acad Sci Ukraine, State Museum Nat Hist, Teatralna St 18, UA-79008 Lvov, Ukraine.;Glotov, S (corresponding author), Minist Educ &amp; Sci Ukraine, State Inst Natl Antarctic Sci Ctr, Taras Shevchenko Blvd 16, UA-01601 Kiev, Ukraine.</t>
  </si>
  <si>
    <t>sergijglotov@gmail.com; nelya.kowal@gmail.com; valeriia.dedus@gmail.com; chumak.vasyl@yahoo.com</t>
  </si>
  <si>
    <t>Chumak, Maksym/0000-0001-7821-017X</t>
  </si>
  <si>
    <t>National Academy of Sciences of Ukraine [0120U101162]</t>
  </si>
  <si>
    <t>National Academy of Sciences of Ukraine</t>
  </si>
  <si>
    <t>This work was supported by the National Academy of Sciences of Ukraine (grant 0120U101162). The work was performed within the framework of the scientific topic Estimation of the biotic diversity of model groups of Arthropoda of the Ukrainian Carpathians with the use of modern information technology.</t>
  </si>
  <si>
    <t>OLES HONCHAR DNIPROPETROVSK NATL UNIV</t>
  </si>
  <si>
    <t>DNIPROPETROVSK</t>
  </si>
  <si>
    <t>PR-KT GAGARINA, 42, DNIPROPETROVSK, 49010, UKRAINE</t>
  </si>
  <si>
    <t>2519-8513</t>
  </si>
  <si>
    <t>2520-2529</t>
  </si>
  <si>
    <t>BIOSYST DIVERSITY</t>
  </si>
  <si>
    <t>Biosyst. Diversity</t>
  </si>
  <si>
    <t>10.15421/012225</t>
  </si>
  <si>
    <t>G1TW3</t>
  </si>
  <si>
    <t>WOS:000987075200004</t>
  </si>
  <si>
    <t>dos Santos, LEF; Gonçalves, VK</t>
  </si>
  <si>
    <t>dos Santos, Leo Evandro Figueiredo; Goncalves, Veronica Korber</t>
  </si>
  <si>
    <t>The Antarctic Treaty System and the International Maritime Organization: institutional interactions</t>
  </si>
  <si>
    <t>MERIDIANO 47-JOURNAL OF GLOBAL STUDIES</t>
  </si>
  <si>
    <t>Antarctica; International Maritime Organization; Institutional interaction; Regimes complex; Marine pollution</t>
  </si>
  <si>
    <t>The work analyzes the process of institutional interaction between the ATS (Antarctic Treaty System) and the International Maritime Organization (IMO), regarding maritime transport and the prevention of pollution from ships in areas under the responsibility of the ATS, based on six elements: the recognition of competence; proficiency and risk dimension; the influence of State Parties; the environmental agenda; legislative convergence; and the suppression of sensitive topics.</t>
  </si>
  <si>
    <t>[dos Santos, Leo Evandro Figueiredo] Univ Fed Rio Grande do Sul, Ctr Polar &amp; Climat, Porto Alegre, RS, Brazil; [Goncalves, Veronica Korber] Univ Fed Rio Grande do Sul, Programa Posgrad Estudos Estrateg Int, Porto Alegre, RS, Brazil</t>
  </si>
  <si>
    <t>Universidade Federal do Rio Grande do Sul; Universidade Federal do Rio Grande do Sul</t>
  </si>
  <si>
    <t>dos Santos, LEF (corresponding author), Univ Fed Rio Grande do Sul, Ctr Polar &amp; Climat, Porto Alegre, RS, Brazil.</t>
  </si>
  <si>
    <t>leoefs@gmail.com; veronica.goncalves@ufrgs.br</t>
  </si>
  <si>
    <t>Korber Gonçalves, Veronica/AFZ-4675-2022</t>
  </si>
  <si>
    <t>Korber Gonçalves, Veronica/0000-0001-7144-4707</t>
  </si>
  <si>
    <t>INST BRASILEIRO RELACOES INT</t>
  </si>
  <si>
    <t>BRASILIA DF</t>
  </si>
  <si>
    <t>CAIXA POSTAL 4400, BRASILIA DF, 70919-970, BRAZIL</t>
  </si>
  <si>
    <t>1518-1219</t>
  </si>
  <si>
    <t>MERIDIANO 47</t>
  </si>
  <si>
    <t>Meridiano 47</t>
  </si>
  <si>
    <t>e23005</t>
  </si>
  <si>
    <t>10.20889/M47e23005</t>
  </si>
  <si>
    <t>International Relations</t>
  </si>
  <si>
    <t>H4XR0</t>
  </si>
  <si>
    <t>WOS:000996014200001</t>
  </si>
  <si>
    <t>Zhao, D; Dou, YK; Yang, B; Guo, XJ</t>
  </si>
  <si>
    <t>Zhao, Di; Dou, Yinke; Yang, Bo; Guo, Xiaojia</t>
  </si>
  <si>
    <t>Underwater fish detection in sonar image based on an improved Faster RCNN</t>
  </si>
  <si>
    <t>2022 9TH INTERNATIONAL FORUM ON ELECTRICAL ENGINEERING AND AUTOMATION, IFEEA</t>
  </si>
  <si>
    <t>9th International Forum on Electrical Engineering and Automation (IFEEA)</t>
  </si>
  <si>
    <t>NOV 04-06, 2022</t>
  </si>
  <si>
    <t>component: fish; deep learning; target detection; Faster RCNN</t>
  </si>
  <si>
    <t>For the efficient detection of underwater fish, this paper proposes a target detection algorithm based on the improved Faster region-based convolutional neural network (iFaster RCNN). On one hand, the proposed algorithm combines feature pyramid network (FPN) with the original Faster RCNN for solving the multi-scale problem in target detection. On the other hand, in order to further enhance the detection accuracy and increase detection speed, Distance- Intersection-over-Union (DIoU) is used to replace Intersection-over-Union (IoU). Experimental results show that, with FPN and DIoU, iFaster RCNN has higher detection accuracy for underwater fish. For comparison purposes, VGG16, MobileNetV2, and ResNet50 netwoks are used as the backbone feature extraction networks of iFaster RCNN. Comparative results prove that ResNet50 performs better than the other two netwoks.</t>
  </si>
  <si>
    <t>[Zhao, Di; Dou, Yinke; Yang, Bo; Guo, Xiaojia] Taiyuan Univ Technol, Coll Elect &amp; Power Engn, Taiyuan, Peoples R China</t>
  </si>
  <si>
    <t>Taiyuan University of Technology</t>
  </si>
  <si>
    <t>Dou, YK (corresponding author), Taiyuan Univ Technol, Coll Elect &amp; Power Engn, Taiyuan, Peoples R China.</t>
  </si>
  <si>
    <t>zd7forever@163.com; douyk8888cn@126.com; 15835702126@163.com; 4946534317@qq.com</t>
  </si>
  <si>
    <t>Guo, Xiaojia/IAN-8457-2023</t>
  </si>
  <si>
    <t>fund of China's Ministry of Natural Resources; Chinese Arctic and Antarctic Administration [IRASCC2020-2022 01-01-01E]</t>
  </si>
  <si>
    <t>fund of China's Ministry of Natural Resources; Chinese Arctic and Antarctic Administration</t>
  </si>
  <si>
    <t>This work was supported by the fund of China's Ministry of Natural Resources. It was also supported by Chinese Arctic and Antarctic Administration (IRASCC2020-2022 01-01-01E)</t>
  </si>
  <si>
    <t>978-1-6654-6421-5</t>
  </si>
  <si>
    <t>10.1109/IFEEA57288.2022.10038226</t>
  </si>
  <si>
    <t>Computer Science, Information Systems; Engineering, Electrical &amp; Electronic; Robotics</t>
  </si>
  <si>
    <t>Computer Science; Engineering; Robotics</t>
  </si>
  <si>
    <t>BV0RL</t>
  </si>
  <si>
    <t>WOS:000976854200069</t>
  </si>
  <si>
    <t>Passos, JG; Soares, LF; Sumida, PYG; Bendia, AG; Nakamura, FM; Pellizari, VH; Signori, CN</t>
  </si>
  <si>
    <t>Passos, Julia Gasparini; Soares, Luiza Ferreira; Gomes Sumida, Paulo Yukio; Bendia, Amanda Goncalves; Nakamura, Fernanda Mancini; Pellizari, Vivian Helena; Signori, Camila Negrao</t>
  </si>
  <si>
    <t>Contribution of chemoautotrophy and heterotrophy to the microbial carbon cycle in the Southwestern Atlantic Ocean</t>
  </si>
  <si>
    <t>OCEAN AND COASTAL RESEARCH</t>
  </si>
  <si>
    <t>Dark carbon fixation; Microbial loop; Marine carbon cycle; Pelagic and benthic microbial processes</t>
  </si>
  <si>
    <t>ANTARCTIC INTERMEDIATE WATER; ORGANIC-MATTER; BACTERIAL PRODUCTION; PROTEIN-SYNTHESIS; SEA SEDIMENTS; SANTOS BASIN; DARK OCEAN; FIXATION; GROWTH; RATES</t>
  </si>
  <si>
    <t>Dark carbon fixation (DCF) is a source of new and labile carbon in the deep ocean, while heterotrophic microbial production (HMP) promotes organic matter transfer through the microbial loop. Despite their ecological relevance, there is a scientific gap regarding the estimates of DCF and HMP in the Southwestern Atlantic Ocean. Thus, the aim of this study was to investigate the spatial distribution of DCF and HMP; their relevance to the ocean carbon cycle; their relationship with environmental parameters and amongst themselves on the upper slope of Santos Basin. The samples were collected at three different water depths and sediment layers aboard the R/V Alpha Crucis in November 2019. DCF and HMP rates were measured by C-14-bicarbonate and H-3-leucine incorporation, respectively, and incubated in the dark. In the water column, DCF rates varied from 1.51 x 10(1) to 3.24 x 10(2) mu g C m(-3) h(-1), which were one to two orders of magnitude lower than the HMP rates, from 1.26 x 10(2) to 1.48 x 10(4) mu g C m(-3) h(-1). In the sediments, the DCF ranged from 1.15 x 10(4) to 1.83 x 10(5) mu g C m(-3) h(-1), while HMP was one to four orders of magnitude lower, 3.22 x 10(1) to 1.56 x 10(3) mu gC m(-3) h(-1). DCF rates were significantly higher in the sediments, due to a higher availability of energy sources than in the oligotrophic water above. The HMP had higher rates in the water column as it is deeply dependent on organic matter derived from photosynthesis. This is the first study to investigate DCF and HMP considering the water column and sediments of the Southwestern Atlantic Ocean, thus contributing to a better understanding of the microbial role in the marine carbon cycle and ecosystem functioning.</t>
  </si>
  <si>
    <t>[Passos, Julia Gasparini; Soares, Luiza Ferreira; Gomes Sumida, Paulo Yukio; Bendia, Amanda Goncalves; Nakamura, Fernanda Mancini; Pellizari, Vivian Helena; Signori, Camila Negrao] Univ Sao Paulo, Inst Oceanog, Praca Oceanog 191, BR-05508120 Sao Paulo, SP, Brazil</t>
  </si>
  <si>
    <t>Passos, JG (corresponding author), Univ Sao Paulo, Inst Oceanog, Praca Oceanog 191, BR-05508120 Sao Paulo, SP, Brazil.</t>
  </si>
  <si>
    <t>jpassos@usp.br</t>
  </si>
  <si>
    <t>; Sumida, Paulo/F-2561-2011; Signori, Camila/E-9377-2015</t>
  </si>
  <si>
    <t>Soares, Luiza/0000-0002-3357-6212; Bendia, Amanda/0000-0003-0042-8990; Sumida, Paulo/0000-0001-7549-4541; Signori, Camila/0000-0001-5259-9332</t>
  </si>
  <si>
    <t>Shell Brasil under the ANP R&amp;D levy as Compromisso de Investimentos com Pesquisa e Desenvolvimento; Federal Agency for the Support and Evaluation of Graduate Education -CAPES; BIOIL Project (Shell Brasil) through Fundacao de Apoio a Universidade de Sao Paulo (FUSP)</t>
  </si>
  <si>
    <t>This research was carried out in association with the ongoing R&amp;D project registered as ANP 21012-0, MARINE LIFE-BMC-OIL AND GAS SEEPS (BIOIL) (Universidade de Sao Paulo/Shell Brasil/ANP) - Avaliacao da Biologia e Geoquimica de Exsudacoes de Oleo e Gas na Costa Sudeste do Brasil, sponsored by Shell Brasil under the ANP R&amp;D levy as Compromisso de Investimentos com Pesquisa e Desenvolvimento. We would like to thank Dr. Flavia Saldanha-Correa, MSc. Mayza Pompeu and MSc. Raissa B. Ramos for their scientific support and we also thank Captain Rezende and R/V Alpha Crucis crew. J.G.P. was supported by Master's fellowships from the Federal Agency for the Support and Evaluation of Graduate Education -CAPES. L.S.F.'s Scientific Initiation fellowship was supported by BIOIL Project (Shell Brasil) through Fundacao de Apoio a Universidade de Sao Paulo (FUSP).</t>
  </si>
  <si>
    <t>INST OCEANOGRAFICO, UNIV SAO PAULO</t>
  </si>
  <si>
    <t>SAO PAULO</t>
  </si>
  <si>
    <t>PRACA DO OCEANOGRAFICO, 191, CIDADE UNIVERSITARIA, SAO PAULO, SP 00000, BRAZIL</t>
  </si>
  <si>
    <t>2675-2824</t>
  </si>
  <si>
    <t>OCEAN COAST RES</t>
  </si>
  <si>
    <t>Ocean Coast. Res.</t>
  </si>
  <si>
    <t>e22044</t>
  </si>
  <si>
    <t>10.1590/2675-2824070.22137jgp</t>
  </si>
  <si>
    <t>E8PW5</t>
  </si>
  <si>
    <t>WOS:000978107000001</t>
  </si>
  <si>
    <t>Arrarte, E; Garmendia, G; Wisniewski, M; Vero, S</t>
  </si>
  <si>
    <t>Arrarte, E.; Garmendia, G.; Wisniewski, M.; Vero, S.</t>
  </si>
  <si>
    <t>Biocontrol activity of Debaryomyces hansenii against blue mold on apple and pear during cold storage</t>
  </si>
  <si>
    <t>AGROCIENCIA URUGUAY</t>
  </si>
  <si>
    <t>apple; pear; biocontrol; postharvest decay; yeasts; Penicillium expansum</t>
  </si>
  <si>
    <t>BIOLOGICAL-CONTROL; POSTHARVEST BIOCONTROL; PENICILLIUM-DIGITATUM; GENETIC DIVERSITY; YEAST; FRUIT; DISEASES; STRAINS; MECHANISMS; DECAY</t>
  </si>
  <si>
    <t>To provide fruit throughout the whole year, maintain quality and reduce spoilage, apples and pears are stored at low temperature. However, the development of rots, caused mainly by Penicillium expansum, cannot be avoided. To prevent fruit losses, biological control has been proposed as a potential alternative. In this work, 16 psychrotrophic, non-pectinolytic Debaryomyces hansenii strains were evaluated in a bioassay for their potential biocontrol against P. expansum rots in apples and pears. Isolates with different degrees of biocontrol effectiveness were further investigated in vitro to elucidate mechanisms of antagonism that may have contributed to biocontrol. No correlation between any of the studied mechanisms and biocontrol activity could be established. One of the isolates, designated F9D, was selected due to its ability to reduce rot incidence in more than 95% in apples and 85% in pears. This strain could be a good candidate for the development of a yeast-based formulation to protect both types of fruit. An ISSR- PCR method was developed for typing the selected strain. This molecular marker could be a useful tool to follow the fate of the strain applied on fruit.</t>
  </si>
  <si>
    <t>[Arrarte, E.] Univ Republica, Fac Quim, DETEMA, Area Fisicoquim, Montevideo, Uruguay; [Garmendia, G.; Vero, S.] Univ Republica, Fac Quim, DEPBIO, Area Microbiol, Montevideo, Uruguay; [Wisniewski, M.] US Dept Agr, Agr Res Serv ARS, Kearneysville, WV USA</t>
  </si>
  <si>
    <t>Universidad de la Republica, Uruguay; Universidad de la Republica, Uruguay</t>
  </si>
  <si>
    <t>Vero, S (corresponding author), Univ Republica, Fac Quim, DEPBIO, Area Microbiol, Montevideo, Uruguay.</t>
  </si>
  <si>
    <t>svero@fq.edu.uy</t>
  </si>
  <si>
    <t>National Commission for Scientific Research (Comision Sectorial de Investigacion Cientifica, CSIC-Uruguay); Uruguayan Antarctic Institute (IAU); PEDECIBA; CYTED</t>
  </si>
  <si>
    <t>This research was supported by the National Commission for Scientific Research (Comision Sectorial de Investigacion Cientifica, CSIC-Uruguay), the Uruguayan Antarctic Institute (IAU), and PEDECIBA and CYTED.</t>
  </si>
  <si>
    <t>UNIV REPUBLICA, FAC AGRONOMIA</t>
  </si>
  <si>
    <t>MONTEVIDEO</t>
  </si>
  <si>
    <t>AV G GARZON, 780, MONTEVIDEO, 12908, URUGUAY</t>
  </si>
  <si>
    <t>1510-0839</t>
  </si>
  <si>
    <t>2301-1548</t>
  </si>
  <si>
    <t>AGROCIENCIA-URUGUAY</t>
  </si>
  <si>
    <t>Agrocienc. Urug.</t>
  </si>
  <si>
    <t>10.31285/AGRO.25.839</t>
  </si>
  <si>
    <t>Agronomy</t>
  </si>
  <si>
    <t>E0UW3</t>
  </si>
  <si>
    <t>WOS:000972800800003</t>
  </si>
  <si>
    <t>Serykh, IV; Sonechkin, DM</t>
  </si>
  <si>
    <t>Serykh, I., V; Sonechkin, D. M.</t>
  </si>
  <si>
    <t>Link of El Nino - Southern Oscillation and Southern Annular Mode as elements of Global Atmospheric Oscillation</t>
  </si>
  <si>
    <t>VESTNIK OF SAINT PETERSBURG UNIVERSITY EARTH SCIENCES</t>
  </si>
  <si>
    <t>Russian</t>
  </si>
  <si>
    <t>El Nino - Southern Oscillation; Antarctic Oscillation; Southern Annular Mode; Global Atmospheric Oscillation; 11-year solar cycle</t>
  </si>
  <si>
    <t>SEA-SURFACE TEMPERATURE; ANTARCTIC OSCILLATION; PACIFIC OCEAN; ICE CORE; ENSO; VARIABILITY; SAM; TELECONNECTIONS; ASSOCIATION; AMPLITUDE</t>
  </si>
  <si>
    <t>Based on the monthly average data of NCEP/NCAR Reanalysis, using a specially developed technique, the interannual variability of the sea level pressure (SLP) anomalies associated with the Global Atmospheric Oscillation (GAO) for the period 1950-2021 was studied. The field of mean deviations of the SLP anomalies during the El Nino - Southern Oscillation (ENSO) from the interannual GAO variability has been calculated. It is shown that the variability of the SLP anomalies during the GAO contains, in addition to the mode associated with the ENSO, also the mode of interannual climatic variability associated with the Antarctic Oscillation (AAO) - the Southern Annular Mode (SAM). It was found that the GAO does not include a part of the SLP anomaly variability associated with El Nino and La Nina events of the Central Pacific type. At all other grid nodes, the field of mean deviations of the SLP anomalies in the ENSO from the GAO has SLP differences slightly different from zero and formally statistically insignificant. This means that in the interannual climatic variability of the SLP associated with the GAO, there are only two modes: ENSO and SAM. With the help of cross-wavelet analysis, the relationships between the ENSO and SAM indices were studied. Negative relationships were found between these indices on fluctuation periods of about 11 years. An analysis of the time series of these indices and the time series of total solar irradiance (TSI) made it possible to put forward a hypothesis about the influence of synchronization and desynchronization of quasi-11-year changes in solar activity and ENSO on the weakening and strengthening of negative relationships between ENSO and SAM at periods of oscillations of about 11 years. Keywords: El Nino - Southern Oscillation, Antarctic Oscillation, Southern Annular Mode, Global Atmospheric Oscillation, 11-year solar cycle.</t>
  </si>
  <si>
    <t>[Serykh, I., V; Sonechkin, D. M.] Russian Acad Sci, Shirshov Inst Oceanol, 36 Nakhimovskiy Pr, Moscow 117997, Russia</t>
  </si>
  <si>
    <t>Russian Academy of Sciences; Shirshov Institute of Oceanology</t>
  </si>
  <si>
    <t>Serykh, IV (corresponding author), Russian Acad Sci, Shirshov Inst Oceanol, 36 Nakhimovskiy Pr, Moscow 117997, Russia.</t>
  </si>
  <si>
    <t>iserykh@ocean.ru; dsonech@yandex.ru</t>
  </si>
  <si>
    <t>Shirshov Institute of Oceanology of the Russian Academy of Sciences [FMWE-2021-0003]</t>
  </si>
  <si>
    <t>Shirshov Institute of Oceanology of the Russian Academy of Sciences(Russian Academy of Sciences)</t>
  </si>
  <si>
    <t>The study was carried out within the framework of the state task of the Shirshov Institute of Oceanology of the Russian Academy of Sciences on topic no. FMWE-2021-0003 Large-scale, wave and eddy ocean processes and the role of the ocean in climate formation: interdecadal evolution of circulation, ocean hydrophysical fields and flows at the ocean-atmosphere boundary in a changing climate.</t>
  </si>
  <si>
    <t>ST PETERSBURG UNIV PRESS</t>
  </si>
  <si>
    <t>ST PETERSBURG</t>
  </si>
  <si>
    <t>6TH LINE VO, 11, ST PETERSBURG, 199004, RUSSIA</t>
  </si>
  <si>
    <t>2541-9668</t>
  </si>
  <si>
    <t>2587-585X</t>
  </si>
  <si>
    <t>VESTN ST PETER U-EAR</t>
  </si>
  <si>
    <t>Vestn. St. Petersb. Univ. Earth Sci.</t>
  </si>
  <si>
    <t>10.21638/spbu07.2022.404</t>
  </si>
  <si>
    <t>D5BL1</t>
  </si>
  <si>
    <t>WOS:000968883700004</t>
  </si>
  <si>
    <t>Miranda, V; Pina, P; Heleno, S; Hong, SG; Lee, H; Vieira, G</t>
  </si>
  <si>
    <t>Miranda, Vasco; Pina, Pedro; Heleno, Sandra; Hong, Soon Gyu; Lee, Hyoungseok; Vieira, Goncalo</t>
  </si>
  <si>
    <t>ASSESSMENT OF ANTARCTIC VEGETATION CLASSIFICATION AS A FUNCTION OF THE SPATIAL RESOLUTION (BARTON AND WEAVER PENINSULAS, KING GEORGE IS.)</t>
  </si>
  <si>
    <t>2022 IEEE INTERNATIONAL GEOSCIENCE AND REMOTE SENSING SYMPOSIUM (IGARSS 2022)</t>
  </si>
  <si>
    <t>IEEE International Symposium on Geoscience and Remote Sensing IGARSS</t>
  </si>
  <si>
    <t>IEEE International Geoscience and Remote Sensing Symposium (IGARSS)</t>
  </si>
  <si>
    <t>JUL 17-22, 2022</t>
  </si>
  <si>
    <t>Kuala Lumpur, MALAYSIA</t>
  </si>
  <si>
    <t>[Miranda, Vasco; Heleno, Sandra] Univ Lisbon, IST, CERENA, Lisbon, Portugal; [Pina, Pedro] Univ Coimbra, DCT, IA, Coimbra, Portugal; [Hong, Soon Gyu; Lee, Hyoungseok] KOPRI, Incheon, South Korea; [Vieira, Goncalo] Univ Lisbon, IGOT, CEG, Lisbon, Portugal</t>
  </si>
  <si>
    <t>Universidade de Lisboa; Universidade de Coimbra; Korea Polar Research Institute (KOPRI); Universidade de Lisboa</t>
  </si>
  <si>
    <t>Miranda, V (corresponding author), Univ Lisbon, IST, CERENA, Lisbon, Portugal.</t>
  </si>
  <si>
    <t>Heleno, Sandra/AAC-4637-2020; Pina, Pedro/B-4879-2008; Vieira, Goncalo/G-5958-2010</t>
  </si>
  <si>
    <t>Heleno, Sandra/0000-0003-1633-0218; Pina, Pedro/0000-0002-3199-7961; Vieira, Goncalo/0000-0001-7611-3464; Miranda, Vasco/0000-0001-9054-5116</t>
  </si>
  <si>
    <t>Fundacao para a Ciencia e a Tecnologia (FCT) [PTDC/EAM-REM/30475/2017, UIDB-P/04028/2020, UIDBP/04434/2020, UIDB-P/00295/2020]; FCT [SFRH/BD/148538/2019]</t>
  </si>
  <si>
    <t>Fundacao para a Ciencia e a Tecnologia (FCT)(Fundacao para a Ciencia e a Tecnologia (FCT)); FCT(Fundacao para a Ciencia e a Tecnologia (FCT))</t>
  </si>
  <si>
    <t>This research has been supported by Fundacao para a Ciencia e a Tecnologia (FCT) through the following grants: PTDC/EAM-REM/30475/2017 (project ALTITUD3), UIDB-P/04028/2020 (CERENA), UIDBP/04434/2020 (IA) and UIDB-P/00295/2020 (CEG). VM also acknowledges FCT the support for his PhD fellowship (SFRH/BD/148538/2019). The logistical and field support by the Portuguese Polar Program (PROPOLAR) and the Korean Polar Research Institute (South Korea) are also warmly thanked.</t>
  </si>
  <si>
    <t>2153-6996</t>
  </si>
  <si>
    <t>978-1-6654-2792-0</t>
  </si>
  <si>
    <t>INT GEOSCI REMOTE SE</t>
  </si>
  <si>
    <t>10.1109/IGARSS46834.2022.9883579</t>
  </si>
  <si>
    <t>Geosciences, Multidisciplinary; Remote Sensing</t>
  </si>
  <si>
    <t>Geology; Remote Sensing</t>
  </si>
  <si>
    <t>BU5YB</t>
  </si>
  <si>
    <t>WOS:000920916603242</t>
  </si>
  <si>
    <t>Liu, LL; Zhai, HF; Dong, XL; Zhao, F</t>
  </si>
  <si>
    <t>Liu, Liling; Zhai, Hanfei; Dong, Xiaolong; Zhao, Fei</t>
  </si>
  <si>
    <t>SEA ICE EXTENT RETRIEVAL WITH KU-BAND ROTATING FAN BEAM SCATTEROMETER DATA</t>
  </si>
  <si>
    <t>sea ice extent; scatterometer; Bayesian method; CSCAT</t>
  </si>
  <si>
    <t>Polar sea ice extent is a key component to a number of global geophysical processes. The unique capability and long record of scatterometer data provide a useful tool for polar sea ice extent retrieval. The Ku-band dual-polarized rotating fan-beam scatterometer onboard the China-France Oceanography Satellite (CFOSAT) launched in 2018 is a good candidate to continue the scatterometer sea ice extent data set of KNMI and OSI SAF. The paper utilizes the Bayesian methodology for sea ice extent retrieval of the CFOSAT scatterometer (CSCAT) data and evaluate the sea ice extent derived from the ice-masked imagery against the Special Sensor Microwave Imager/Sounder (SSMI/S) data set and Advanced Microwave Scanning Radiometer2 (AMSR2) data set during 2019. The results suggest CSCAT sea ice extent correlates well with the AMSR2 over sea ice concentrations (SIC) 25% for Antarctic, but different seasonally dependent correlations for Arctic.</t>
  </si>
  <si>
    <t>[Liu, Liling; Zhai, Hanfei] China Univ Min &amp; Technol Beijing, Sch Mech Elect &amp; Informat Engn, Beijing 100083, Peoples R China; [Dong, Xiaolong] Chinese Acad Sci, Natl Space Sci Ctr, CAS Key Lab Microwave Remote Sensing, Beijing 100190, Peoples R China; [Zhao, Fei] China Acad Space Technol, Qian Xuesen Lab Space Technol, Beijing 100094, Peoples R China</t>
  </si>
  <si>
    <t>China University of Mining &amp; Technology; Chinese Academy of Sciences; National Space Science Center, CAS</t>
  </si>
  <si>
    <t>Liu, LL (corresponding author), China Univ Min &amp; Technol Beijing, Sch Mech Elect &amp; Informat Engn, Beijing 100083, Peoples R China.</t>
  </si>
  <si>
    <t>National Natural Science Foundation of China [41806209]; Fundamental Research Funds for the Central Universities [2022YQJD22]</t>
  </si>
  <si>
    <t>National Natural Science Foundation of China(National Natural Science Foundation of China (NSFC)); Fundamental Research Funds for the Central Universities(Fundamental Research Funds for the Central Universities)</t>
  </si>
  <si>
    <t>This work was supported by the National Natural Science Foundation of China (Grant No. 41806209) and the Fundamental Research Funds for the Central Universities (Grant No. 2022YQJD22).</t>
  </si>
  <si>
    <t>10.1109/IGARSS46834.2022.9883644</t>
  </si>
  <si>
    <t>WOS:000920916603244</t>
  </si>
  <si>
    <t>Zhong, W; Yuan, QQ; Liu, TT; Yue, LW</t>
  </si>
  <si>
    <t>Zhong, Wen; Yuan, Qiangqiang; Liu, Tingting; Yue, Linwei</t>
  </si>
  <si>
    <t>IMPROVING FREEZE/THAW ONSETS RETRIEVAL BY COMBINING SMAP AND AMSR2 BASED ON XGBOOST: A CASE STUDY IN ALASKA</t>
  </si>
  <si>
    <t>freeze/thaw onsets; machine learning; SMAP; AMSR2; Alaska</t>
  </si>
  <si>
    <t>Passive microwave remote sensing can effectively capture the near-surface soil freeze/thaw onsets. Accurately understanding the transition of permafrost freeze/thaw state is helpful for us to respond to climate change in time. In order to improve the retrieval accuracy of freeze/thaw onsets, we propose an XGBoost modeling method that combines SMAP and AMSR2 for freeze/thaw onsets detection. We conducted experiments using data covering Alaska from 2015 to 2020 to demonstrate the effectiveness of our method. The proposed model was applied to the whole study area to obtain the spatial and temporal distribution of freezing periods. During the study period, the shortening of the freezing period has been most evident in 2018-2019. The variation of the freezing period is related to climate anomalies.</t>
  </si>
  <si>
    <t>[Zhong, Wen; Yuan, Qiangqiang] Wuhan Univ, Sch Geodesy &amp; Geomat, Wuhan, Peoples R China; [Liu, Tingting] Wuhan Univ, Chinese Antarctic Ctr Surveying &amp; Mapping, Wuhan, Peoples R China; [Yue, Linwei] China Univ Geosci, Fac Informat Engn, Wuhan, Peoples R China</t>
  </si>
  <si>
    <t>Wuhan University; Wuhan University; China University of Geosciences</t>
  </si>
  <si>
    <t>Zhong, W (corresponding author), Wuhan Univ, Sch Geodesy &amp; Geomat, Wuhan, Peoples R China.</t>
  </si>
  <si>
    <t>Liu, Tingting/HCH-2239-2022</t>
  </si>
  <si>
    <t>10.1109/IGARSS46834.2022.9884884</t>
  </si>
  <si>
    <t>WOS:000920916604001</t>
  </si>
  <si>
    <t>Istomina, L; Heygster, G; Enomoto, H; Ushio, S; Tamura, T; Haas, C</t>
  </si>
  <si>
    <t>Istomina, Larysa; Heygster, Georg; Enomoto, Hiroyuki; Ushio, Shuki; Tamura, Takeshi; Haas, Christian</t>
  </si>
  <si>
    <t>REMOTE SENSING OBSERVATIONS OF MELT PONDS ON TOP OF ANTARCTIC SEA ICE USING SENTINEL-3 DATA</t>
  </si>
  <si>
    <t>remote sensing; Antarctic sea ice; surface melt; optical retrieval; Sentinel-3</t>
  </si>
  <si>
    <t>ALBEDO RETRIEVAL; MERIS DATA; FRACTION</t>
  </si>
  <si>
    <t>Contrary to the sea ice surface melt during Arctic summer, melt ponds on top of the Antarctic sea ice during austral summer are thought to be rare. Their observations are limited to few occasional sightings and no regular dataset is published till now. In this work, we employ an existing remote sensing method which was already applied in the Arctic and for the first time detect potential surface melt areas on top of the Antarctic sea ice at a regional to global scale using Sentinel-3 data. We confirm the occurrence of melt ponds in Lutzow-Holm Bay in the vicinity of the Showa Station observed in situ in January 2017 and detect surface melt in the following years 2018-2020. We also perform global processing of the Antarctic sea ice to detect further regions of potential surface melt.</t>
  </si>
  <si>
    <t>[Istomina, Larysa; Haas, Christian] Alfred Wegener Inst Polar &amp; Marine Res, Bremerhaven, Germany; [Istomina, Larysa; Heygster, Georg] Univ Bremen, Inst Environm Phys, Bremen, Germany; [Enomoto, Hiroyuki; Ushio, Shuki; Tamura, Takeshi] Natl Inst Polar Res, Tokyo, Japan</t>
  </si>
  <si>
    <t>Helmholtz Association; Alfred Wegener Institute, Helmholtz Centre for Polar &amp; Marine Research; University of Bremen; Research Organization of Information &amp; Systems (ROIS); National Institute of Polar Research (NIPR) - Japan</t>
  </si>
  <si>
    <t>Istomina, L (corresponding author), Alfred Wegener Inst Polar &amp; Marine Res, Bremerhaven, Germany.;Istomina, L (corresponding author), Univ Bremen, Inst Environm Phys, Bremen, Germany.</t>
  </si>
  <si>
    <t>German Research Foundation (Deutsche Forschungsgemeinschaft) [SPP 1158, 424326801]</t>
  </si>
  <si>
    <t>German Research Foundation (Deutsche Forschungsgemeinschaft)(German Research Foundation (DFG))</t>
  </si>
  <si>
    <t>This research has been supported by the German Research Foundation (Deutsche Forschungsgemeinschaft), Priority Program Antarctic research, SPP 1158 project REASSESS, grant no. 424326801.</t>
  </si>
  <si>
    <t>10.1109/IGARSS46834.2022.9884159</t>
  </si>
  <si>
    <t>WOS:000920916604014</t>
  </si>
  <si>
    <t>Glaude, Q; Pattyn, F; Barbier, C; Orban, A</t>
  </si>
  <si>
    <t>Glaude, Q.; Pattyn, F.; Barbier, C.; Orban, A.</t>
  </si>
  <si>
    <t>RECENT HIGH SPATIOTEMPORAL-RESOLUTION OBSERVATIONS AND EVOLUTION OF ICE-FLOW FIELDS OVER THE ROI BAUDOUIN ICE SHELF, EAST ANTARCTICA</t>
  </si>
  <si>
    <t>Roi Baudouin; Sentinel-1; Speckle Tracking; Antarctica</t>
  </si>
  <si>
    <t>In contact with the ocean, the Antarctic Ice Sheet (AIS) starts to float and forms ice shelves. These ice shelves have an important role in the AIS stability, acting as active regulators of the upward ice streams. In this article, we extract from four years of Sentinel-1 SAR images ice velocity fields. Using speckle tracking, we determine the ice velocities at high spatial and temporal resolution over the particular case of the Roi Baudouin Ice Shelf - RBIS. The results show the strong influence of ice rises, as well as intra-annual temporal variability, a part being attributable to tides and inverse barometer effect. Apart from these variations, we observe no significant trend in any regions of the RBIS. Nevertheless, and following the recent RBIS calving event, we recommend continuing to monitor the region and observing any potential changes.</t>
  </si>
  <si>
    <t>[Glaude, Q.; Barbier, C.; Orban, A.] Univ Liege, Liege Space Ctr, Angleur, Belgium; [Glaude, Q.; Pattyn, F.] Univ Libre Bruxelles, Lab Glaciol, Brussels, Belgium</t>
  </si>
  <si>
    <t>University of Liege; Universite Libre de Bruxelles</t>
  </si>
  <si>
    <t>Glaude, Q (corresponding author), Univ Liege, Liege Space Ctr, Angleur, Belgium.;Glaude, Q (corresponding author), Univ Libre Bruxelles, Lab Glaciol, Brussels, Belgium.</t>
  </si>
  <si>
    <t>Pattyn, Frank/AAA-9640-2019</t>
  </si>
  <si>
    <t>Pattyn, Frank/0000-0003-4805-5636</t>
  </si>
  <si>
    <t>French community of Belgium; Belgian Science Policy [SR/00/336]; Fondation JaumotteDemoulin et Fonds David et Alice Van Buuren</t>
  </si>
  <si>
    <t>French community of Belgium; Belgian Science Policy(Belgian Federal Science Policy Office); Fondation JaumotteDemoulin et Fonds David et Alice Van Buuren</t>
  </si>
  <si>
    <t>This research is supported by the French community of Belgium in the funding context of a FRIA grant, and carried out in the framework of the MIMO (Monitoring melt where Ice Meets Ocean) project funded by the Belgian Science Policy contracts Nos. SR/00/336. The Fondation JaumotteDemoulin et Fonds David et Alice Van Buuren is also acknowledged for the financial support.</t>
  </si>
  <si>
    <t>10.1109/IGARSS46834.2022.9884587</t>
  </si>
  <si>
    <t>WOS:000920916604016</t>
  </si>
  <si>
    <t>Yang, BJ; Marinsek, S; Li, XW; Liang, S; Gong, C</t>
  </si>
  <si>
    <t>Yang, Bojin; Marinsek, Sebastian; Li, Xinwu; Liang, Shuang; Gong, Chen</t>
  </si>
  <si>
    <t>BLUE ICE AREAS EXTRACTION USING LANDSAT IMAGES BASED ON GOOGLE EARTH ENGINE</t>
  </si>
  <si>
    <t>Blue ice; Grove Mountains; Landsat images; Otsu thresholding method; Google Earth Engine</t>
  </si>
  <si>
    <t>This paper describes an automatic blue ice extent mapping technique in Grove Mountains, East Antarctica, where the key focused area of the Antarctic scientific expedition and many meteorites are distributed. In previous studies, the monitoring of blue ice extent was usually conducted using satellite images with coarse spatial resolution or offline operation, which lowered the description performance of blue ice in detail as well as the efficiency of continent-scale data production. Using Google Earth Engine, we first developed an automated framework that employs Normalized Difference Water Index (NDWI) indices in joint with the Otsu thresholding method to distinguish blue ice areas on Landsat imagery. Taking Grove Mountains as a study case, we further analyzed the annual variability of blue ice extent in the austral summer from 2007 to 2021. The results indicated that the blue ice extent can be automatically detected based on cloud platform and has no significant variability trend in Grove Mountains over the study period fluctuating with an overall average area of 440 similar to 600 km(2). This framework is expected to be used for automated mapping on the whole of Antarctica and other concentrated blue ice areas (e.g., the East Antarctica ice sheet periphery and the Transantarctic Mountains surroundings) in a rapid and efficient manner, which provides guidance on the meteorite recovery and the support of the polar sustainable development goals.</t>
  </si>
  <si>
    <t>[Yang, Bojin; Li, Xinwu; Liang, Shuang; Gong, Chen] Chinese Acad Sci, Aerosp Informat Res Inst, Key Lab Digital Earth Sci, Beijing 100094, Peoples R China; [Yang, Bojin; Li, Xinwu; Liang, Shuang; Gong, Chen] Int Res Ctr Big Data Sustainable Dev Goals, Beijing 100094, Peoples R China; [Yang, Bojin; Marinsek, Sebastian] Univ Chinese Acad Sci, Beijing 100049, Peoples R China; Argentine Antarctic Inst, Buenos Aires, DF, Argentina</t>
  </si>
  <si>
    <t>Yang, BJ (corresponding author), Chinese Acad Sci, Aerosp Informat Res Inst, Key Lab Digital Earth Sci, Beijing 100094, Peoples R China.;Yang, BJ (corresponding author), Int Res Ctr Big Data Sustainable Dev Goals, Beijing 100094, Peoples R China.;Yang, BJ (corresponding author), Univ Chinese Acad Sci, Beijing 100049, Peoples R China.</t>
  </si>
  <si>
    <t>GONG, CHEN/JDW-5727-2023; liang, shuang/JOK-5869-2023</t>
  </si>
  <si>
    <t>National Key Research and Development Program of China [2019YFC1509104]; Joint Project of the Chinese Academy of Science (CAS)</t>
  </si>
  <si>
    <t>National Key Research and Development Program of China; Joint Project of the Chinese Academy of Science (CAS)</t>
  </si>
  <si>
    <t>We thank the Google Earth Engine development team for input and assistance with the API code. This work was supported by the National Key Research and Development Program of China under Grant 2019YFC1509104 and the Joint Project of the Chinese Academy of Science (CAS) entitled Using Earth Observations to Address Ecology and Environment Change in the Pan-Antarctic Cryosphere.</t>
  </si>
  <si>
    <t>10.1109/IGARSS46834.2022.9884344</t>
  </si>
  <si>
    <t>WOS:000920916604034</t>
  </si>
  <si>
    <t>Kar, R; Aksoy, M; Kaurejo, D</t>
  </si>
  <si>
    <t>Kar, Rahul; Aksoy, Mustafa; Kaurejo, Dua</t>
  </si>
  <si>
    <t>RETRIEVING PHYSICAL PROPERTIES OF THE ANTARCTIC FIRN VIA SPACEBORNE MICROWAVE RADIOMETRY</t>
  </si>
  <si>
    <t>radiometry; Antarctic firn; physical properties; remote sensing; Antarctic firn; Concordia; Vostok</t>
  </si>
  <si>
    <t>This paper discusses the retrieval of important physical properties of the Antarctic firn via spaceborne microwave radiometry focusing on Concordia and Vostok stations. Previous studies indicated that microwave radiometer measurements are sensitive to important physical properties of the firn from its surface down to deep isothermal ice. Here we demonstrated how brightness temperature differences measured by spaceborne radiometers over different parts of the Antarctic firn are related to changes in physical properties such as density; thus, retrieval of these properties is possible.</t>
  </si>
  <si>
    <t>[Kar, Rahul; Aksoy, Mustafa; Kaurejo, Dua] SUNY Albany, Dept Elect &amp; Comp Engn, Albany, NY 12222 USA</t>
  </si>
  <si>
    <t>State University of New York (SUNY) System; State University of New York (SUNY) Albany</t>
  </si>
  <si>
    <t>Kar, R (corresponding author), SUNY Albany, Dept Elect &amp; Comp Engn, Albany, NY 12222 USA.</t>
  </si>
  <si>
    <t>kar, Rahul/JXL-9326-2024</t>
  </si>
  <si>
    <t>Aksoy, Mustafa/0000-0001-5452-1862; Kar, Rahul/0000-0003-2570-6037</t>
  </si>
  <si>
    <t>National Science Foundation [1844793]</t>
  </si>
  <si>
    <t>This study is based on the research supported by the National Science Foundation under Grant no.1844793.</t>
  </si>
  <si>
    <t>10.1109/IGARSS46834.2022.9884730</t>
  </si>
  <si>
    <t>WOS:000920916604035</t>
  </si>
  <si>
    <t>Kaurejo, D; Aksoy, M; Kar, R</t>
  </si>
  <si>
    <t>Kaurejo, Dua; Aksoy, Mustafa; Kar, Rahul</t>
  </si>
  <si>
    <t>ANALYSIS OF POLAR FIRN DENSITY AND GRAIN SIZE MODELS USING AVAILABLE DATA</t>
  </si>
  <si>
    <t>In-situ measurements; Antarctic firn; ice models; physical properties</t>
  </si>
  <si>
    <t>This paper provides a brief analysis of existing depth-dependent models of the physical properties of the polar firn using available data for subsurface density and grain radius. Results show that across inland Antarctica, firn density increases exponentially with depth. The density has gaussian fluctuations with negative damping. Grain radius increases linearly with depth for up to a few hundred meters. A standardized dataset for in-situ measurements of density and grain radius is formed and input parameters for their depth-dependent models are summarized in this paper.</t>
  </si>
  <si>
    <t>[Kaurejo, Dua; Aksoy, Mustafa; Kar, Rahul] SUNY Albany, Dept Elect &amp; Comp Engn, Albany, NY 12222 USA</t>
  </si>
  <si>
    <t>Kaurejo, D (corresponding author), SUNY Albany, Dept Elect &amp; Comp Engn, Albany, NY 12222 USA.</t>
  </si>
  <si>
    <t>This study was supported by the National Science Foundation under Grant no. 1844793. All data used in this study was collected from the U.S. Antarctic Program Data Center [15]. The regression study utilized the MATLAB Curve Fitting Toolbox [16].</t>
  </si>
  <si>
    <t>10.1109/IGARSS46834.2022.9883418</t>
  </si>
  <si>
    <t>WOS:000920916604038</t>
  </si>
  <si>
    <t>Miller, JZ; Long, DG; Brodzik, MJ; Hardman, MA</t>
  </si>
  <si>
    <t>Miller, Julie Z.; Long, David G.; Brodzik, Mary J.; Hardman, Molly A.</t>
  </si>
  <si>
    <t>SMAP Enhanced-Resolution Scatterometer and Synthetic Aperture Radar Image Products</t>
  </si>
  <si>
    <t>Soil Moisture Active Passive; scatterometry; synthetic aperture radar; radar backscatter; image reconstruction</t>
  </si>
  <si>
    <t>The MEaSUREs Calibrated Enhanced-Resolution Passive Microwave Daily EASE-Grid 2.0 Brightness Temperature (CETB) Earth Science Data Record and the SMAP Twice-Daily rSIR-Enhanced EASE-Grid 2.0 Brightness Temperature (SETB) Data Set provide an extensive multi-instrument, multi-decadal, time series of global enhanced-resolution microwave radiometer image products. The Earth-based CETB and SETB archives are generated using swath-based multi-frequency microwave brightness temperature (T-B) observations collected by the Nimbus-7 Scanning Multichannel Microwave Radiometer (SMMR), the Special Sensor Microwave/Imager (SSM/I) and Special Sensor Microwave Imager/Sounder (SSMIS) series, the Advanced Microwave Scanning Radiometer-Earth Observing System (AMSR-E), and the Soil Moisture Active Passive (SMAP) microwave radiometer. In this paper, we describe new global SMAP enhanced-resolution scatterometer and synthetic aperture radar (SAR) image products that augment the CETB and SETB archives. Earth-based, morning and evening images are generated using swath-based L-band (1.26 GHz) radar backscatter (sigma(o)) observations and previous developed image reconstruction techniques. The available image products include cylindrical and azimuthal projection scatterometer and SAR sigma(o) images with 1- and 3-day imaging intervals, and azimuthal projection scatterometer so images with an 8-day imaging interval that have been further corrected for incidence and azimuth angle variation over the Greenland and Antarctic ice sheets. These sigma(o) image time series are compatibly-gridded with CETB and SETB T-B image time series to support a wide variety of geophysical applications.</t>
  </si>
  <si>
    <t>Miller, J. Z./0000-0003-1452-1627</t>
  </si>
  <si>
    <t>10.1109/IGARSS46834.2022.9884939</t>
  </si>
  <si>
    <t>WOS:000920916604112</t>
  </si>
  <si>
    <t>Simons, M; Zhong, MY; Minchew, B</t>
  </si>
  <si>
    <t>Simons, Mark; Zhong, Minyan; Minchew, Brent</t>
  </si>
  <si>
    <t>EXPLORING THE DYNAMICS OF ANTARCTIC ICE STREAMS AND ICE SHELVES USING COSMO-SKYMED</t>
  </si>
  <si>
    <t>ice stream; radar; Antarctica</t>
  </si>
  <si>
    <t>We use repeat geodetic imaging of two major ice stream systems in Antarctica (Rutford and Evans Ice Streams) to explore the impact of large ocean tides under the Filchner-Ronne Ice Shelf on the dynamics of the ice shelf/ice stream system. We rely on dense time series of radar image acquisitions from multiple vantage points to construct the full 3D surface displacement time history over time scales of months to years. Our observations come from the COSMO-SkyMed constellation. For Evans Ice Stream, we also use observations from Sentinel 1ab. These time series allow us to evaluate rheological models of ice stream margins and to identify regions of ephemeral sub-shelf grounding. Understanding the sensitivity of such ephemeral pinning points to future thinning of the ice shelf can play an important role in forecasts of the rate of sea level rise over coming decades.</t>
  </si>
  <si>
    <t>[Simons, Mark; Zhong, Minyan] CALTECH, Pasadena, CA 91125 USA; [Minchew, Brent] MIT, Cambridge, MA 02139 USA</t>
  </si>
  <si>
    <t>California Institute of Technology; Massachusetts Institute of Technology (MIT)</t>
  </si>
  <si>
    <t>Simons, M (corresponding author), CALTECH, Pasadena, CA 91125 USA.</t>
  </si>
  <si>
    <t>Simons, Mark/N-4397-2015</t>
  </si>
  <si>
    <t>10.1109/IGARSS46834.2022.9883808</t>
  </si>
  <si>
    <t>WOS:000920916604220</t>
  </si>
  <si>
    <t>Montomoli, F; Brogioni, M; Macelloni, G; Leduc-Leballeur, M; Baldi, M; Martin-Neira, M; Casal, TGD</t>
  </si>
  <si>
    <t>Montomoli, Francesco; Brogioni, Marco; Macelloni, Giovanni; Leduc-Leballeur, Marion; Baldi, Massimo; Martin-Neira, Manuel; Casal, Tania G. D.</t>
  </si>
  <si>
    <t>LONG TERM L-BAND BRIGHTNESS TEMPERATURE OF THE DOMEX-3 EXPERIMENT: IMPROVEMENT OF ABSOLUTE CALIBRATION AND DATA ANALYSIS</t>
  </si>
  <si>
    <t>Calibration; Antarctica; SMOS; Domex</t>
  </si>
  <si>
    <t>Since 2004 ESA has supported the Domex experiment to monitor the emission of the East Antarctic Plateau at Dome C to verify and assess the calibration and stability of SMOS L1 products. The region has been monitored from monthly to yearly scale. This work focuses on the absolute calibration methodology developed for the Domex experiment and its improvements along the experiment's life. The calibrated dataset consisting of almost nine years of brightness temperatures is discussed here. Results were compared with the other L-band datasets over Dome-C, such as SMOS, SMAP and DOMECair 2013.</t>
  </si>
  <si>
    <t>[Montomoli, Francesco; Brogioni, Marco; Macelloni, Giovanni; Leduc-Leballeur, Marion; Baldi, Massimo] IFAC CNR, Sesto Fiorentino, Italy; [Martin-Neira, Manuel; Casal, Tania G. D.] ESA ESTEC, Noordwijk, Netherlands</t>
  </si>
  <si>
    <t>Consiglio Nazionale delle Ricerche (CNR); Istituto di Fisica Applicata Nello Carrara (IFAC-CNR); European Space Agency</t>
  </si>
  <si>
    <t>Montomoli, F (corresponding author), IFAC CNR, Sesto Fiorentino, Italy.</t>
  </si>
  <si>
    <t>Montomoli, Francesco/IXX-0140-2023; Leduc-Leballeur, Marion/AAK-9880-2021</t>
  </si>
  <si>
    <t>Leduc-Leballeur, Marion/0000-0001-7579-7024</t>
  </si>
  <si>
    <t>European Space Agency [4000105872/12/NL/NF]; Italian Antarctic Program -PNRA</t>
  </si>
  <si>
    <t>European Space Agency(European Space Agency); Italian Antarctic Program -PNRA</t>
  </si>
  <si>
    <t>The Domex experiment is supported by the European Space Agency under the contract 4000105872/12/NL/NF and since 2018 carried out in the framework of the 3D -Drilling at Dome C for dielectric measurements of the Italian Antarctic Program -PNRA. The authors want to thanks the entire SMOS L1 team for the suggestions and the support provided.</t>
  </si>
  <si>
    <t>10.1109/IGARSS46834.2022.9883561</t>
  </si>
  <si>
    <t>WOS:000920916607074</t>
  </si>
  <si>
    <t>Teisberg, TO; Schroeder, DM; Broome, AL; Lurie, F; Woo, D</t>
  </si>
  <si>
    <t>Teisberg, Thomas O.; Schroeder, Dustin M.; Broome, Anna L.; Lurie, Franklin; Woo, Dennis</t>
  </si>
  <si>
    <t>DEVELOPMENT OF A UAV-BORNE PULSED ICE-PENETRATING RADAR SYSTEM</t>
  </si>
  <si>
    <t>ice-penetrating radar; UAVs</t>
  </si>
  <si>
    <t>Ice-penetrating radar is the primary geophysical tool for large-scale measurements of the geometry and internal properties of the Antarctic and Greenland Ice Sheets. These low-frequency radar instruments are typically mounted on crewed aircraft or towed behind snowmobiles, both of which introduce significant logistical challenges and costs. The availability of inexpensive, portable, and fully-autonomous uncrewed aerial vehicles (UAVs) promises to reduce the cost, logistical complexity, and risk of collecting ice-penetrating radar data. We introduce a chirped radar system built around a software-defined radio (SDR) that can be carried by a low-cost and easily-transportable fixed-wing UAV. The antennas for the radar are fully integrated with the wings of the UAV and have a usable frequency range from 300-450 MHz. We detail the most critical design challenges and the solutions we have chosen.</t>
  </si>
  <si>
    <t>[Teisberg, Thomas O.; Schroeder, Dustin M.; Broome, Anna L.; Woo, Dennis] Stanford Univ, Dept Elect Engn, Stanford, CA 94305 USA; [Schroeder, Dustin M.] Stanford Univ, Dept Geophys, Stanford, CA 94305 USA; [Lurie, Franklin] Stanford Univ, Stanford, CA 94305 USA</t>
  </si>
  <si>
    <t>Stanford University; Stanford University; Stanford University</t>
  </si>
  <si>
    <t>Teisberg, TO (corresponding author), Stanford Univ, Dept Elect Engn, Stanford, CA 94305 USA.</t>
  </si>
  <si>
    <t>Schroeder, Dustin/0000-0003-1916-3929</t>
  </si>
  <si>
    <t>10.1109/IGARSS46834.2022.9883583</t>
  </si>
  <si>
    <t>WOS:000920916607083</t>
  </si>
  <si>
    <t>Vodickova, P; Suman, J; Benesova, E; Strejcek, M; Neumann-Schaal, M; Cajthaml, T; Ridl, J; Pajer, P; Ulbrich, P; Uhlik, O; Lipovova, P</t>
  </si>
  <si>
    <t>Vodickova, Patricie; Suman, Jachym; Benesova, Eva; Strejcek, Michal; Neumann-Schaal, Meina; Cajthaml, Tomas; Ridl, Jakub; Pajer, Petr; Ulbrich, Pavel; Uhlik, Ondrej; Lipovova, Petra</t>
  </si>
  <si>
    <t>Arthrobacter polaris sp. nov., a new cold-adapted member of the family Micrococcaceae isolated from Antarctic fellfield soil</t>
  </si>
  <si>
    <t>INTERNATIONAL JOURNAL OF SYSTEMATIC AND EVOLUTIONARY MICROBIOLOGY</t>
  </si>
  <si>
    <t>Antarctica; Arthrobacter; cold-adapted microorganisms; Micrococcaceae; whole-genome sequencing</t>
  </si>
  <si>
    <t>RIBOSOMAL-RNA; LIPID-COMPOSITION; BACTERIUM; RHIZOSPHERE; SEQUENCES; DATABASE</t>
  </si>
  <si>
    <t>An aerobic, Gram-stain-positive and non-spore-forming strain, designated C1-1(T), was isolated from a fellfield soil sample collected from frost-sorted polygons on Jane Col, Signy Island, Maritime Antarctic. Cells with a size of 0.65-0.9 x 1.2-1.7 mu m have a flagellar motile apparatus and exhibit a rod-coccus growth cycle. Optimal growth conditions were observed at 15-20 degrees C, pH 7.0 and NaCl concentration up to 0.5 % (w/v) in the medium. The 16S rRNA gene sequence of C1-1(T) showed the highest pairwise similarity of 98.77 % to Arthrobacter glacialis NBRC 113092(T). Phylogenetic trees based on the 16S rRNA and whole-genome sequences revealed that strain C1-1(T) belongs to the genus Arthrobacter and is most closely related to members of the 'Arthrobacter psychrolactophilus group'. The G+C content of genomic DNA was 58.95 mol%. The original and orthologous average nucleotide identities between strain C1-1(T) and A. glacialis NBRC 113092(T) were 77.15 % and 77.38 %, respectively. The digital DNA-DNA relatedness values between strain C1-1(T) and A. glacialis NBRC 113092(T) was 21.6 %. The polar lipid profile was composed mainly of diphosphatidylglycerol, phosphatidylglycerol, phosphatidylinositol and an unidentified glycolipid. The predominant cellular fatty acids were anteiso-C-15:0 (75 %) and anteiso-C-17:0 (15.2 %). Menaquinone MK-9(H-2) (86.4 %) was the major respiratory quinone in strain C1-1(T). The peptidoglycan type was determined as A3 alpha (l-Lys-l-Ala(3); A11.6). Based on all described phylogenetic, physiological and chemotaxonomic characteristics, we propose that strain C1-1(T) (=DSM 112353(T)=CCM 9148T) is the type strain of a novel species Arthrobacter polaris sp. nov.</t>
  </si>
  <si>
    <t>[Vodickova, Patricie; Suman, Jachym; Benesova, Eva; Strejcek, Michal; Ulbrich, Pavel; Uhlik, Ondrej; Lipovova, Petra] Univ Chem &amp; Technol, Fac Food &amp; Biochem Technol, Dept Biochem &amp; Microbiol, Tech 5, Prague 6, Czech Republic; [Neumann-Schaal, Meina] Leibniz Inst DSMZ German Collect Microorganisms &amp;, Bacterial Metabol, Inhoffenstr 7B, D-38124 Braunschweig, Germany; [Cajthaml, Tomas] Charles Univ Prague, Inst Environm Studies, Fac Sci, Benatska 2, Prague 2, Czech Republic; [Cajthaml, Tomas] Czech Acad Sci, Inst Microbiol, Videnska 1083, Prague 4, Czech Republic; [Ridl, Jakub] Czech Acad Sci, Lab Genom &amp; Bioinformat, Inst Mol Genet, Videnska 1083, Prague 4, Czech Republic; [Ridl, Jakub] Charles Univ Prague, Fac Sci, Dept Zool, Vinicna 1594, Prague 2, Czech Republic; [Pajer, Petr] Mil Med Agcy, Mil Hlth Inst, Tychonova 1, Prague 6, Czech Republic</t>
  </si>
  <si>
    <t>University of Chemistry &amp; Technology, Prague; Leibniz Institut fur Deutsche Sammlung von Mikroorganismen und Zellkulturen (DSMZ); Charles University Prague; Czech Academy of Sciences; Institute of Microbiology of the Czech Academy of Sciences; Czech Academy of Sciences; Institute of Molecular Genetics of the Czech Academy of Sciences; Charles University Prague; Military Medical Agency</t>
  </si>
  <si>
    <t>Vodickova, P (corresponding author), Univ Chem &amp; Technol, Fac Food &amp; Biochem Technol, Dept Biochem &amp; Microbiol, Tech 5, Prague 6, Czech Republic.</t>
  </si>
  <si>
    <t>patricie.vodickova@vscht.cz</t>
  </si>
  <si>
    <t>Uhlik, Ondrej/D-3672-2010; Strejcek, Michal/F-7319-2014; Benesova, Eva/ABD-7252-2021; Šuman, Jáchym/AAB-5244-2020; Lipovova, Petra/Q-7187-2017</t>
  </si>
  <si>
    <t>Uhlik, Ondrej/0000-0002-0506-202X; Benesova, Eva/0000-0002-3696-3517; Šuman, Jáchym/0000-0003-1828-8391; Ulbrich, Pavel/0000-0002-9076-8210; Strejcek, Michal/0000-0002-6755-5356; Lipovova, Petra/0000-0003-2275-3479; Ridl, Jakub/0000-0003-2148-3606; Vodickova, Patricie/0000-0002-2441-5038</t>
  </si>
  <si>
    <t>specific university research (MSMT) [21-SVV/2020]; INTER-EXCELLENCE program of the Ministry of Education, Youth and Sports of the Czech Republic [LTAUSA19028]; ELIXIR CZ research infrastructure project (Ministry of Education, Youth and Sports of the Czech Republic) [LM2018131]; Ministry of Defence of the Czech Republic through Long-term organization development plan [907930101413]; Center for Geosphere Dynamics [UNCE/SCI/006]</t>
  </si>
  <si>
    <t>specific university research (MSMT)(Ministry of Education, Youth &amp; Sports - Czech Republic); INTER-EXCELLENCE program of the Ministry of Education, Youth and Sports of the Czech Republic; ELIXIR CZ research infrastructure project (Ministry of Education, Youth and Sports of the Czech Republic); Ministry of Defence of the Czech Republic through Long-term organization development plan; Center for Geosphere Dynamics</t>
  </si>
  <si>
    <t>The research reported herein was financially supported by specific university research (MSMT No 21-SVV/2020) and by the INTER-EXCELLENCE program of the Ministry of Education, Youth and Sports of the Czech Republic under grant no. LTAUSA19028. Further support by the ELIXIR CZ research infrastructure project (Ministry of Education, Youth and Sports of the Czech Republic grant no. LM2018131) is gratefully acknowledged, specifically for access to computing and storage facilities. The whole-genome sequencing part was supported by the Ministry of Defence of the Czech Republic through Long-term organization development plan 907930101413. Institutional funding was provided by the Center for Geosphere Dynamics [UNCE/SCI/006].</t>
  </si>
  <si>
    <t>MICROBIOLOGY SOC</t>
  </si>
  <si>
    <t>14-16 MEREDITH ST, LONDON, ENGLAND</t>
  </si>
  <si>
    <t>1466-5026</t>
  </si>
  <si>
    <t>1466-5034</t>
  </si>
  <si>
    <t>INT J SYST EVOL MICR</t>
  </si>
  <si>
    <t>Int. J. Syst. Evol. Microbiol.</t>
  </si>
  <si>
    <t>10.1099/ijsem.0.005541</t>
  </si>
  <si>
    <t>C6JH8</t>
  </si>
  <si>
    <t>WOS:000962952800005</t>
  </si>
  <si>
    <t>Miskelly, CM; Beauchamp, AJ; Oates, KE</t>
  </si>
  <si>
    <t>Miskelly, Colin M.; Beauchamp, Antony J.; Oates, Kerry E.</t>
  </si>
  <si>
    <t>Changes in the Mana Island, New Zealand, bird community following mouse (Mus musculus) eradication</t>
  </si>
  <si>
    <t>NOTORNIS</t>
  </si>
  <si>
    <t>anticoagulant; bird; brodifacoum; conservation management; ecological restoration; flocoumafen; Mana Island; mouse eradication</t>
  </si>
  <si>
    <t>SUB-ANTARCTIC MARION; HOUSE MICE; PREDATION; POPULATIONS; PETRELS</t>
  </si>
  <si>
    <t>House mice (Mus musculus) have proven to be the most difficult introduced mammal to eradicate from (and keep out of) New Zealand reserves and sanctuaries. Partly as a consequence of this, little is known about how bird communities respond to mouse eradication. Mice were successfully eradicated from 217 ha Mana Island Scientific Reserve, near Wellington, in 1989-90. Five-minute bird count surveys undertaken in spring and autumn before and after mouse eradication revealed that 13 of 22 species were recorded significantly more often after mouse eradication, and just two species were recorded significantly less often following the eradication (and each of these in one only of the two seasons that were compared). Four species had no significant change, and three species showed mixed responses between the two seasons. While the overall pattern was of increased relative bird abundance after mouse eradication, there is limited information on why individual bird species increased during the study period, and whether this was a consequence of mouse eradication. Bird count data revealed that insectivorous passerines may have benefited the most from mouse eradication on Mana Island, suggesting that competition for invertebrate prey was the main impact that mice had on the birds of the island. The use of anticoagulant rodenticides to eradicate mice from Mana Island had little detectable impact on populations of the island's birds.</t>
  </si>
  <si>
    <t>[Miskelly, Colin M.] Museum New Zealand Papa Tongarewa, POB 467, Wellington 6140, New Zealand; [Beauchamp, Antony J.] 17 Bellbird Ave, Onerahi 0110, New Zealand; Enviro Res, RD7 Hamurana, Rotorua 3097, New Zealand</t>
  </si>
  <si>
    <t>Miskelly, CM (corresponding author), Museum New Zealand Papa Tongarewa, POB 467, Wellington 6140, New Zealand.</t>
  </si>
  <si>
    <t>colin.miskelly@tepapa.govt.nz</t>
  </si>
  <si>
    <t>ORNITHOLOGICAL SOC NEW ZEALAND</t>
  </si>
  <si>
    <t>NELSON</t>
  </si>
  <si>
    <t>PO BOX 834, NELSON, 7040, NEW ZEALAND</t>
  </si>
  <si>
    <t>0029-4470</t>
  </si>
  <si>
    <t>1177-7680</t>
  </si>
  <si>
    <t>Ornithology</t>
  </si>
  <si>
    <t>D1XN5</t>
  </si>
  <si>
    <t>WOS:000966720600004</t>
  </si>
  <si>
    <t>Zidarova, R; Hineva, E; Ivanov, P; Dzhembekova, N</t>
  </si>
  <si>
    <t>Zidarova, Ralitsa; Hineva, Elitsa; Ivanov, Plamen; Dzhembekova, Nina</t>
  </si>
  <si>
    <t>Diatom communities on an artificial substratum at two contrasting sites at South Bay, Livingston Island</t>
  </si>
  <si>
    <t>POLISH POLAR RESEARCH</t>
  </si>
  <si>
    <t>Antarctic; Bacillariophyta; marine benthos; colonization</t>
  </si>
  <si>
    <t>KING-GEORGE-ISLAND; MARINE BENTHIC DIATOMS; POTTER COVE; FOOD SOURCE; SP NOV.; COLONIZATION; GENUS; DISTURBANCE; ANTARCTICA; LIGHT</t>
  </si>
  <si>
    <t>We used an artificial substratum (plexiglass tiles) to compare diatom communities at three different depths at two sites differing in their hydrological conditions and glacier melt-water influence. Samples at 1 m depth were taken during early summer in 2018, whereas samples at 3 m and 6.5 m were obtained in late summer 2020. The tiles were submerged for a period of up to 45 days in 2018, and up to 34 days in 2020. Water temperature, salinity, conductivity, oxygen saturation and concentrations, and Secchi depth were measured multiple times at both sites. During late summer of 2020 Photosynthetically Active Radiation (PAR) was also measured at depths of 3, 6.5 and 10 m at both sites. A total of 50 taxa constituted the diatom communities. Colonization and community development followed the same scheme at both sites and at all depths, with an early establishment of the dominant taxa, and a decline in species richness, diversity and evenness indices over the time towards relatively stable low values. Based on the results of PERMANOVA, ANOSIM and SIMPER analyses, diatom communities were site-specific, with 49% dissimilarity between the sites. Mechanical disturbances, such as wave action and ice scouring, as well as depth (and light availability) seemed to be the main factors driving the differences. The motile Navicula aff. perminuta dominated under mechanical disturbances at various light conditions, Navicula glaciei preferred calm shallow waters, and erect diatom growth forms were present in higher numbers in deeper waters with deteriorated light conditions.</t>
  </si>
  <si>
    <t>[Zidarova, Ralitsa; Hineva, Elitsa; Dzhembekova, Nina] Bulgarian Acad Sci, Inst Oceanol, Varna 9000, Bulgaria; [Ivanov, Plamen] Bulgarian Acad Sci, Inst Biodivers &amp; Ecosyst Res, Sofia 1113, Bulgaria</t>
  </si>
  <si>
    <t>Bulgarian Academy of Sciences; Bulgarian Academy of Sciences</t>
  </si>
  <si>
    <t>Zidarova, R (corresponding author), Bulgarian Acad Sci, Inst Oceanol, Varna 9000, Bulgaria.</t>
  </si>
  <si>
    <t>zidarova.r@gmail.com</t>
  </si>
  <si>
    <t>Zidarova, Ralitsa/I-3793-2017; Dzhembekova, Nina/HTN-3019-2023</t>
  </si>
  <si>
    <t>Zidarova, Ralitsa/0000-0002-6451-0099; Dzhembekova, Nina/0000-0001-9620-6422</t>
  </si>
  <si>
    <t>National Center for Polar Studies, Bulgaria [80-10-239/2018, 70.25-175/2019]</t>
  </si>
  <si>
    <t>National Center for Polar Studies, Bulgaria</t>
  </si>
  <si>
    <t>The research was carried out within Contracts 80-10-239/2018 and 70.25-175/2019 with the National Center for Polar Studies, Bulgaria, and logistically supported by the Bulgarian Antarctic Institute. The staff of the St. Kliment Ohridski Bulgarian Antarctic Base on Livingston Island in 2018-2019 and 2019-2020 Antarctic seasons is greatly acknowledged. Special thanks are due to Jordan Todorov, Kamen Nedkov, Nikolay Nikolov, Luchezar Stoimenov, Pavel Vratchev, Dimitar Stoichev, Julian Telijski, and Lyubomir Kenderov, who all gave us a helping hand in the technical equipment transportation, field work preparation, and during field work itself. We thank two anonymous reviewers for their valuable comments and suggestions on this manuscript.</t>
  </si>
  <si>
    <t>POLSKA AKAD NAUK, POLISH ACAD SCIENCES</t>
  </si>
  <si>
    <t>WARSZAWA</t>
  </si>
  <si>
    <t>PL DEFILAD 1, WARSZAWA, 00-901, POLAND</t>
  </si>
  <si>
    <t>0138-0338</t>
  </si>
  <si>
    <t>2081-8262</t>
  </si>
  <si>
    <t>POL POLAR RES</t>
  </si>
  <si>
    <t>Pol. Polar. Res.</t>
  </si>
  <si>
    <t>10.24425/ppr.2022.140366</t>
  </si>
  <si>
    <t>C8DH8</t>
  </si>
  <si>
    <t>WOS:000964154800001</t>
  </si>
  <si>
    <t>Chua, CY; Wong, CMVL; González-Aravena, M; Lavin, P; Cheah, YK</t>
  </si>
  <si>
    <t>Chua, Chuen Yang; Wong, Clemente Michael Vui Ling; Gonzalez-Aravena, Marcelo; Lavin, Paris; Cheah, Yoke Kqueen</t>
  </si>
  <si>
    <t>Proteobacteria, Acidobacteria, and Chloroflexi bacteria from Antarctic soils survive under simulated tropical conditions</t>
  </si>
  <si>
    <t>South Shetland Islands; soil bacterial diversity; simulated tropical conditions</t>
  </si>
  <si>
    <t>NORTHERN VICTORIA LAND; 16S RIBOSOMAL-RNA; DOMINANT BACTERIA; MASSILIA-TIMONAE; GEN. NOV.; DIVERSITY; ISLAND; WATER; MICROORGANISMS; IDENTIFICATION</t>
  </si>
  <si>
    <t>The human movement to and from Antarctica has increased significantly in recent decades, particularly to the South Shetland Islands, King George Island (KGI), and Deception Island (DCI). Such movements may result in unintentional soil transfer to other warmer regions, such as tropical countries. However, the ability of Antarctic bacteria to survive in tropical climates remained unknown. Hence, the objectives of this work were (i) to determine the bacterial diversity of the soils at the study sites on the two islands, and (ii) to determine if simulated tropical-like growth climate conditions would impact overall diversity and increase the abundance of potentially harmful bacteria in the Antarctic soils. KGI and DCI soils were incubated for 12 months under simulated tropical conditions. After 6 and 12-months, samples were collected and subjected to metagenomic DNA extraction, 16S rDNA amplification, sequencing, and alignment analysis. The 12-month denaturing gradient gel electrophoresis (DGGE) analysis revealed changes in fingerprinting patterns and bacterial diversity indices. Following that, bacterial diversity analyses for KGI and DCI soils were undertaken using V3-V4 16S rDNA amplicon sequencing. Major bacterial phyla in KGI and DCI soils comprised Actinobacteria, Proteobacteria, and Verrucomicrobia. Except for Proteobacteria in KGI soils and Acidobacteria and Chloroflexi in DCI soils, most phyla in both soils did not acclimate to simulated tropical conditions. Changes in diversity were also observed at the genus level, with Methylobacterium spp. predominating in both soils after incubation. After the 12-month incubation, the abundance of potentially pathogenic bacteria such as Mycobacterium, Massilia, and Williamsia spp. increased. Overall, there was a loss of bacterial diversity in both Antarctic soils after 12 months, indicating that most bacteria from both islands sampling sites cannot survive well if the soils were accidentally transported into warmer climates.</t>
  </si>
  <si>
    <t>[Chua, Chuen Yang; Wong, Clemente Michael Vui Ling] Univ Malaysia Sabah, Biotechnol Res Inst, Jalan UMS, Kota Kinabalu 88400, Sabah, Malaysia; [Wong, Clemente Michael Vui Ling] Univ Malaya, Natl Antarctic Res Ctr, Kuala Lumpur 50603, Malaysia; [Gonzalez-Aravena, Marcelo] Inst Antartico Chileno, Plaza Munoz Gamero 1055, Punta Arenas, Chile; [Lavin, Paris] Univ Antofagasta, Fac Ciencias Mar &amp; Recursos Biol, Dept Biotecnol, Antofagasta 1270300, Chile; [Cheah, Yoke Kqueen] Univ Putra Malaysia, Fac Med &amp; Hlth Sci, Dept Biomed Sci, Upm Serdang 43400, Selangor Darul, Malaysia</t>
  </si>
  <si>
    <t>Universiti Malaysia Sabah; Universiti Malaya; Universidad de Antofagasta; Universiti Putra Malaysia</t>
  </si>
  <si>
    <t>Wong, CMVL (corresponding author), Univ Malaysia Sabah, Biotechnol Res Inst, Jalan UMS, Kota Kinabalu 88400, Sabah, Malaysia.;Wong, CMVL (corresponding author), Univ Malaya, Natl Antarctic Res Ctr, Kuala Lumpur 50603, Malaysia.</t>
  </si>
  <si>
    <t>michaelw@ums.edu.my</t>
  </si>
  <si>
    <t>Lavin, Paris/0000-0002-8893-526X; Cheah, Yoke Kqueen/0000-0001-9258-3749</t>
  </si>
  <si>
    <t>Universiti Malaysia Sabah's [GKP0038-2021]</t>
  </si>
  <si>
    <t>Universiti Malaysia Sabah's</t>
  </si>
  <si>
    <t>We would like to express our gratitude to the Universiti Malaysia Sabah's GKP0038-2021 External Collaboration Research Grant for funding this study. The authors would also like to thank the INACH staff, particularly Jose Retamales and Marcelo Leppe, for their advice and logistical support in Antarctica. We also thank the reviewers for their constructive comments and suggestions.</t>
  </si>
  <si>
    <t>10.24425/ppr.2022.140365</t>
  </si>
  <si>
    <t>WOS:000964154800002</t>
  </si>
  <si>
    <t>Thorne, DCS; Moreno, B; Indacochea, AG</t>
  </si>
  <si>
    <t>Thorne, Daniela C. S.; Moreno, Bernabe; Indacochea, Aldo G.</t>
  </si>
  <si>
    <t>Growth form classification for sessile suspension feeders and their distribution in Antarctic fjord, King George Island</t>
  </si>
  <si>
    <t>Antarctica; macrozoobenthos; functional morphology; life strategies; soft bottom</t>
  </si>
  <si>
    <t>ADMIRALTY BAY; BENTHIC COMMUNITIES; ANNUAL CYCLE; ICE; ASCIDIANS; DISTURBANCE; SEDIMENTATION; BIODIVERSITY; COMPETITION; GREENLAND</t>
  </si>
  <si>
    <t>Sessile suspension feeders depend primarily on availability of a space to settle and access to the water column. Their sessile nature incapacitates displacement during disturbances thus they rely on their morphology to overcome selective processes. We classified the assemblage of SSF from Mackellar Inlet (King George Island, Antarctica) according to their growth forms (GF) and epibiotic association type, the latter based on direct observation of the epibiotic behaviour of every individual. Organisms that did not comply with any previously established GF were grouped into 'other GF'. Sampling stations were distributed across the fjord following a gradient based primarily on the distance to Domeyko Glacier (inner, middle, outer sections). Seven GF were recognised in the glaciomarine fjord: tree, bush, stalk, mound, flat, runner, and sheet. Four types of epibiotic associations were identified: basibiont, both facultative epibiont and basibiont, facultative epibiont (non-basibiont), and epibiont. Our results showed that the tree GF were found in the inner and middle sections, mound in middle and outer, and flat across all fjord sections. These GF enhanced GF-diversity since they constituted additional substrate for most of the 'other GF' which had primarily an epibiotic strategy. Contrastingly, bush, runner and stalk GF were only found in the outer section of the fjord, thus the most distanced from periglacial disturbances. The GF distribution was consistent with distance to glacier, both in number and strategies. These results highlight the potentialities of the morpho-functional classification applied to Antarctic sessile suspension feeders to help understand their distribution based on adaptive capabilities.</t>
  </si>
  <si>
    <t>[Thorne, Daniela C. S.; Moreno, Bernabe; Indacochea, Aldo G.] Univ Cient Sur, Carrera Biol Marina, Lima 15067, Peru; [Moreno, Bernabe] Polish Acad Sci, Inst Oceanol, Marine Ecol Dept, PL-81712 Sopot, Poland</t>
  </si>
  <si>
    <t>Universidad Cientifica del Sur (CIENTIFICA); Polish Academy of Sciences; Institute of Oceanology of the Polish Academy of Sciences</t>
  </si>
  <si>
    <t>Thorne, DCS (corresponding author), Univ Cient Sur, Carrera Biol Marina, Lima 15067, Peru.</t>
  </si>
  <si>
    <t>thornedaniela@gmail.com</t>
  </si>
  <si>
    <t>Moreno, Bernabe/0000-0002-9751-6307</t>
  </si>
  <si>
    <t>Direccion de Asuntos Antarticos', Ministerio de Relaciones Exteriores (MRE, Peru); Fondo de Tesis 2019</t>
  </si>
  <si>
    <t>This study was part of the project Environmental factors governing the distribution of macrobenthos in Mackellar Inlet, King George Island, Antarctica financed by Direccion de Asuntos Antarticos', Ministerio de Relaciones Exteriores (MRE, Peru) and executed by Universidad Cientifica del Sur (CIENTIFICA) during the Peruvian Antarctic Expedition ANTAR XXIV (austral summer of 2017). The latter provided financial support through Fondo de Tesis 2019. We thank T1 EP Albino Milla and T2 EP Joel Garcia, technical staff of the Compania de Operaciones Antarticas (COA), for their support during fieldwork. We thank the Instituto Geologico, Minero y Metalurgico (INGEMMET), specifically Jose Herrera and Luis Cerpa for providing the granulometric data; and MRE for providing the satellite image. We thank Marcos Tatian for his relevant advice and support during and after the course Taxonomia de Ascidias de la costa Pacifica Sudamericana y de la Antartida, likewise, we thank Piotr Kuklinski for his support in the identification of bryozoans. We extend our thanks to Jose Antonio Arenas, Baslavi Condor-Lujan, Hector Aponte and the two anonymous reviewers for their critical review and valuable help in the improvement of the manuscript. We also acknowledge Jeffrey Mangel (ProDelphinus) and Donna Pringle (Direccion General de Investigacion, Desarrollo e Innovacion, DGIDI, CIENTIFICA) for proofreading the English version of the manuscript and for their useful observations.</t>
  </si>
  <si>
    <t>10.24425/ppr.2022.140364</t>
  </si>
  <si>
    <t>WOS:000964154800004</t>
  </si>
  <si>
    <t>Krsinic, F; Vidjak, O</t>
  </si>
  <si>
    <t>Krsinic, Frano; Vidjak, Olja</t>
  </si>
  <si>
    <t>Copepod community from Arctic to Antarctic: large-scale patterns of naupliar and postnaupliar distribution and abundance in the epipelagic layer revealed by citizen science</t>
  </si>
  <si>
    <t>ACTA ADRIATICA</t>
  </si>
  <si>
    <t>copepods; nauplii; biogeography; latitudinal change; citizen science</t>
  </si>
  <si>
    <t>CALANOID COPEPODS; INTERANNUAL VARIABILITY; MICROSETELLA-NORVEGICA; OITHONA-SIMILIS; SPATIAL CHANGES; NORTH-ATLANTIC; PELAGIC FISH; ZOOPLANKTON; PLANKTON; SEA</t>
  </si>
  <si>
    <t>The use of citizen science and opportunity sampling during commercial or tourist voyages can provide valuable insights into the structuring of the marine plankton community in broad biogeo-graphic areas. With the goal of studying the distribution and abundance of smaller zooplankton using citizen science approach, plankton samples were collected at 33 stations spanning from the Arctic to Antarctic during the cruise of the S/V Croatian Tern (1994-1997), using vertical tows with a 53 mu m mesh size Nansen net in the upper epipelagic layer. In this study, we summarize the observed distribution patterns of planktonic copepods by ontogenetic stages (nauplii, copepodites, adults) and by postnaupliar assemblages (calanoids, oithonids, oncaeids, harpacticoids, cory-caeids), reporting also on the numerical ratio of nauplii to postnaupliar copepods, as an important indicator of the stability of copepod reproduction. The highest abundances of total copepods were found in the northeastern and southeastern Pacific, while the lowest values were found in the Medi-terranean Sea and Southern Ocean. Overall, the copepod community was dominated by naupliar stages, while most postnaupliar assemblages (calanoids, oithonids, and oncaeids) were dominated by copepodites. Spatially, nauplii and postnaupliar oithonids showed similar latitudinal patterns, with both assemblages dominating in high latitudes of temperate zones on both sides of the equator, while contributions of calanoids, oncaeids, and corycaeids increased at lower latitudes. The ratio of nauplii to postnauplii varied from 1.1 to 6.4, and only at five stations was it slightly &lt; 1. Lati-tudinally, the median values of this ratio varied from 1.1 in the marginal Arctic to 3.1 in the South Pacific, with no statistically significant differences among areas. The sudden change in nauplii/postnauplii ratio could signal disturbances in the copepod community, provided that the average values are determined for all marine areas under different productivity conditions.</t>
  </si>
  <si>
    <t>[Krsinic, Frano; Vidjak, Olja] Inst Oceanog &amp; Fisheries, Setaliste I Mestrovica 63, Split 21000, Croatia</t>
  </si>
  <si>
    <t>Croatian Institute of Oceanography &amp; Fisheries (IZOR)</t>
  </si>
  <si>
    <t>Vidjak, O (corresponding author), Inst Oceanog &amp; Fisheries, Setaliste I Mestrovica 63, Split 21000, Croatia.</t>
  </si>
  <si>
    <t>vidjak@izor.hr</t>
  </si>
  <si>
    <t>Vidjak, Olja/AFB-2490-2022</t>
  </si>
  <si>
    <t>Vidjak, Olja/0000-0001-6340-174X</t>
  </si>
  <si>
    <t>INST OCEANOGRAFIJU I RIBARSTVO</t>
  </si>
  <si>
    <t>SPLIT</t>
  </si>
  <si>
    <t>SETALISTE I MESTROVICA 63, SPLIT, 21000, CROATIA</t>
  </si>
  <si>
    <t>0001-5113</t>
  </si>
  <si>
    <t>1846-0453</t>
  </si>
  <si>
    <t>ACTA ADRIAT</t>
  </si>
  <si>
    <t>Acta Adriat.</t>
  </si>
  <si>
    <t>C3IB5</t>
  </si>
  <si>
    <t>WOS:000960882200005</t>
  </si>
  <si>
    <t>Kim, CS; Liu, ZY; Peng, XY; Qin, K; Huang, J; Niu, JJ; Liu, YX; Liu, J; Sun, MJ; Peng, F</t>
  </si>
  <si>
    <t>Kim, Chol Song; Liu, Zhenyu; Peng, Xiaoya; Qin, Kun; Huang, Jun; Niu, Jingjing; Liu, Yixuan; Liu, Jia; Sun, Mingjing; Peng, Fang</t>
  </si>
  <si>
    <t>Paraconexibacter antarcticus sp. nov., a novel actinobacterium isolated from Antarctic tundra soil</t>
  </si>
  <si>
    <t>novel species; phylogenetic analysis; Paraconexibacter antarcticus</t>
  </si>
  <si>
    <t>GEN. NOV.; EMENDED DESCRIPTIONS; HIGHER RANKS; PROPOSAL; SOLIRUBROBACTERALES; BACTERIUM; MEMBERS; UPDATE</t>
  </si>
  <si>
    <t>A Gram-negative, non-motile, aerobic bacterium, named 02- 257T, was isolated from Antarctic soil. The cells are surrounded by relatively thin capsules and were catalase-positive and oxidase-negative cocci. Growth of strain 02- 257T was observed at 4-35 degrees C (optimum, 28-30 degrees C), pH 6.0-8.0 (optimum, pH 6.0) and with 0-1.5% NaCl (optimum, 0 %). Strain 02-257 showed the highest 16S rRNA gene sequence similarity to Paraconexibacter algicola Seoho-28T (95.06 %). Phylogenetic analysis based on 16S rRNA gene sequences indicated that strain 02- 257T is a member of a novel species belonging to the clade formed by members of the genus Paraconexibacter in the family symbolscript The DNA G+C content was 72.9 mol%. Strain 02- 257T contained C16:0- iso (23.0 %), C18:1 omega 9c (13.8 %), C16: 0 (12.5 %) and C17:1 omega 9c-iso (10.8 %) as major cellular fatty acids and menaquinone MK- 7(H4) was detected as the only isoprenoid quinone. Diphosphatidylglycerol, phosphatidylinositol, phosphatidylinositole mannoside, phosphatidylinositole dimannoside, unidentified phosphoglycolipid, unidentified aminophospholipid, two unidentified phospho-lipids, three unidentified aminolipids and six unidentified lipids were the major polar lipids. symbolscript Diaminopimelic acids were the diagnostic diamino acids in the cell- wall peptidoglycan. On the basis of phenotypic, chemotaxonomic and phylogenetic data, strain 02-257T is considered to represent a novel species of the genus symbolscript for which the name symbolscript symbolscript sp. nov. is proposed. The type strain is 02- 257T (=CCTCC AB 2021030T=KCTC 49619T).</t>
  </si>
  <si>
    <t>[Kim, Chol Song; Liu, Zhenyu; Peng, Xiaoya; Qin, Kun; Huang, Jun; Niu, Jingjing; Liu, Yixuan; Liu, Jia; Sun, Mingjing; Peng, Fang] Wuhan Univ, Coll Life Sci, China Ctr Type Culture Collect CCTCC, Wuhan 430072, Peoples R China</t>
  </si>
  <si>
    <t>Peng, F (corresponding author), Wuhan Univ, Coll Life Sci, China Ctr Type Culture Collect CCTCC, Wuhan 430072, Peoples R China.</t>
  </si>
  <si>
    <t>fangpeng2@aliyun.com</t>
  </si>
  <si>
    <t>zhen, wang/KBA-3844-2024; Sun, Mingjing/R-9438-2018; Yixuan, Liu/AAC-8597-2021</t>
  </si>
  <si>
    <t>Sun, Mingjing/0000-0002-7916-394X; Peng, Fang/0000-0002-6357-2378; Kim, Chol Song/0000-0003-2136-4260</t>
  </si>
  <si>
    <t>National Science and Technology Fundamental Resources Investigation Program of China [2021FY100900]; R&amp;D Infrastructure and Facility Development Program of the Ministry of Science and Technology of the People's Republic of China; National Natural Science Foundation of China [IC201706]; Chinese Polar Scientific Strategy Research Fund [NIMR- 2022-8]; [42076230]</t>
  </si>
  <si>
    <t>National Science and Technology Fundamental Resources Investigation Program of China; R&amp;D Infrastructure and Facility Development Program of the Ministry of Science and Technology of the People's Republic of China; National Natural Science Foundation of China(National Natural Science Foundation of China (NSFC)); Chinese Polar Scientific Strategy Research Fund;</t>
  </si>
  <si>
    <t>This work was supported by the National Science and Technology Fundamental Resources Investigation Program of China (2021FY100900), the R &amp; D Infrastructure and Facility Development Program of the Ministry of Science and Technology of the People's Republic of China (Grant No. NIMR- 2022-8), the National Natural Science Foundation of China (Grant No. 42076230), and the Chinese Polar Scientific Strategy Research Fund IC201706.</t>
  </si>
  <si>
    <t>10.1099/ijsem.0.005647</t>
  </si>
  <si>
    <t>A6GS4</t>
  </si>
  <si>
    <t>WOS:000956091900017</t>
  </si>
  <si>
    <t>Lemikhova, L; Nesteruk, S; Somov, A</t>
  </si>
  <si>
    <t>Lemikhova, Liliya; Nesteruk, Sergey; Somov, Andrey</t>
  </si>
  <si>
    <t>Transfer Learning for Few-Shot Plants Recognition: Antarctic Station Greenhouse Use-Case</t>
  </si>
  <si>
    <t>2022 IEEE 31ST INTERNATIONAL SYMPOSIUM ON INDUSTRIAL ELECTRONICS (ISIE)</t>
  </si>
  <si>
    <t>IEEE 31st International Symposium on Industrial Electronics (ISIE)</t>
  </si>
  <si>
    <t>JUN 01-03, 2022</t>
  </si>
  <si>
    <t>Anchorage, AK</t>
  </si>
  <si>
    <t>computer vision; few-shot learning; plant phenotyping; transfer learning; zero-shot learning</t>
  </si>
  <si>
    <t>In this paper, we apply computer vision for plant recognition at the Antarctic station greenhouse, a training facility for future space colonization missions. Our experiments rely on transfer learning and explore the importance of the pre-training data domain. We show that a common approach of using models pre-trained on the Imagenet dataset can be further improved using publicly available domain-specific datasets. The classification results of 17 plant varieties with the ResNet50 model increase the F-score from 75% to 82% using only 3 training images. We also achieve 78% top-3 accuracy without any training data.</t>
  </si>
  <si>
    <t>[Lemikhova, Liliya; Nesteruk, Sergey; Somov, Andrey] Skolkovo Inst Sci &amp; Technol, Moscow, Russia</t>
  </si>
  <si>
    <t>Skolkovo Institute of Science &amp; Technology</t>
  </si>
  <si>
    <t>Lemikhova, L (corresponding author), Skolkovo Inst Sci &amp; Technol, Moscow, Russia.</t>
  </si>
  <si>
    <t>liliya.lemikhova@skoltech.ru; sergei.nesteruk@skoltech.ru; a.somov@skoltech.ru</t>
  </si>
  <si>
    <t>978-1-6654-8240-0</t>
  </si>
  <si>
    <t>10.1109/ISIE51582.2022.9831723</t>
  </si>
  <si>
    <t>Engineering, Industrial; Engineering, Electrical &amp; Electronic</t>
  </si>
  <si>
    <t>BU8EW</t>
  </si>
  <si>
    <t>WOS:000946662000112</t>
  </si>
  <si>
    <t>Kucera, J; Hájek, J; Barták, M; Srámek, V</t>
  </si>
  <si>
    <t>Kucera, Jiri; Hajek, Josef; Bartak, Milos; Sramek, Vit</t>
  </si>
  <si>
    <t>Interannual variation of soil heat flux in a grass-dominated alpine tundra. Preliminary study from the Jesen?ky Mts.</t>
  </si>
  <si>
    <t>CZECH POLAR REPORTS</t>
  </si>
  <si>
    <t>alpine ecosystems; thermal regime; grassland; Nardus sp; Pinus mugo</t>
  </si>
  <si>
    <t>SURFACE-ENERGY BALANCE; RADIATION</t>
  </si>
  <si>
    <t>Soil heat flux (G) is an important component of the surface energy balance of terrestrial ecosystems. In polar and alpine tundra, G enters the subsurface layers during summer and relatively high G is released from soil during winter. Measuring of energy cycle in polar and alpine treeless ecosystems is challenging due to complex physics of seasonal changes associated with freeze-thaw cycle. That is why field data on G are much less abundant compared to the other World regions. In our 2 year study, we quantified soil heat flux in two alpine plots differing in the characteristics of vegetation cover. The first one was a wind-swept alpine grassland, while the other one was the same vegetation cover localized in a close neighbourhood of a patchy Pinus mugo stand. Our results suggest that both sites had similar yearly time courses of G with peak values of the heat flux to the soil recorded in spring season after the snow melt (April/May). Maxima of heat flux from the soil were found in the December-January period. In summer season (April-October), proportion of G to global radiation (R) reached low values, typically below 10%. Regression analysis revealed that in spite of similar vegetation cover and microrelief of the two study plots, the site neighbouring to the P. mugo stand responded to R more sensitively than the open plot dominated by a grassland community exclusive-ly. Data recorded and the relationships presented in the paper are discussed with the results of similar studies performed in polar and treeless alpine regions.</t>
  </si>
  <si>
    <t>[Kucera, Jiri] Environm Measuring Syst, Kocianka 85-39, Brno 61200, Czech Republic; [Hajek, Josef; Bartak, Milos] Masaryk Univ, Fac Sci, Dept Expt Biol, Lab Photosynthet Proc, Kamenice 5, Brno 62500, Czech Republic; [Hajek, Josef] Mendel Univ Brno, Fac Forestry &amp; Wood Technol, Dept Forest Protect &amp; Wildlife Management FFWT, Zemedelska 3, Brno 61300, Czech Republic; [Sramek, Vit] Forestry &amp; Game Management Res Inst, Strnady 136,252 02 Zbraslav Jiloviste, CZ-15600 Prague, Czech Republic</t>
  </si>
  <si>
    <t>Masaryk University Brno; Mendel University in Brno; Forestry &amp; Game Management Research Institute</t>
  </si>
  <si>
    <t>Barták, M (corresponding author), Masaryk Univ, Fac Sci, Dept Expt Biol, Lab Photosynthet Proc, Kamenice 5, Brno 62500, Czech Republic.</t>
  </si>
  <si>
    <t>mbartak@sci.muni.cz</t>
  </si>
  <si>
    <t>Sramek, Vit/JBR-8790-2023; Hájek, Josef/F-4694-2019; Barták, Miloš/F-4714-2019</t>
  </si>
  <si>
    <t>Hájek, Josef/0000-0002-2679-1707;</t>
  </si>
  <si>
    <t>Czech Antarctic Research Infrastrucure, Czech Ministry of Education, Youth and Sports, Czech Republic; Project ECOPOLARIS [CZ.02.1.01/0.0/0.0/16_013/0001708]</t>
  </si>
  <si>
    <t>Czech Antarctic Research Infrastrucure, Czech Ministry of Education, Youth and Sports, Czech Republic; Project ECOPOLARIS</t>
  </si>
  <si>
    <t>The funding provided from the projects VAN2022 (Czech Antarctic Research Infrastrucure, Czech Ministry of Education, Youth and Sports, Czech Republic) and ECOPOLARIS (CZ.02.1.01/0.0/0.0/16_013/0001708) are acknowledged. The authors are grateful to anonymous reviewers who helped by their comments and suggestions to improve the manu-script.</t>
  </si>
  <si>
    <t>MASARYK UNIV PRESS</t>
  </si>
  <si>
    <t>Brno</t>
  </si>
  <si>
    <t>Brno, CZECH REPUBLIC</t>
  </si>
  <si>
    <t>1805-0689</t>
  </si>
  <si>
    <t>1805-0697</t>
  </si>
  <si>
    <t>CZECH POLAR REP</t>
  </si>
  <si>
    <t>Czech Polar Rep.</t>
  </si>
  <si>
    <t>10.5817/CPR2022-2-21</t>
  </si>
  <si>
    <t>A7YZ5</t>
  </si>
  <si>
    <t>WOS:000957251400001</t>
  </si>
  <si>
    <t>Ali, A</t>
  </si>
  <si>
    <t>Ali, Azad</t>
  </si>
  <si>
    <t>Species diversity of bats (Mammalia: Chiroptera) in Assam, Northeast India</t>
  </si>
  <si>
    <t>JOURNAL OF WILDLIFE AND BIODIVERSITY</t>
  </si>
  <si>
    <t>Assam; Bats' diversity; Chiroptera; Megachiroptera; Microchiroptera; Northeast India</t>
  </si>
  <si>
    <t>Bats are known to occur all over the world except in the Arctic and Antarctic regions and a few isolated oceanic islands. Bats have been on Earth for more than 50 million years. Currently, there are more than 1,400 species on the globe. They are the second-largest order of mammals and are widely dispersed across six continents. According to the South Asian Chiroptera Conservation Assessment and Management Plan Workshop report, India has 114 species of bats of which 13 species are under the suborder Megachiroptera. The species Latidens salimalii (Salim Ali' s fruit bat) found in Madurai district of Tamil Nadu and Otomops wroughtonii (Wroughton' s free-tailed bat) found in Belgaum of Karnataka are the two only Indian bat species that are listed on Schedule I of the Wildlife (Protection) Act of India, 1972 amended up-to-date. Bats or chiropteran studies at Assam along with other northeast Indian counterparts are very meager and there is no continuous study data from any places of Assam. Besides some detailed studies on the Indian flying fox (Pteropus giganteus giganteus) most of the other studies are based on opportunistic random catches. On the basis of the available research publications of a few bat researchers of Assam, it can become to the conclusion that currently, Assam's counterpart of Northeast India has about a total of 39 different bat species under 16 genera. Out of those 39 species, five species are recorded as Megachiropteran species (fruit bats) along with 34 numbers of Microchiropteran species. Most of the microchiropteran species are insectivorous in nature with a few being carnivorous. All the recorded species of the Suborder-Megachiroptera were found to be included under a single family called Pteropodidae. However, microchiroptera species recorded from Assam were found to be spread into five different families such as Emballonuridae, Megadermatidae, Rhinolophidae, Hipposideridae, and Vespertilionidae. The highest numbers of species were recorded under the family Vespertilionidae which is commonly known as Evening bats. To date, 19 species are recorded under this family followed by Rhinolophidae with six species. The rest of the recorded families shared 2-4 species.</t>
  </si>
  <si>
    <t>[Ali, Azad] BN Coll, Dept Zool, Dhubri, Assam, India</t>
  </si>
  <si>
    <t>Ali, A (corresponding author), BN Coll, Dept Zool, Dhubri, Assam, India.</t>
  </si>
  <si>
    <t>azadali58@yahoo.in</t>
  </si>
  <si>
    <t>ARAK UNIV, ARAK</t>
  </si>
  <si>
    <t>ARAK</t>
  </si>
  <si>
    <t>DEPT ENVIRONMENTAL SCIENCES, FAC AGRICULTURE &amp; NATURAL RESOURCES, ARAK, 00000, IRAN</t>
  </si>
  <si>
    <t>2588-3526</t>
  </si>
  <si>
    <t>J WILDLIFE BIODIVERS</t>
  </si>
  <si>
    <t>J. Wildl. Biodivers.</t>
  </si>
  <si>
    <t>10.5281/zenodo.6603976</t>
  </si>
  <si>
    <t>3N9AT</t>
  </si>
  <si>
    <t>WOS:000836437900001</t>
  </si>
  <si>
    <t>Vinatea, M</t>
  </si>
  <si>
    <t>Vinatea, Martina</t>
  </si>
  <si>
    <t>Hippocratic Ideas in Figueroa's Tratado sobre el garrotillo (Lima, 1616)</t>
  </si>
  <si>
    <t>HIPOGRIFO-REVISTA DE LITERATURA Y CULTURA DEL SIGLO DE ORO</t>
  </si>
  <si>
    <t>Garrotillo; diphtheria; epidemics; 17th century; Viceroyalty of Peru</t>
  </si>
  <si>
    <t>This article shows the imprint of Hippocrates in Tratado de una es-pecie de garrotillo o esquilencia mortal written in Lima in 1616 by Dr. Francisco de Figueroa, physician to the viceroy Marquis of Montesclaros and professor of medi-cine at the University of San Marcos who, with a high degree of certainty, was a poet member of the Antarctic Academy.</t>
  </si>
  <si>
    <t>[Vinatea, Martina] Univ Pacifico, Lima, Peru</t>
  </si>
  <si>
    <t>Universidad del Pacifico Peru</t>
  </si>
  <si>
    <t>Vinatea, M (corresponding author), Univ Pacifico, Lima, Peru.</t>
  </si>
  <si>
    <t>vinatea_rm@up.edu.pe</t>
  </si>
  <si>
    <t>Vinatea, Martina/K-4748-2014</t>
  </si>
  <si>
    <t>Vinatea, Martina/0000-0002-9326-3488</t>
  </si>
  <si>
    <t>UNIV NAVARRA, SERVICIO PUBLICACIONES</t>
  </si>
  <si>
    <t>PAMPLONA</t>
  </si>
  <si>
    <t>CAMPUS UNIV, CARRETERA DEL SADAR S-N, APARTADO 177, 31080 PAMPLONA, SPAIN</t>
  </si>
  <si>
    <t>2328-1308</t>
  </si>
  <si>
    <t>HIPOGRIFO</t>
  </si>
  <si>
    <t>Hipogrifo</t>
  </si>
  <si>
    <t>10.13035/H.2022.10.02.38</t>
  </si>
  <si>
    <t>Literature, Romance; Medieval &amp; Renaissance Studies</t>
  </si>
  <si>
    <t>Literature; Arts &amp; Humanities - Other Topics</t>
  </si>
  <si>
    <t>9A5AK</t>
  </si>
  <si>
    <t>WOS:000934070300039</t>
  </si>
  <si>
    <t>Mallorqui, A; Zaballos, A; Serra, D</t>
  </si>
  <si>
    <t>Mallorqui, Adria; Zaballos, Agustin; Serra, Daniel</t>
  </si>
  <si>
    <t>The Antarctic Delay Tolerant Network</t>
  </si>
  <si>
    <t>2022 27TH IEEE SYMPOSIUM ON COMPUTERS AND COMMUNICATIONS (IEEE ISCC 2022)</t>
  </si>
  <si>
    <t>IEEE Symposium on Computers and Communications ISCC</t>
  </si>
  <si>
    <t>IEEE Symposium on Computers and Communications (ISCC)</t>
  </si>
  <si>
    <t>JUN 30-JUL 03, 2022</t>
  </si>
  <si>
    <t>Rhodes, GREECE</t>
  </si>
  <si>
    <t>Antarctica; IoT; WSN; NVIS; trustworthiness; reliability; DTN; Bundle Protocol</t>
  </si>
  <si>
    <t>MANAGEMENT</t>
  </si>
  <si>
    <t>Antarctica is the land of science. Every year, many studies are carried out in diverse disciplines. Some of these studies collect relevant data for their research with sensors. However, the lack of communications technologies in Antarctica hardens the possibility of automating this data collection. In most cases, the collection is done manually, limiting the time and space scopes of research projects. Over the last years, some alternatives have been studied to deploy remote wireless sensor networks (WSNs) in Antarctica. Near-vertical incidence skywave (NVIS) communications are an example of these alternatives. However, NVIS presents problems that can not guarantee persistent end-to-end connectivity. For this reason, in this paper, we assess the adaptation of a Delay Tolerant Network (DTN) protocol, the Bundle Protocol, to deliver sensor data reliably through an NVIS network. The scenario is developed and tested in the Riverbed Modeler simulator, and the performance is evaluated through a trustworthiness model.</t>
  </si>
  <si>
    <t>[Mallorqui, Adria; Zaballos, Agustin; Serra, Daniel] Univ Ramon Llull, Engn Dept, Barcelona, Spain</t>
  </si>
  <si>
    <t>Universitat Ramon Llull</t>
  </si>
  <si>
    <t>Mallorqui, A (corresponding author), Univ Ramon Llull, Engn Dept, Barcelona, Spain.</t>
  </si>
  <si>
    <t>adria.mallorqui@salle.url.edu; agustin.zaballos@salle.url.edu; daniel.s@students.salle.url.edu</t>
  </si>
  <si>
    <t>Zaballos, Agustin/I-1320-2015</t>
  </si>
  <si>
    <t>Zaballos, Agustin/0000-0003-2755-4428</t>
  </si>
  <si>
    <t>Secretaria d'Universitats i Recerca del Departament d'Empresa i Coneixement de la Generalitat de Catalunya; European Union (EU); European Social Fund (ESF) [2021 FI_B1 00175]; Agencia de Gestio d'Ajuts Universitaris i de Recerca (AGAUR) of Generalitat de Catalunya [2017 SGR 977]; Spanish Ministry on Science, Innovation and University [RTI2018-097066-B-I00]; Investigation State Agency [RTI2018-097066-B-I00]; European Regional Development Fund (ERDF) [RTI2018-097066-B-I00]</t>
  </si>
  <si>
    <t>Secretaria d'Universitats i Recerca del Departament d'Empresa i Coneixement de la Generalitat de Catalunya(Generalitat de Catalunya); European Union (EU)(European Union (EU)CGIAR); European Social Fund (ESF)(European Social Fund (ESF)); Agencia de Gestio d'Ajuts Universitaris i de Recerca (AGAUR) of Generalitat de Catalunya; Spanish Ministry on Science, Innovation and University; Investigation State Agency; European Regional Development Fund (ERDF)(European Union (EU))</t>
  </si>
  <si>
    <t>This research was funded by the Secretaria d'Universitats i Recerca del Departament d'Empresa i Coneixement de la Generalitat de Catalunya, the European Union (EU) and the European Social Fund (ESF) [2021 FI_B1 00175]. This work has also received funding from the Agencia de Gestio d'Ajuts Universitaris i de Recerca (AGAUR) of Generalitat de Catalunya (grant identification 2017 SGR 977)., and by the Spanish Ministry on Science, Innovation and University, the Investigation State Agency and the European Regional Development Fund (ERDF) under the grant number RTI2018-097066-B-I00 (MCIU/AEI/FEDER, UE) for the project NVIS SENSOR NETWORK FOR THE SOUTH SHETLAND ISLANDS ARCHIPELAGO (SHETLAND-NET).</t>
  </si>
  <si>
    <t>1530-1346</t>
  </si>
  <si>
    <t>978-1-6654-9792-3</t>
  </si>
  <si>
    <t>IEEE SYMP COMP COMMU</t>
  </si>
  <si>
    <t>10.1109/ISCC55528.2022.9913036</t>
  </si>
  <si>
    <t>Computer Science, Information Systems; Computer Science, Theory &amp; Methods; Engineering, Electrical &amp; Electronic; Telecommunications</t>
  </si>
  <si>
    <t>Computer Science; Engineering; Telecommunications</t>
  </si>
  <si>
    <t>BU7CF</t>
  </si>
  <si>
    <t>WOS:000935799600164</t>
  </si>
  <si>
    <t>Nagel, R; Coleman, J; Stainfield, C; Forcada, J; Hoffman, JI</t>
  </si>
  <si>
    <t>Nagel, Rebecca; Coleman, Jamie; Stainfield, Claire; Forcada, Jaume; Hoffman, Joseph, I</t>
  </si>
  <si>
    <t>Observations of Giant Petrels (Macronectes sp.) Attacking and Killing Antarctic Fur Seal (Arctocephalus gazella) Pups</t>
  </si>
  <si>
    <t>AQUATIC MAMMALS</t>
  </si>
  <si>
    <t>[Nagel, Rebecca; Hoffman, Joseph, I] Bielefeld Univ, Dept Anim Behav, D-33501 Bielefeld, Germany; [Coleman, Jamie; Stainfield, Claire; Forcada, Jaume; Hoffman, Joseph, I] British Antarctic Survey, Cambridge CB3 0ET, England</t>
  </si>
  <si>
    <t>University of Bielefeld; UK Research &amp; Innovation (UKRI); Natural Environment Research Council (NERC); NERC British Antarctic Survey</t>
  </si>
  <si>
    <t>Nagel, R (corresponding author), Bielefeld Univ, Dept Anim Behav, D-33501 Bielefeld, Germany.</t>
  </si>
  <si>
    <t>rebeeca.nagel@uni-bielefeld.de</t>
  </si>
  <si>
    <t>Stainfield, Claire/KBB-0316-2024; Hoffman, Joseph/K-7725-2012</t>
  </si>
  <si>
    <t>Coleman, Jamie/0000-0002-0162-8356; Nagel, Rebecca/0000-0002-2925-1028; Stainfield, Claire/0009-0009-6190-4058; Hoffman, Joseph/0000-0001-5895-8949</t>
  </si>
  <si>
    <t>EUROPEAN ASSOC AQUATIC MAMMALS</t>
  </si>
  <si>
    <t>MOLINE</t>
  </si>
  <si>
    <t>C/O DR JEANETTE THOMAS, BIOLOGICAL SCIENCES, WESTERN ILLIONIS UNIV-QUAD CITIES, 3561 60TH STREET, MOLINE, IL 61265 USA</t>
  </si>
  <si>
    <t>0167-5427</t>
  </si>
  <si>
    <t>AQUAT MAMM</t>
  </si>
  <si>
    <t>Aquat. Mamm.</t>
  </si>
  <si>
    <t>10.1578/AM.48.6.2022.509</t>
  </si>
  <si>
    <t>Marine &amp; Freshwater Biology; Zoology</t>
  </si>
  <si>
    <t>7S8DP</t>
  </si>
  <si>
    <t>WOS:000910981400008</t>
  </si>
  <si>
    <t>Stainfield, C; Forcada, J</t>
  </si>
  <si>
    <t>Stainfield, Claire; Forcada, Jaume</t>
  </si>
  <si>
    <t>Leopard Seal (Hydrurga leptonyx) Immature Male Play Behaviour</t>
  </si>
  <si>
    <t>WINTER DISPERSAL; ISLAND; PREDATION; ABUNDANCE</t>
  </si>
  <si>
    <t>[Stainfield, Claire; Forcada, Jaume] British Antarctic Survey, Nat Environm Res Council, Madingley Rd, Cambridge CB3 0ET, England</t>
  </si>
  <si>
    <t>Stainfield, C (corresponding author), British Antarctic Survey, Nat Environm Res Council, Madingley Rd, Cambridge CB3 0ET, England.</t>
  </si>
  <si>
    <t>Claire-375@hotmail.co.uk</t>
  </si>
  <si>
    <t>Stainfield, Claire/KBB-0316-2024</t>
  </si>
  <si>
    <t>Stainfield, Claire/0009-0009-6190-4058</t>
  </si>
  <si>
    <t>10.1578/AM.48.6.2022.568</t>
  </si>
  <si>
    <t>WOS:000910981400021</t>
  </si>
  <si>
    <t>Cuadra, P; Fajardo, V; Pimentel, P; Moya-Leon, MA; Herrera, R</t>
  </si>
  <si>
    <t>Cuadra, Pedro; Fajardo, Victor; Pimentel, Paula; Moya-Leon, M. Alejandra; Herrera, Raul</t>
  </si>
  <si>
    <t>Changes in Chlorophyll a fluorescence and DNA as a plant response to UV-B radiation in Gnaphalium vira-vira</t>
  </si>
  <si>
    <t>Antarctic; SII reaction center; DNA damage; photochemical and non-photochemical quenching</t>
  </si>
  <si>
    <t>PHOTOSYSTEM-II; PHOTOSYNTHETIC PERFORMANCE; MOLECULAR-MECHANISMS; OZONE DEPLETION; CLIMATE-CHANGE; O-2 EVOLUTION; PHOTON YIELD; LEAF; PHOTOINHIBITION; DAMAGE</t>
  </si>
  <si>
    <t>Ozone depletion at southern latitudes has recently increased the fluence of ultraviolet-B (UV-B) radiation striking the ground. This phenomenon has sparked much interest in unravelling the effects of this harmful radiation on living systems. UV-B radiation triggers several responses that affect plant physiology, morphology and biochemistry. In this study, the effect of supplemental UV-B radiation on DNA profile and chlorophyll a (CHl a) fluorescence characteristics were analyzed. An increase in the genetic variability of irradiated plants was observed in the Inter Sequence Simple Repeats products. The effect on photosynthesis was studied through fluorescence emissions. The obtained data showed that photochemical quenching (qP) decreased in irradiated plants. This effect may be attributed to a decrease in the number of open reaction centers of photosystem II (PSII) as suggested by the decreased values of minimal and maximal fluorescence. Likewise, non-photochemical quenching (NPQ) increased in both control and irradiated groups, but treated plants presented lower NPQ values than controls. The heat dissipation mechanism was also altered, probably due to a decrease i in the yield of the maximal fluorescence in light-adapted leaves (Fm acute accent ). According to these findings, UV-B radiation affects the CHl a fluorescence mechanisms and modifies DNA profile. Consequently, these changes influence the yield and growth of plants, which is an important consideration given the current climate change situation.</t>
  </si>
  <si>
    <t>[Cuadra, Pedro; Fajardo, Victor] Univ Magallanes, Fac Ciencias, Ave Bulnes 01890, Punta Arenas 620000, Chile; [Pimentel, Paula] Ctr Estudios Avanzado Fruticultura CEAF, Ave Salamanca S N,Los Choapinos, Rengo 2940000, Chile; [Moya-Leon, M. Alejandra; Herrera, Raul] Univ Talca, Lab Fisiol Vegetal &amp; Genet Mol, Inst Cienias Biol, Ave Lircay S N, Talca 3465548, Chile</t>
  </si>
  <si>
    <t>Universidad de Magallanes; Universidad de Talca</t>
  </si>
  <si>
    <t>Cuadra, P (corresponding author), Univ Magallanes, Fac Ciencias, Ave Bulnes 01890, Punta Arenas 620000, Chile.</t>
  </si>
  <si>
    <t>pedro.cuadra@umag.cl</t>
  </si>
  <si>
    <t>Herrera, Raul/T-6935-2017; Pimentel, Paula/B-6458-2015</t>
  </si>
  <si>
    <t>Herrera, Raul/0000-0002-3369-0939; Pimentel, Paula/0000-0003-2568-3357; Cuadra, Pedro/0000-0002-0832-7521</t>
  </si>
  <si>
    <t>FONDECYT, Chile [1201011]; EQM [210006]; UMAG, Chile [027209]</t>
  </si>
  <si>
    <t>FONDECYT, Chile(Comision Nacional de Investigacion Cientifica y Tecnologica (CONICYT)CONICYT FONDECYT); EQM; UMAG, Chile</t>
  </si>
  <si>
    <t>The authors would like to thank FONDECYT, Chile under grant N? 1201011; ANID, Chile project N? EQM 210006; Direcci?n de Investigaci?n, UMAG, Chile under grant N? 027209 for the financial support given and Mrs Stephanie Venables from Willow Translations, Swindon, UK for her kind revision of this manuscript. We also thank the reviewers for their constructive comments and suggestions.</t>
  </si>
  <si>
    <t>10.24425/ppr.2022.140368</t>
  </si>
  <si>
    <t>9E9YN</t>
  </si>
  <si>
    <t>WOS:000937134200003</t>
  </si>
  <si>
    <t>Ivannikov, R; Anishchenko, V; Kuzema, P; Stavinskaya, O; Laguta, I; Poronnik, O; Parnikoza, I</t>
  </si>
  <si>
    <t>Ivannikov, Roman; Anishchenko, Viktor; Kuzema, Pavlo; Stavinskaya, Oksana; Laguta, Iryna; Poronnik, Oksana; Parnikoza, Ivan</t>
  </si>
  <si>
    <t>Chromatographic and mass spectrometric analysis of secondary metabolites of Deschampsia antarctica from Galindez Island, Argentine Islands</t>
  </si>
  <si>
    <t>West Antarctic; antarctic hairgrass; polyphenolic antioxidants; flavonoids; luteolin derivatives</t>
  </si>
  <si>
    <t>SPRINGTIME OZONE DEPLETION; ULTRAVIOLET-B RADIATION; EXTRACTS; PLANTS</t>
  </si>
  <si>
    <t>The aim of this work was to study the polyphenolic composition of Deschampsia antarctica E. Desv. plants grown in natural conditions at different locations on the Galindez Island, Argentine Islands, the maritime Antarctic. The plants were collected during the summer season of the 26th Ukrainian Antarctic Expedition (2020-2022). The extracts of 21 plants were obtained and the composition of the extracts was analyzed by means of high-performance liquid chromatography and matrix-assisted laser desorption/ionization mass spectrometry. The antioxidant properties of the extracts were characterized using the DPPH (2,2-diphenyl-1-picrylhydrazyl) test. The extracts contained large amount of polyphenolic compounds, with flavonoids and phenolic acids, as well as their derivatives, being the most common classes of the phenols. Using the HPLC data the content of various phenols in the plants was systematic studied. It has been found that in all plants the most abundant phenols were flavonoids/flavonoid derivatives (on average about 75% of total mass of phenols). Among the flavonoids, luteolin derivatives predominated (86-94% of the total mass of flavonoids), and, among luteolin derivatives, the main compounds were orientin, orientin 2-O-beta-arabinopyranoside and isoswertiajaponin 2-O-beta-arabinopyranoside (67-83% of the total mass of luteolin derivatives). It has been also found that all the extracts had high activity in inhibition of DPPH radicals and that the antioxidant activity of the extracts correlated with total content of phenols in the samples. Thus, Deschampsia antarctica Desv. plants are a valuable source of natural phenolic antioxidants, and the most common antioxidants in the extracts are orientin, orientin 2-O-beta-arabinopyranoside and isoswertia-japonin 2-O-beta-arabinopyranoside.</t>
  </si>
  <si>
    <t>[Ivannikov, Roman] Natl Acad Sci Ukraine, MM Gryshko Natl Bot Garden, 1 Timiryazevska Str, UA-01014 Kiev, Ukraine; [Anishchenko, Viktor] Natl Acad Sci Ukraine, LM Litvinenko Inst Phys Organ Chem &amp; Coal Chem, 50 Kharkivske Hwy, UA-02160 Kiev, Ukraine; [Kuzema, Pavlo; Stavinskaya, Oksana; Laguta, Iryna] Natl Acad Sci Ukraine, Chuiko Inst Surface Chem, 17 Gen Naumov Str, UA-03164 Kiev, Ukraine; [Poronnik, Oksana; Parnikoza, Ivan] Natl Acad Sci Ukraine, Inst Mol Biol &amp; Genet, 150 Acad Zabolotnogo Str, UA-03143 Kiev, Ukraine; [Poronnik, Oksana; Parnikoza, Ivan] Minist Educ &amp; Sci Ukraine, State Inst Natl Antarctic Sci Ctr, 16 Shevchenko Ave, UA-01601 Kiev, Ukraine</t>
  </si>
  <si>
    <t>National Academy of Sciences Ukraine; MM Gryshko National Botanical Garden, NAS of Ukraine; M.G. Kholodny Institute of Botany, NAS of Ukraine; National Academy of Sciences Ukraine; L. M. Litvinenko Institute of Physical-Organic &amp; Coal Chemistry of the National Academy of Sciences of Ukraine; National Academy of Sciences Ukraine; Chuiko Institute of Surface Chemistry of NASU; National Academy of Sciences Ukraine; Institute of Molecular Biology &amp; Genetics of NASU; Ministry of Education &amp; Science of Ukraine; State Institution National Antarctic Scientific Center</t>
  </si>
  <si>
    <t>Laguta, I (corresponding author), Natl Acad Sci Ukraine, Chuiko Inst Surface Chem, 17 Gen Naumov Str, UA-03164 Kiev, Ukraine.</t>
  </si>
  <si>
    <t>icvmtt34@gmail.com</t>
  </si>
  <si>
    <t>Ivannikov, Roman/KEH-5471-2024; Poronnik, Oksana/HJI-1907-2023; Anishchenko, Viktor/AAE-1084-2020</t>
  </si>
  <si>
    <t>Anishchenko, Viktor/0000-0001-5076-3549; Kuzema, Pavlo/0000-0003-4028-4784; Stavinskaya, Oksana/0000-0001-9715-5292; Ivan, Parnikoza/0000-0002-0490-8134</t>
  </si>
  <si>
    <t>State Institution National Antarctic Scientific Center, Ministry of Education and Science of Ukraine [H/24-2021]</t>
  </si>
  <si>
    <t>State Institution National Antarctic Scientific Center, Ministry of Education and Science of Ukraine</t>
  </si>
  <si>
    <t>This work was carried out with the financial support from the State Institution National Antarctic Scientific Center, Ministry of Education and Science of Ukraine Project H/24-2021 Study of the composition and antioxidant properties of secondary metabolites of Deschampsia antarctica E. Desv. from the region of the Argentine Islands. The authors are grateful to Anna Yevchun for providing the map with indication of localities where the samples of Deschampsia antarctica ?. Desv. plants were collected. We thank two anonymous reviewers whose comments helped to improve this manuscript.</t>
  </si>
  <si>
    <t>10.24425/ppr.2022.140369</t>
  </si>
  <si>
    <t>WOS:000937134200004</t>
  </si>
  <si>
    <t>Halici, MG; Yigit, MK</t>
  </si>
  <si>
    <t>Halici, Mehmet Gokhan; Yigit, Merve Kahraman</t>
  </si>
  <si>
    <t>Rinodina gennarii Bagl., a new record of lichenized fungi for Antarctica</t>
  </si>
  <si>
    <t>Antarctic Peninsula; biodiversity; James Ross Island; lichens; Physciaceae</t>
  </si>
  <si>
    <t>PHYSCIACEAE</t>
  </si>
  <si>
    <t>In a project aiming to determine the lichen biodiversity of James Ross Island which is located in the NE Antarctic Peninsula, 3 specimens growing on basaltic rocks were identified as Rinodina gennarii, a cosmopolite bipolar species which was never reported from Antarctica. This species is characteristic by having Dirinaria-type ascospores lacking a distinct torus and swelling around the septa in KOH. Detailed morphological and anatomical properties of this species along with photographs based on the Antarctic specimens are provided here. Our study and newly reported R. gennarii suggest that the lichen biodiversity of Antarctica is far from being fully known and detailed floristic and taxonomical revision studies should be carried to determine it.</t>
  </si>
  <si>
    <t>[Halici, Mehmet Gokhan; Yigit, Merve Kahraman] Erciyes Univ, Dept Biol, Kayseri, Turkey</t>
  </si>
  <si>
    <t>Erciyes University</t>
  </si>
  <si>
    <t>Halici, MG (corresponding author), Erciyes Univ, Dept Biol, Kayseri, Turkey.</t>
  </si>
  <si>
    <t>mghalici@gmail.com</t>
  </si>
  <si>
    <t>Kahraman Yiğit, Merve/AAW-5674-2021</t>
  </si>
  <si>
    <t>Erciyes University; project TUEBITAK; [118Z587]</t>
  </si>
  <si>
    <t>Erciyes University(Erciyes University); project TUEBITAK;</t>
  </si>
  <si>
    <t>First author thanks to Erciyes University for their financial support to make the field works in James Ross Island, Antarctica and infrastructure and facilities of J.G. Mendel Station provided during the Czech Antarctic expedition, Jan-Feb 2017. This study was financially supported by the project TUEBITAK No. 118Z587. The authors also thank Prof. Dr. Helmut Mayrhofer (Graz, Austria) for his assistance and guidance in the process of species-level identifiying the lichen specimens.</t>
  </si>
  <si>
    <t>10.5817/CPR2022-2-11</t>
  </si>
  <si>
    <t>9C3ZR</t>
  </si>
  <si>
    <t>WOS:000935360100001</t>
  </si>
  <si>
    <t>Pirti, A; Yucel, MA; Hosbas, RG</t>
  </si>
  <si>
    <t>Pirti, Atinc; Yucel, Mehmet Ali; Hosbas, Ramazan Guersel</t>
  </si>
  <si>
    <t>Displacement of the South Pole from 2006 to 2021: Role of sea ice and Antarctic surface temperature</t>
  </si>
  <si>
    <t>Antarctica; South Pole; GNSS; Satellite images</t>
  </si>
  <si>
    <t>CLIMATE VARIABILITY; OCEAN CLIMATE; PLATE MOTION; DEFORMATION; STATION; LAND</t>
  </si>
  <si>
    <t>The effect of global warming on the southern polar regions necessitates careful monitoring of glacier deformations and their movements, as well as an understanding of atmospheric physics. For this purpose, the yearly movements of UNAVCO stations-South Pole Station (AMU2) (winter-summer) and other stations in the South Pole region have been observed in this paper for about a fifteen-year period (2006-2021). In addition, the area differences of the Antarctic continent due to seasonal changes (winter-summer) between 1980 and 2021 were investigated in this study. Moreover, the height values of the stations on the Antarctic continent were observed seasonally. The subglacial lakes in the Antarctic continent cause the differences in the height values as a result of the seasonal changes. A decrease in sea ice of 0.91 million km(2) for the winter season and 0.55 million km(2) for the summer season during a 41-year period has been determined for four sectors of the Antarctic continent. The temperature changes on the Antarctic continent in the summer and winter seasons (2005-2022) were also evaluated in this paper. Air temperature increases was apparent especially in the Antarctic Peninsula, East Antarctic and West Antarctic coasts. The Weddell Sea and the Amundsen Sea regions have had the most sea ice loss, each with 1.24 million km(2). On the other hand, it can be observed that the East Antarctic sector has expanded by 0.32 million km(2).</t>
  </si>
  <si>
    <t>[Pirti, Atinc; Hosbas, Ramazan Guersel] Yildiz Tech Univ, Dept Geomatics Engn, Davutpasa Kampusu, TR-34220 Istanbul, Turkey; [Yucel, Mehmet Ali] Canakkale Osekiz Mart Univ, Dept Geomatics Engn, Terzioglu Kampusu, TR-17100 Canakkale, Turkey</t>
  </si>
  <si>
    <t>Yildiz Technical University</t>
  </si>
  <si>
    <t>Pirti, A (corresponding author), Yildiz Tech Univ, Dept Geomatics Engn, Davutpasa Kampusu, TR-34220 Istanbul, Turkey.</t>
  </si>
  <si>
    <t>atinc@yildiz.edu.tr</t>
  </si>
  <si>
    <t>Yucel, Mehmet Ali/M-8961-2015</t>
  </si>
  <si>
    <t>Yucel, Mehmet Ali/0000-0001-6956-5219</t>
  </si>
  <si>
    <t>10.5817/CPR2022-2-15</t>
  </si>
  <si>
    <t>WOS:000935360100005</t>
  </si>
  <si>
    <t>Hájek, J; Puhovkin, A; Giordano, D; Sekerak , J</t>
  </si>
  <si>
    <t>Hajek, Josef; Puhovkin, Anton; Giordano, Davide; Sekerak Jr, Jiri</t>
  </si>
  <si>
    <t>What does critical temperature tell us about the resistence of polar lichens to freezing stress? Applicability of linear cooling method to ecophysiological studies.</t>
  </si>
  <si>
    <t>cryoresistance; chlorophyll fluorescence; photosystem II; primary photosynthesis</t>
  </si>
  <si>
    <t>INTERSPECIFIC DIFFERENCES; PHOTOSYNTHETIC PROCESSES; UMBILICARIA-APRINA; VIABILITY; FLUORESCENCE; EXCHANGE; ALGAE; LIGHT</t>
  </si>
  <si>
    <t>Lichens from polar regions are well adapted to low temeprature and considered cryoresistant. However, interspecific differences in their cryoresistence exist according to the degree of their adaptation and severity of the environment. In our study, we applied linear cooling technique in order to evaluate the interspecific differences in several lichen species. Thalli segments of Umbilicaria antarctica, Nephroma antarctica, Placopsis contortuplicata and Lasallia pustulata were exposed to the cooling from 20 to -35 degrees C at a constant rate of 2 degrees C min(-1). Simultaneously with the cooling, chlorophyll fluorescence parameters evaluating potential (F-V/F-M) and effective yield of primary photochemical processes in PSII (Phi(PSII)) were measured in 30 s interval. Temperature re-sponse curves of F-V/F-M and Phi(PSII) formed typical S-curves that were species specific. Critical temperature (cooling point at which Phi(PSII) equals 0), was found in a narrow range of -25 to -28 degrees C, suggesting that all experimental lichen species have a high resistance to sub-zero temperatures. The method of linear cooling used in this study has proven its applicability in ecophysiological studies since it is sensitive enough for the evaluation of species-specific differences in cryoresistence. This study describes different parameters that can be derived from the S-curves and discuss their proper use in ecophysiological and stress physiology studies.</t>
  </si>
  <si>
    <t>[Hajek, Josef; Puhovkin, Anton; Giordano, Davide; Sekerak Jr, Jiri] Masaryk Univ, Fac Sci, Dept Expt Biol, Lab Photosynthet Proc, Kamenice 5, Brno 62500, Czech Republic; [Hajek, Josef] Mendel Univ Brno, Fac Forestry &amp; Wood Technol, Dept Forest Protect &amp; Wildlife Management FFWT, Zemedelska 3, Brno 61300, Czech Republic</t>
  </si>
  <si>
    <t>Masaryk University Brno; Mendel University in Brno</t>
  </si>
  <si>
    <t>Hájek, J (corresponding author), Masaryk Univ, Fac Sci, Dept Expt Biol, Lab Photosynthet Proc, Kamenice 5, Brno 62500, Czech Republic.;Hájek, J (corresponding author), Mendel Univ Brno, Fac Forestry &amp; Wood Technol, Dept Forest Protect &amp; Wildlife Management FFWT, Zemedelska 3, Brno 61300, Czech Republic.</t>
  </si>
  <si>
    <t>jhajek@sci.muni.cz</t>
  </si>
  <si>
    <t>Puhovkin, Anton/ABA-5895-2021; Hájek, Josef/F-4694-2019</t>
  </si>
  <si>
    <t>Puhovkin, Anton/0000-0003-4765-8849; Hájek, Josef/0000-0002-2679-1707</t>
  </si>
  <si>
    <t>Czech Antarctic Research Infrastrucure, Czech Ministry of Education, Youth and Sports, Czech Republic [VAN2022]; ECOPOLARIS [CZ.02.1.01/0.0/0.0/16_013/0001708]</t>
  </si>
  <si>
    <t>Czech Antarctic Research Infrastrucure, Czech Ministry of Education, Youth and Sports, Czech Republic; ECOPOLARIS</t>
  </si>
  <si>
    <t>The funding provided from the projects VAN2022 (Czech Antarctic Research Infrastrucure, Czech Ministry of Education, Youth and Sports, Czech Republic) and ECOPOLARIS (CZ.02.1.01/0.0/0.0/16_013/0001708) are acknowledged. The authors are grateful to anonymous reviewers who helped by their comments and suggestions to improve the manuscript.</t>
  </si>
  <si>
    <t>10.5817/CPR2022-2-18</t>
  </si>
  <si>
    <t>WOS:000935360100008</t>
  </si>
  <si>
    <t>Engel, Z; Laska, K; Matejka, M; Nedelcev, O</t>
  </si>
  <si>
    <t>Engel, Zbynek; Laska, Kamil; Matejka, Michael; Nedelcev, Ondrej</t>
  </si>
  <si>
    <t>Effect of geotextile cover on snow and ice melt on Triangular Glacier, the north-eastern Antarctic Peninsula</t>
  </si>
  <si>
    <t>snow; glacier; surface melt; geotextile; Antarctic Peninsula</t>
  </si>
  <si>
    <t>MASS-LOSS; ISLAND</t>
  </si>
  <si>
    <t>A prominent increase in air temperature during the last decade has prompted summer melting and surface lowering of glaciers in the Antarctic Peninsula region. Accelerated mass loss from small land-terminating glaciers on James Ross Island has attracted research attention to local conditions of snow and ice melt that remain poorly known. This study focuses on the potential effects of non-woven geotextile on snow and ice melt on the surface of Triangular Glacier. The measurements of surface elevation changes reveal a total melt-season ablation of 1.3 to 1.6 m during the summer 2021/22. Over half of the melt season the surface lowering ranged from 0.5 m at the shaded glacier head to 0.8 m on the glacier surface unconstrained by topography, implying the importance of local topography on surface melting. The protection of glacier surface with non-woven geotextile covers reduced the snow and ice ablation by 40 to 69%. The lower effect of this protection is attributed to less intense surface melt at the shaded site. The efficiency of the geotextile cover is consistent with the reported values from mid-latitude sites but it is higher compared to the recently reported estimates from a high-elevation region in Asia.</t>
  </si>
  <si>
    <t>[Engel, Zbynek; Nedelcev, Ondrej] Charles Univ Prague, Fac Sci, Dept Phys Geog &amp; Geoecol, Albertov 6, Prague 12800, Czech Republic; [Laska, Kamil; Matejka, Michael] Masaryk Univ, Fac Sci, Dept Geog, Kotlarska 2, Brno 61137, Czech Republic</t>
  </si>
  <si>
    <t>Charles University Prague; Masaryk University Brno</t>
  </si>
  <si>
    <t>Engel, Z (corresponding author), Charles Univ Prague, Fac Sci, Dept Phys Geog &amp; Geoecol, Albertov 6, Prague 12800, Czech Republic.</t>
  </si>
  <si>
    <t>zbynek.engel@natur.cuni.cz</t>
  </si>
  <si>
    <t>Engel, Zbyněk/S-2954-2016; Matějka, Michael/AAX-2290-2021; Nedělčev, Ondřej/HPE-7220-2023; Laska, Kamil/L-7875-2013</t>
  </si>
  <si>
    <t>Engel, Zbyněk/0000-0002-5209-7823; Matějka, Michael/0000-0003-1108-7474; Nedělčev, Ondřej/0000-0002-3832-3126; Laska, Kamil/0000-0002-5199-9737</t>
  </si>
  <si>
    <t>Czech Antarctic Research Programme of Masaryk University; Pl?iades Glacier Observatory initiative of the French Space Agency (Centre National d'?) - Czech Science Foundation [MUNI/A/1393/2021]; Masaryk University [GC20-20240S]; Czech Science Foundation</t>
  </si>
  <si>
    <t>Czech Antarctic Research Programme of Masaryk University; Pl?iades Glacier Observatory initiative of the French Space Agency (Centre National d'?) - Czech Science Foundation; Masaryk University; Czech Science Foundation(Grant Agency of the Czech Republic)</t>
  </si>
  <si>
    <t>The research was funded by the Czech Science Foundation (project GC20-20240S) and the project of Masaryk University (MUNI/A/1393/2021).</t>
  </si>
  <si>
    <t>10.5817/CPR2022-2-19</t>
  </si>
  <si>
    <t>WOS:000935360100009</t>
  </si>
  <si>
    <t>Manová, A; Hyzová, B; Canora, DD; Antolin, AC; Dufková, K</t>
  </si>
  <si>
    <t>Manova, Anna; Hyzova, Blanka; Canora, Diana Darriba; Antolin, Ana Castrillo; Dufkova, Kristyna</t>
  </si>
  <si>
    <t>Vitality and growth rate of agar plate-cultivated Antarctic microautotrophs: Analysis of PSII functioning by chlorophyll fluorescence parameters</t>
  </si>
  <si>
    <t>lichen photobionts; algal biotechnology; Kautsky kinetics</t>
  </si>
  <si>
    <t>KINETICS; ENERGY; ALGAE</t>
  </si>
  <si>
    <t>In our study, we focused on the growth of three different microautotrophs isolated from Antarctic lichens (Placopsis contortuplicata, Solorina spongiosa) and cryptoendolithic algal vegetation. The isolates were purified and inoculated on agar plates, Bold ' s Basal Medium (BBM). The growth of the cultures and the markers of physiological (photo-synthetic) activity were monitored by chlorophyll fluorescence in 1 week intervals for 3 months after inoculation. For the assessment of photosynthetic activity, the meth-od of slow Kautsky kinetics supplemented with saturation pulses was applied. Four chlorophyll fluorescence parameters calculated: (1) maximum quantum yield of PSII (FV/FM), (2) effective quantum yield of photosynthetic processes in PSII (phi PSII), (3) non -photochemical quenching of chlorophyll fluorescence, and (4) background chlorophyll fluorescence ratio (F0/F0 '). Troughout the cultivation period, the maximum quantum yield of PSII (FV/FM) showed high values in all three autotrophs with only slight increase in the first part of the cultivation period, followed by slight decrease in the second part. The phi PSII values showed a rapid decline within the first 4 weeks of cultivation followed by more or less constant values in the isolates from P. contortuplicata and cryptoen-dolithic alga. Contrastingly, time course of phi PSII rather showed an increase followed by a decrease in S. spongiosa isolate. NPQ (related to the activation of protective mecha-nisms) increased in the second part of cultivation period, the rate of increase and maxi-mum values were species-specific. The species-specific differences in chlorophyll fluo-rescence parameters are discussed as well as their potential for evaluation of photo-synthetic performance of in vitro cultivated algal/cyanobacterial cultures on agar plates.</t>
  </si>
  <si>
    <t>[Manova, Anna; Hyzova, Blanka] Masaryk Univ, Fac Sci, Dept Expt Biol, Czech Collect Microorganisms, Kamenice 5, Brno 62500, Czech Republic; [Canora, Diana Darriba] Univ Girona, Fac Sci, Campus Montilivi, Girona 17003, Spain; [Antolin, Ana Castrillo] Univ Salamanca, Fac Biol, Campus Miguel De Unamuno, Salamanca 37007, Spain; [Dufkova, Kristyna] Univ Hosp Brno, Dept Internal Med Haematol &amp; Oncol, Jihlavska 340-20, Brno 62500, Czech Republic; [Dufkova, Kristyna] Masaryk Univ, Fac Med, Dept Internal Med Haematol &amp; Oncol, Kamenice 753-5, Brno 62500, Czech Republic</t>
  </si>
  <si>
    <t>Masaryk University Brno; Universitat de Girona; University of Salamanca; University Hospital Brno; Masaryk University Brno</t>
  </si>
  <si>
    <t>Dufková, K (corresponding author), Univ Hosp Brno, Dept Internal Med Haematol &amp; Oncol, Jihlavska 340-20, Brno 62500, Czech Republic.;Dufková, K (corresponding author), Masaryk Univ, Fac Med, Dept Internal Med Haematol &amp; Oncol, Kamenice 753-5, Brno 62500, Czech Republic.</t>
  </si>
  <si>
    <t>423682@mail.muni.cz</t>
  </si>
  <si>
    <t>Darriba Canora, Diana/0009-0001-6565-7260</t>
  </si>
  <si>
    <t>(Czech Ministry of Education, Youth and Sports, Czech Republic) [CZ.02.1.01/0.0/0.0/16_013/0001708]</t>
  </si>
  <si>
    <t>(Czech Ministry of Education, Youth and Sports, Czech Republic)</t>
  </si>
  <si>
    <t>The VAN2022 (Czech Antarctic Research Infrastrucure, Czech Ministry of Education, Youth and Sports, Czech Republic) and ECOPOLARIS (CZ.02.1.01/0.0/0.0/16_013/0001708) are acknowledged.</t>
  </si>
  <si>
    <t>10.5817/CPR2022-2-20</t>
  </si>
  <si>
    <t>WOS:000935360100010</t>
  </si>
  <si>
    <t>Cabrera, DJ; Iturra, KM</t>
  </si>
  <si>
    <t>Cabrera, Diego Jimenez; Iturra, Karen Manzano</t>
  </si>
  <si>
    <t>Continental Shelf and Geopolitics: Chile and Argentina in Relation to their Antarctic Projections</t>
  </si>
  <si>
    <t>ESTUDIOS AVANZADOS</t>
  </si>
  <si>
    <t>Chile; Argentina; Geopolitics; continental shelf; Antarctica</t>
  </si>
  <si>
    <t>The continental shelf is one of the future issues in the geopolitics of the oceans. Due to a growing interest in the southern seas, the continental shelf and consequently the projection towards Antarctica has also acquired an international relevance, due to the large number of interests involved in the surrounding region, as in the case of the Antarctic Peninsula, where Chile and Argentina are present. Both countries have carried out a series of cartography in the region, which responds to the need to maintain their presence on the continental shelf and therefore, of the Antarctic projection. Through this article, it is intended to analyze the situation of the continental shelf, through geopolitics in the area of the southern seas, through a qualitative methodology by primary and secondary sources, which seek to understand the current situation and its implications in the relationship of both states.</t>
  </si>
  <si>
    <t>[Cabrera, Diego Jimenez; Iturra, Karen Manzano] Univ San Sebastian, Santiago, Chile</t>
  </si>
  <si>
    <t>Universidad San Sebastian</t>
  </si>
  <si>
    <t>Cabrera, DJ (corresponding author), Univ San Sebastian, Santiago, Chile.</t>
  </si>
  <si>
    <t>diego.jimenez@uss.cl; karen.manzano@uss.cl</t>
  </si>
  <si>
    <t>Cabrera, Diego Ignacio Jiménez/U-2906-2018</t>
  </si>
  <si>
    <t>Cabrera, Diego Ignacio Jiménez/0000-0002-7408-1398</t>
  </si>
  <si>
    <t>UNIV SANTIAGO CHILE, INST ESTUDIOS AVANZADOS</t>
  </si>
  <si>
    <t>SANTIAGO</t>
  </si>
  <si>
    <t>ROMAN DIAZ 89, PROVIDENCIA, SANTIAGO, 00000, CHILE</t>
  </si>
  <si>
    <t>0718-5022</t>
  </si>
  <si>
    <t>0718-5014</t>
  </si>
  <si>
    <t>ESTUD AV-SANTIAGO</t>
  </si>
  <si>
    <t>Estud. Ava.</t>
  </si>
  <si>
    <t>10.35588/estudav.v0i37.5198</t>
  </si>
  <si>
    <t>Humanities, Multidisciplinary</t>
  </si>
  <si>
    <t>Arts &amp; Humanities - Other Topics</t>
  </si>
  <si>
    <t>8Z1TB</t>
  </si>
  <si>
    <t>WOS:000933168400002</t>
  </si>
  <si>
    <t>Li, H; He, XQ; Bai, Y; Gong, F; Wang, DF; Li, T</t>
  </si>
  <si>
    <t>Li, Hao; He, Xianqiang; Bai, Yan; Gong, Fang; Wang, Difeng; Li, Teng</t>
  </si>
  <si>
    <t>Restoration of Wintertime Ocean Color Remote Sensing Products for the High-Latitude Oceans of the Southern Hemisphere</t>
  </si>
  <si>
    <t>IEEE TRANSACTIONS ON GEOSCIENCE AND REMOTE SENSING</t>
  </si>
  <si>
    <t>Atmospheric correction; data recovery; high solar zenith angle (SZA); high-latitude oceans; ocean color remote sensing; southern hemisphere</t>
  </si>
  <si>
    <t>ATMOSPHERIC CORRECTION ALGORITHMS; CHLOROPHYLL-A; AERONET-OC; SEAWIFS; REFLECTANCE; SENSORS; WATERS</t>
  </si>
  <si>
    <t>Satellite ocean color products have been widely used to monitor spatiotemporal variations in marine ecological environments from regional to global oceans. However, current satellite ocean color products fail to provide effective records during the winter in high-latitude oceans, limiting understanding of the marine ecological environment during the winter season. In this study, we proposed an atmospheric correction model, namely, the Neural Network Atmospheric Correction algorithm for the Southern Hemisphere (NN-AC-SH), and recover winter satellite ocean color products for the high-latitude oceans of the Southern Hemisphere from 2003 to 2020. The accuracy of the NN-AC-SH model was verified based on the in situ data from the Aerosol Robotic Network-Ocean Color (AERONET-OC). The results indicate that the NN-AC-SH model performed better than the traditional near-infrared (NIR) iterative atmospheric correction algorithm, e.g., in the 443, 488, and 531 nm bands, the relative deviations of the NN-AC-SH model were 23.11%, 20.96%, and 23.14%, respectively, while the values of the NIR model were 30.72%, 22.85%, and 24.81%, respectively. Under the observation condition of a high solar zenith angle (SZA), the NN-AC-SH model performed better than the NIR model in terms of the amount of effective data (94 versus 78 data points) and model inversion accuracy (a relative deviation of 32.83% versus 43.60%). Moreover, in situ chlorophyll concentration data from the NASA bio-Optical Marine Algorithm Dataset (NOMAD) and Chinese Antarctic Research Expedition (CHINARE) were used to verify the accuracy of the restored chlorophyll concentration products, and the results reveal that the NN-AC-SH model resulted in more effective records of higher accuracy than those obtained with the NASA-distributed chlorophyll concentration products. Overall, for the first time, this study recovered long time-series (2003-2020) ocean color products for the high-latitude oceans of the Southern Hemisphere (&gt;= 50 degrees S) in the winter, which could provide unique satellite products for investigating the marine ecological environment of the Antarctic and sub-Antarctic oceans in the winter.</t>
  </si>
  <si>
    <t>[Li, Hao; He, Xianqiang; Bai, Yan; Gong, Fang; Wang, Difeng; Li, Teng] Minist Nat Resources, Inst Oceanog 2, State Key Lab Satellite Ocean Environm Dynam, Hangzhou 310012, Peoples R China; [Li, Hao] Donghai Lab, Inst Oceanog 2, State Key Lab Satellite Ocean Environm Dynam, Zhoushan 316021, Peoples R China; [He, Xianqiang; Bai, Yan] Shanghai Jiao Tong Univ, Inst Oceanog, Shanghai 200240, Peoples R China</t>
  </si>
  <si>
    <t>Ministry of Natural Resources of the People's Republic of China; Donghai Laboratory; Shanghai Jiao Tong University</t>
  </si>
  <si>
    <t>He, XQ (corresponding author), Minist Nat Resources, Inst Oceanog 2, State Key Lab Satellite Ocean Environm Dynam, Hangzhou 310012, Peoples R China.;He, XQ (corresponding author), Shanghai Jiao Tong Univ, Inst Oceanog, Shanghai 200240, Peoples R China.</t>
  </si>
  <si>
    <t>lihao19911212@qq.com; hexianqiang@sio.org.cn</t>
  </si>
  <si>
    <t>李, 豪/ITU-4608-2023</t>
  </si>
  <si>
    <t>Wang, Difeng/0000-0001-7747-3082</t>
  </si>
  <si>
    <t>Impact and Response of Antarctic Seas to Climate Changes IRASCC 2020-2022 [01-01-03A]; Scientific Research Fund of the Second Institute of Oceanography, MNR [SZ2222]; National Natural Science Foundation of China [41825014, 42206183, 42176177]; China Postdoctoral Science Foundation [2022M723704]</t>
  </si>
  <si>
    <t>Impact and Response of Antarctic Seas to Climate Changes IRASCC 2020-2022; Scientific Research Fund of the Second Institute of Oceanography, MNR; National Natural Science Foundation of China(National Natural Science Foundation of China (NSFC)); China Postdoctoral Science Foundation(China Postdoctoral Science Foundation)</t>
  </si>
  <si>
    <t>Manuscript received 8 September 2022; revised 21 November 2022, 5 December 2022, and 6 December 2022; accepted 8 December 2022. Date of publication 12 December 2022; date of current version 23 December 2022. This work was supported in part by the Impact and Response of Antarctic Seas to Climate Changes, IRASCC 2020-2022, under Grant #IRASCC2020-2022-No.01-01-03A; in part by the Scientific Research Fund of the Second Institute of Oceanography, MNR, under Grant #SZ2222; in part by the National Natural Science Foundation of China under Grant #41825014, Grant #42206183, and Grant #42176177; and in part by the China Postdoctoral Science Foundation under Grant #2022M723704. (Corresponding author: Xianqiang He.)</t>
  </si>
  <si>
    <t>0196-2892</t>
  </si>
  <si>
    <t>1558-0644</t>
  </si>
  <si>
    <t>IEEE T GEOSCI REMOTE</t>
  </si>
  <si>
    <t>IEEE Trans. Geosci. Remote Sensing</t>
  </si>
  <si>
    <t>10.1109/TGRS.2022.3228961</t>
  </si>
  <si>
    <t>Geochemistry &amp; Geophysics; Engineering, Electrical &amp; Electronic; Remote Sensing; Imaging Science &amp; Photographic Technology</t>
  </si>
  <si>
    <t>Geochemistry &amp; Geophysics; Engineering; Remote Sensing; Imaging Science &amp; Photographic Technology</t>
  </si>
  <si>
    <t>8J3TI</t>
  </si>
  <si>
    <t>WOS:000922341700002</t>
  </si>
  <si>
    <t>Kuznetsova, MR; Priakhina, GV</t>
  </si>
  <si>
    <t>Kuznetsova, M. R.; Priakhina, G., V</t>
  </si>
  <si>
    <t>Methods of snowmelt calculation in the Antarctic oasis Larsemann Hills</t>
  </si>
  <si>
    <t>methods of snowmelt calculation; Antarctic oases; Larsemann Hills</t>
  </si>
  <si>
    <t>This paper studies the validity of snowmelt calculation methods, which are mostly used in hydrology, for the Larsemann Hills oasis (East Antarctica). The study bases on snow surveys data obtained on catchments of Law Lake, Reid Lake and Stepped Lake during the 65th season of the Russian Antarctic Expedition (RAE) in 2019-2020. Materials of the fond of Arctic and Antarctic Research Institute (AARI) are also used: snow surveys data collected on the catchment of Stepped Lake during the 57th RAE season in 2012 and on catchments of Law Lake, Reid Lake, Scandrett Lake and Stepped Lake during the 62th RAE season in 2017. Considered three methods of snowmelt calculation were derived by P. P. Kuz'min, E. G. Popov, Yu. B. Vinogradov Results of calculation are compared with snowmelt value obtained according to snow surveys. The paper shows two variants of calculations: in the first albedo of snow is determined from function of snow age as different values for each day, in the second albedo is determined from remote sensing data as average value for all period. Results of snowmelt calculation depend on the method which sets value of snow albedo: relative inaccuracies of results obtained of all discussed methods are smaller when albedo is determined as average value. The equation by Kuz'min gives the smallest inaccuracies of snowmelt calculation results in relative to real snowmelt values estimated from snow survey data. This snowmelt calculation method in the majority of cases reviewed gives satisfactory results and should be recommended for estimation of snowmelt values for this Antarctic territory.</t>
  </si>
  <si>
    <t>[Kuznetsova, M. R.; Priakhina, G., V] St Petersburg State Univ, 7-9 Univ Skaya Nab, St Petersburg 199034, Russia</t>
  </si>
  <si>
    <t>Saint Petersburg State University</t>
  </si>
  <si>
    <t>Kuznetsova, MR (corresponding author), St Petersburg State Univ, 7-9 Univ Skaya Nab, St Petersburg 199034, Russia.</t>
  </si>
  <si>
    <t>rotefliege@mail.ru; g.pryahina@spbu.ru</t>
  </si>
  <si>
    <t>Russian Foundation for Basic Research [20-05-00343]</t>
  </si>
  <si>
    <t>Russian Foundation for Basic Research(Russian Foundation for Basic Research (RFBR)Spanish Government)</t>
  </si>
  <si>
    <t>This work is supported by the Russian Foundation for Basic Research under grant No. 20-05-00343..</t>
  </si>
  <si>
    <t>10.21638/spbu07.2022.307</t>
  </si>
  <si>
    <t>8O4YB</t>
  </si>
  <si>
    <t>WOS:000925840800007</t>
  </si>
  <si>
    <t>Golynsky, AV; Golynsky, DA; von Frese, RRB</t>
  </si>
  <si>
    <t>Golynsky, Alexander, V; Golynsky, Dmitry A.; von Frese, Ralph R. B.</t>
  </si>
  <si>
    <t>COMPILING SHIP AND AIRBORNE MEASUREMENTS FOR THE ANTARCTIC'S SECOND-GENERATION MAGNETIC ANOMALY MAP</t>
  </si>
  <si>
    <t>RUSSIAN JOURNAL OF EARTH SCIENCES</t>
  </si>
  <si>
    <t>Antarctic Digital Magnetic Anomaly Project; Airborne and shipborne magnetic surveys; Data processing; Map compilation; Crustal studies of the Antarctic</t>
  </si>
  <si>
    <t>DRONNING MAUD LAND; WILKES SUBGLACIAL BASIN; EAST ANTARCTICA; WEDDELL SEA; AEROMAGNETIC DATA; TRANSANTARCTIC MOUNTAINS; CRUSTAL ARCHITECTURE; COATS LAND; GRAVITY; REGION</t>
  </si>
  <si>
    <t>In 2001, the Antarctic Digital Magnetic Anomaly Project produced the ADMAP-1 compilation that included the first magnetic anomaly map of the region south of 60.S. To help fill ADMAP-1's regional coverage gaps, the international geomagnetic community from 2001 through 2014 acquired an additional 2.0+ million line-km of airborne and marine magnetic anomaly data. These new data together with surveys that were not previously in the public domain significantly upgraded the ADMAP compilation for Antarctic crustal studies. The merger of the additional data with ADMAP-1's roughly 1.5 million line-km of survey data produced the second-generation ADMAP-2 compilation. The present study comprehensively reviews the problems and progress in merging the airborne and ship magnetic measurements obtained in the harsh Antarctic environment since the first International Geophysical Year (IGY 1957-58) by international campaigns with disparate survey parameters. For ADMAP-2, the newly acquired data were corrected for the diurnal and International Geomagnetic Reference Field effects, edited for high-frequency errors, and levelled to minimize line-correlated noise. ADMAP-2 provides important new constraints on the enigmatic geology of the Gamburtsev Subglacial Mountains, Prince Charles Mountains, Dronning Maud Land, and other poorly explored Antarctic areas. It links widely separated outcrops to help unify disparate geologic and geophysical studies for new insights on the global tectonic processes and crustal properties of the Antarctic. It also supports studies of the Antarctic ice sheet's geological controls, the crustal transitions between Antarctica and adjacent oceans, and the geodynamic evolution of the Antarctic crust in the assembly and break-up of the Gondwana and Rodinia supercontinents.</t>
  </si>
  <si>
    <t>[Golynsky, Alexander, V; Golynsky, Dmitry A.] All Russian Sci Res Inst Geol &amp; Mineral Resources, VNIIOkeangeol, St Petersburg, Russia; [von Frese, Ralph R. B.] Ohio State Univ, Sch Earth Sci, Columbus, OH 43210 USA</t>
  </si>
  <si>
    <t>University System of Ohio; Ohio State University</t>
  </si>
  <si>
    <t>Golynsky, AV (corresponding author), All Russian Sci Res Inst Geol &amp; Mineral Resources, VNIIOkeangeol, St Petersburg, Russia.</t>
  </si>
  <si>
    <t>sasha@vniio.nw.ru</t>
  </si>
  <si>
    <t>Germany's Helmholtz Zentrum fur Polar und Meeresforschung of the Alfred Wegener Institut; Bundesanstalt fur Geowissenschaften und Rohstoffe; Italian Antarctic Research Programme; Russian Ministry of Natural Resources; British Antarctic Survey/National Environmental Research Council; National Aeronautics and Space Administration; Australian Antarctic Division; French Polar Institute; Korea Polar Research Institute (KOPRI) [PM15040, PE19050]; US' National Science Foundation; Antarctic Climate &amp; Ecosystem Cooperative Research Centre</t>
  </si>
  <si>
    <t>Germany's Helmholtz Zentrum fur Polar und Meeresforschung of the Alfred Wegener Institut; Bundesanstalt fur Geowissenschaften und Rohstoffe; Italian Antarctic Research Programme; Russian Ministry of Natural Resources; British Antarctic Survey/National Environmental Research Council; National Aeronautics and Space Administration(National Aeronautics &amp; Space Administration (NASA)); Australian Antarctic Division; French Polar Institute; Korea Polar Research Institute (KOPRI)(Korea Polar Research Institute of Marine Research Placement (KOPRI)); US' National Science Foundation(National Science Foundation (NSF)); Antarctic Climate &amp; Ecosystem Cooperative Research Centre</t>
  </si>
  <si>
    <t>SCAR's ADMAP expert group members and their affiliated institutions contributed raw and processed magnetic survey data and cooperated in developing the new compilation. New data acquisitions were supported by Germany's Helmholtz Zentrum fur Polar und Meeresforschung of the Alfred Wegener Institut and the Bundesanstalt fur Geowissenschaften und Rohstoffe, the Italian Antarctic Research Programme, the Russian Ministry of Natural Resources, the British Antarctic Survey/National Environmental Research Council, the US' National Science Foundation and National Aeronautics and Space Administration, the Australian Antarctic Division and Antarctic Climate &amp; Ecosystem Cooperative Research Centre, and the French Polar Institute. We are grateful to all members of the ADMAP expert group for their contributions and thank Graeme Eagles, Rene Forsberg, Tom Jordan, Jamin Greenbaum, Jason Roberts, Kirsteen Tinto and Jinyao Gao, for providing geodetic coordinates of the recently acquired airborne and marine magnetic surveys. We appreciate the constructive suggestions provided by the editor and journal reviewers. We thank SCAR for supporting the activities of the ADMAP expert group, and grants PM15040 and PE19050 from the Korea Polar Research Institute (KOPRI) funded the compilation at the All-Russian Scientific Research Institute for Geology and Mineral Resources of the World Ocean (VNIIOkeangeologia).</t>
  </si>
  <si>
    <t>GEOPHYSICAL CENTER RAS</t>
  </si>
  <si>
    <t>MOSCOW</t>
  </si>
  <si>
    <t>MOLODEZHNAYA ST 3, MOSCOW, 119296, RUSSIA</t>
  </si>
  <si>
    <t>1681-1208</t>
  </si>
  <si>
    <t>RUSS J EARTH SCI</t>
  </si>
  <si>
    <t>Russ. J. Earth Sci.</t>
  </si>
  <si>
    <t>ES3007</t>
  </si>
  <si>
    <t>10.2205/2022ES000801</t>
  </si>
  <si>
    <t>8O2SD</t>
  </si>
  <si>
    <t>hybrid, Green Submitted</t>
  </si>
  <si>
    <t>WOS:000925688700007</t>
  </si>
  <si>
    <t>Dudkov, IY; Kapustina, MV; Sivkov, VV</t>
  </si>
  <si>
    <t>Dudkov, I. Yu; Kapustina, M., V; Sivkov, V. V.</t>
  </si>
  <si>
    <t>On spreading of Antarctic Bottom Water in fracture zones of the Mid-Atlantic Ridge at 7-8°N</t>
  </si>
  <si>
    <t>Antarctic Bottom Water; Mid-Atlantic Ridge; fracture zones; bottom topography; multibeam echo sounding; potential temperature</t>
  </si>
  <si>
    <t>WESTERN BOUNDARY CURRENT; ERROR FIELDS; DEEP; TRANSPORT; FLOWS; ROMANCHE</t>
  </si>
  <si>
    <t>A Data-Interpolating Variational Analysis in n-dimensions was used to describe a potential temperature distribution in the bottom layer of the fracture zones of the Mid-Atlantic Ridge at 7-8 degrees N. This analysis was based on a new digital terrain model obtained by supplementing the STRM15+ bathymetry data with multibeam echo sounding data from the 33rd cruise of the research vessel Akademik Nikolaj Strakhov (2016) and oceanological data from the World Ocean Database, supplemented with CTD profiles and reversing thermometer data measured in scientific cruises of the Shirshov Institute of Oceanology, Russian Academy of Sciences in 2014-2016. A 2D model of near-bottom potential temperature distribution in the study area was calculated based on the analysis. The model allows us to propose the Antarctic Bottom Water propagation pattern through the Doldrums, Vernadsky, and Pushcharovsky fracture zones. It is shown that bottom water warms up when passing fracture zones from 1.4 degrees C in Pushcharovsky Fracture Zone up to 1.6-1.7 degrees C in Vernadsky Fracture Zone. Bottom water from Pushcharovsky and Vernadsky fractures propagates in two directions. Northernly, it propagates to the Doldrums Fracture Zone, where its temperature reaches about 1.9-2.0 degrees C. Easterly, it flows along Pushcharovsky Fracture Zone and raising the temperature up to 1.8-2.0 degrees C. We propose the absence of Antarctic Bottom Water's overflow with a temperature less than 1.8 degrees C to the East Atlantic in the study area.</t>
  </si>
  <si>
    <t>[Dudkov, I. Yu; Kapustina, M., V; Sivkov, V. V.] Shirshov Inst Oceanol RAS, 36 Nahimovskiy Pr, Moscow 117997, Russia; [Dudkov, I. Yu; Sivkov, V. V.] Immanuel Kant Baltic Fed Univ, Kaliningrad, Russia</t>
  </si>
  <si>
    <t>Russian Academy of Sciences; Shirshov Institute of Oceanology; Immanuel Kant Baltic Federal University</t>
  </si>
  <si>
    <t>Dudkov, IY (corresponding author), Shirshov Inst Oceanol RAS, 36 Nahimovskiy Pr, Moscow 117997, Russia.</t>
  </si>
  <si>
    <t>idudkov96@gmail.com</t>
  </si>
  <si>
    <t>IO RAS [FMWE-2021-0012]; Russian Science Foundation [19-17-00246]; Russian Foundation for Basic Research [20-08-00246]</t>
  </si>
  <si>
    <t>IO RAS; Russian Science Foundation(Russian Science Foundation (RSF)); Russian Foundation for Basic Research(Russian Foundation for Basic Research (RFBR)Spanish Government)</t>
  </si>
  <si>
    <t>The expedition and the primary processing of the data obtained during the 33rd cruise of the R/V Akademik Nikolaj Strakhov (2016) were supported by the state assignment of IO RAS, no. FMWE-2021-0012. The analysis and interpretation of the data were funded by the project of the Russian Science Foundation no. 19-17-00246. The data obtained during cruises 39th41st of the R/V Akademik Sergey Vavilov were analyzed within the framework of the project of the Russian Foundation for Basic Research no. 20-08-00246. The authors are grateful to Prof. E. G. Morozov (IO RAS) for providing oceanographic data obtained during the 39th-41st cruises of the R/V Akademik Sergey Vavilov and to Prof. S. A. Dobrolyubov (Lomonosov Moscow State University) for providing thermometers for the 33rd cruise of the R/V Akademik Nikolaj Strakhov. The authors also express their gratitude to the participants of the 33rd cruise of the R/V Akademik Nikolaj Strakhov: I. A. Mironov (Lomonosov Moscow State University), V. M. Pyatakov, and A. B. Demenina (IO RAS) for their help in collecting of oceanographic and bathymetric data and the crew of the R/V for their assistance in carrying out the scientific work. The authors are grateful to Dr. D. V. Dorokhov (IO RAS) for fruitful discussion and valuable recommendations and to T. Glazkova (Royal Holloway, University of London) for English corrections.</t>
  </si>
  <si>
    <t>ES5001</t>
  </si>
  <si>
    <t>10.2205/2022ES000783</t>
  </si>
  <si>
    <t>8O2WI</t>
  </si>
  <si>
    <t>WOS:000925699600001</t>
  </si>
  <si>
    <t>Morozov, EG; Marchenko, AV; Filchuk, KV</t>
  </si>
  <si>
    <t>Morozov, E. G.; Marchenko, A., V; Filchuk, K., V</t>
  </si>
  <si>
    <t>FREEZING OF TIDAL CURRENT UNDER ICE IN A SHALLOW CHANNEL</t>
  </si>
  <si>
    <t>Spitsbergen; shallow water; channel under ice; tidal current; freezing of seawater; salinity increase</t>
  </si>
  <si>
    <t>We analyze tidal currents under ice in a shallow channel located near the tip of the Van Mijen Fjord in Spitsbergen. During the flood cycle of tide seawater flows under ice and strongly freezes in a shallow channel. During the ebb cycle salinity of the outflowing water is greater than that of the inflowing water. Salt balance is estimated. During high-water tide, salt water seeps through the cracks in the ice to the surface, which increases salinity of the snow and water mixture.</t>
  </si>
  <si>
    <t>[Morozov, E. G.] Russian Acad Sci, Shirshov Inst Oceanol, Moscow, Russia; [Morozov, E. G.] RAS, Marine Hydrophys Inst, Sevastopol, Russia; [Marchenko, A., V] Univ Ctr Svalbard, Longyearbyen, Spitsbergen, Norway; [Filchuk, K., V] Arctic &amp; Antarctic Res Inst, St Petersburg, Russia</t>
  </si>
  <si>
    <t>Russian Academy of Sciences; Shirshov Institute of Oceanology; Marine Hydrophysical Institute of RAS; Russian Academy of Sciences; University Centre Svalbard (UNIS); Arctic &amp; Antarctic Research Institute</t>
  </si>
  <si>
    <t>Morozov, EG (corresponding author), Russian Acad Sci, Shirshov Inst Oceanol, Moscow, Russia.;Morozov, EG (corresponding author), RAS, Marine Hydrophys Inst, Sevastopol, Russia.</t>
  </si>
  <si>
    <t>egmorozov@mail.ru</t>
  </si>
  <si>
    <t>Morozov, Eugene G/L-3023-2018; Marchenko, Aleksey/GSD-3516-2022</t>
  </si>
  <si>
    <t>Marchenko, Aleksey/0000-0003-4169-0063</t>
  </si>
  <si>
    <t>Research Council of Norway through the SFI SAMCoT, IntPart project AOCEC; Russian Science Foundation [21-17-00278]</t>
  </si>
  <si>
    <t>Research Council of Norway through the SFI SAMCoT, IntPart project AOCEC; Russian Science Foundation(Russian Science Foundation (RSF))</t>
  </si>
  <si>
    <t>The field works were supported by the Research Council of Norway through the SFI SAMCoT, IntPart project AOCEC. The analysis of the field data was supported by the Russian Science Foundation (grant No. 21-17-00278). The work was completed within State Assignment FMWE-2021-0002.</t>
  </si>
  <si>
    <t>ES2003</t>
  </si>
  <si>
    <t>10.2205/2022ES000793</t>
  </si>
  <si>
    <t>8O2QN</t>
  </si>
  <si>
    <t>WOS:000925684500005</t>
  </si>
  <si>
    <t>Morozov, EG; Zuev, OA; Zamshin, VV; Krechik, VA; Ostroumova, SA; Frey, DI</t>
  </si>
  <si>
    <t>Morozov, E. G.; Zuev, O. A.; Zamshin, V. V.; Krechik, V. A.; Ostroumova, S. A.; Frey, D., I</t>
  </si>
  <si>
    <t>OBSERVATIONS OF ICEBERGS IN ANTARCTIC CRUISES OF THE R/V AKADEMIK MSTISLAV KELDYSH</t>
  </si>
  <si>
    <t>Iceberg A68; Bransfield Strait; Bransfield Current; CTD-casts; melt water</t>
  </si>
  <si>
    <t>WEDDELL SEA; DRIFT</t>
  </si>
  <si>
    <t>We observed two different icebergs near the Antarctic Peninsula. One was one of the largest ever observed (160 km long). It calved from the Filchner Glacier. Fresher water field surrounded the iceberg and drifted together with the iceberg. The other glacier (800 m long) was aground in the Bransfield Strait. A strong current was flowing around this iceberg transporting away the freshwater that melted from the iceberg.</t>
  </si>
  <si>
    <t>[Morozov, E. G.; Zuev, O. A.; Krechik, V. A.; Ostroumova, S. A.; Frey, D., I] Russian Acad Sci, Shirshov Inst Oceanol, Moscow, Russia; [Zamshin, V. V.] Sci Res Inst Aerosp Monitoring AEROCOSMOS, Moscow, Russia</t>
  </si>
  <si>
    <t>Russian Academy of Sciences; Shirshov Institute of Oceanology; AEROCOSMOS Research Institute for Aerospace Monitoring</t>
  </si>
  <si>
    <t>Morozov, EG (corresponding author), Russian Acad Sci, Shirshov Inst Oceanol, Moscow, Russia.</t>
  </si>
  <si>
    <t>Zamshin, Viktor/G-3224-2014; Morozov, Eugene G/L-3023-2018; Krechik, Viktor/J-9941-2016</t>
  </si>
  <si>
    <t>Zamshin, Viktor/0000-0003-4285-172X; Zuev, Oleg/0000-0001-6856-4783; Krechik, Viktor/0000-0001-6440-060X</t>
  </si>
  <si>
    <t>RSF [21-77-20004]; [MK-1492.2021.1.5]</t>
  </si>
  <si>
    <t>RSF(Russian Science Foundation (RSF));</t>
  </si>
  <si>
    <t>This work was performed as part of State Task FMWE-2022-0001 (ship operation). Collection of data and analysis were supported by the RSF grant 21-77-20004. Data processing performed by D. I. Frey was supported by the Presidential Grant no. MK-1492.2021.1.5</t>
  </si>
  <si>
    <t>ES2001</t>
  </si>
  <si>
    <t>10.2205/2022ES000788</t>
  </si>
  <si>
    <t>WOS:000925684500002</t>
  </si>
  <si>
    <t>Fourie, E; Davel, MH; Versfeld, J</t>
  </si>
  <si>
    <t>Pillay, A; Jembere, E; Gerber, A</t>
  </si>
  <si>
    <t>Fourie, Edrich; Davel, Marelie H.; Versfeld, Jaco</t>
  </si>
  <si>
    <t>Neural Speech Processing for Whale Call Detection</t>
  </si>
  <si>
    <t>ARTIFICIAL INTELLIGENCE RESEARCH, SACAIR 2022</t>
  </si>
  <si>
    <t>Communications in Computer and Information Science</t>
  </si>
  <si>
    <t>Third Southern African Conference, SACAIR</t>
  </si>
  <si>
    <t>DEC 05-09, 2022</t>
  </si>
  <si>
    <t>Stellenbosch, SOUTH AFRICA</t>
  </si>
  <si>
    <t>Convolutional neural network; Time delay neural network; Speech features; Whale call detection; Australian Antarctic Data Centre</t>
  </si>
  <si>
    <t>CLASSIFICATION</t>
  </si>
  <si>
    <t>Passive acoustic monitoring with hydrophones makes it possible to detect the presence of marine animals over large areas. For monitoring to be cost-effective, this process should be fully automated. We explore a new approach to detecting whale calls, using an end-to-end neural architecture and traditional speech features. We compare the results of the new approach with a convolutional neural network (CNN) applied to spectrograms, currently the standard approach to whale call detection. Experiments are conducted using the Acoustic trends for the blue and fin whale library from the Australian Antarctic Data Centre (AADC). We experiment with different types of speech features (mel frequency cepstral coefficients and filter banks) and different ways of framing the task. We demonstrate that a time delay neural network is a viable solution for whale call detection, with the additional benefit that spectrogram tuning required to obtain high-quality spectrograms in challenging acoustic conditions is no longer necessary. While the initial speech feature-based system (accuracy 96%) did not outperform the CNN (accuracy 98%) when trained on exactly the same dataset, it presents a viable approach to explore further.</t>
  </si>
  <si>
    <t>[Fourie, Edrich; Davel, Marelie H.] North West Univ, Fac Engn, Potchefstroom, South Africa; [Versfeld, Jaco] Stellenbosch Univ, Dept Elect &amp; Elect Engn, Stellenbosch, South Africa; [Fourie, Edrich; Davel, Marelie H.] Ctr Artificial Intelligence Res CAIR, Cape Town, South Africa; [Davel, Marelie H.] Natl Inst Theoret &amp; Computat Sci NITheCS, Stellenbosch, South Africa</t>
  </si>
  <si>
    <t>North West University - South Africa; Stellenbosch University</t>
  </si>
  <si>
    <t>Fourie, E (corresponding author), North West Univ, Fac Engn, Potchefstroom, South Africa.;Fourie, E (corresponding author), Ctr Artificial Intelligence Res CAIR, Cape Town, South Africa.</t>
  </si>
  <si>
    <t>edichfouriel@gmail.com</t>
  </si>
  <si>
    <t>Versfeld, Jaco/C-4712-2012</t>
  </si>
  <si>
    <t>Versfeld, Jaco/0000-0001-8327-2244; Davel, Marelie/0000-0003-3103-5858</t>
  </si>
  <si>
    <t>SPRINGER INTERNATIONAL PUBLISHING AG</t>
  </si>
  <si>
    <t>CHAM</t>
  </si>
  <si>
    <t>GEWERBESTRASSE 11, CHAM, CH-6330, SWITZERLAND</t>
  </si>
  <si>
    <t>1865-0929</t>
  </si>
  <si>
    <t>1865-0937</t>
  </si>
  <si>
    <t>978-3-031-22320-4; 978-3-031-22321-1</t>
  </si>
  <si>
    <t>COMM COM INF SC</t>
  </si>
  <si>
    <t>10.1007/978-3-031-22321-1_19</t>
  </si>
  <si>
    <t>Computer Science, Artificial Intelligence</t>
  </si>
  <si>
    <t>Computer Science</t>
  </si>
  <si>
    <t>BU5YS</t>
  </si>
  <si>
    <t>WOS:000921010700019</t>
  </si>
  <si>
    <t>Leppard, T</t>
  </si>
  <si>
    <t>Leppard, Tom</t>
  </si>
  <si>
    <t>Power and Gender in Aegean Archaeology (and Beyond)</t>
  </si>
  <si>
    <t>JOURNAL OF EASTERN MEDITERRANEAN ARCHAEOLOGY AND HERITAGE STUDIES</t>
  </si>
  <si>
    <t>PERSPECTIVE; SEXISM</t>
  </si>
  <si>
    <t>[Leppard, Tom] Florida State Univ, Dept Anthropol, Carraway Bldg,909 Antarctic Way, Tallahassee, FL 32306 USA</t>
  </si>
  <si>
    <t>State University System of Florida; Florida State University</t>
  </si>
  <si>
    <t>Leppard, T (corresponding author), Florida State Univ, Dept Anthropol, Carraway Bldg,909 Antarctic Way, Tallahassee, FL 32306 USA.</t>
  </si>
  <si>
    <t>tleppard@fsu.edu</t>
  </si>
  <si>
    <t>PENN STATE UNIV PRESS</t>
  </si>
  <si>
    <t>UNIVERSITY PK</t>
  </si>
  <si>
    <t>820 NORTH UNIV DRIVE, U S B 1, STE C, UNIVERSITY PK, PA 16802 USA</t>
  </si>
  <si>
    <t>2166-3548</t>
  </si>
  <si>
    <t>2166-3556</t>
  </si>
  <si>
    <t>J EAST MEDITERR ARCH</t>
  </si>
  <si>
    <t>J. East. Mediterr. Archaeol. Herit. Stud.</t>
  </si>
  <si>
    <t>10.5325/jeasmedarcherstu.10.3-4.0356</t>
  </si>
  <si>
    <t>Archaeology</t>
  </si>
  <si>
    <t>8K1XL</t>
  </si>
  <si>
    <t>WOS:000922901200010</t>
  </si>
  <si>
    <t>Ekaykin, AA; Tchikhatchev, KB; Veres, AN; Lipenkov, VY; Tebenkova, NA; Turkeev, AV</t>
  </si>
  <si>
    <t>Ekaykin, A. A.; Tchikhatchev, K. B.; Veres, A. N.; Lipenkov, V. Ya.; Tebenkova, N. A.; Turkeev, A. V.</t>
  </si>
  <si>
    <t>Vertical profile of snow-firn density in the vicinity of Vostok station, Central Antarctica</t>
  </si>
  <si>
    <t>LED I SNEG-ICE AND SNOW</t>
  </si>
  <si>
    <t>snow and firn density; Vostok station; Antarctica; densification modeling</t>
  </si>
  <si>
    <t>DENSIFICATION</t>
  </si>
  <si>
    <t>The density of the snow and firn thickness is one of the fundamental and most important physical properties of the polar ice sheets. The data on density is used for reconstructing the past snow accumulation rate variability based on firn core studies, for correcting the results of the instrumental surface mass balance measurements and for verification of empirical and physical densification models. In this work we present a unique dataset on the snow and firn density in the upper 70 m of Antarctic glacier in the vicinity of Vostok Station based on data from 32 snow pits and firn cores. This newly obtained stacked density profile reveals different stages of the densifica-tion process. In the upper 27 cm a fast growth of the density is observed from 0.320 to 0.365 g cm-3 as a result of the initial snow grain metamorphism. Below 0.3 m much slower densification rates are observed. At the depth of 22.5 m the transition from snow to firn can be seen at the density of 0.526 g cm-3. The vertical density distri-bution can be approximated with a polynomial function with the accuracy of 0.01 g cm-3 along the whole pro-file except for the upper 0.3 m. In order to investigate the glacio-climatic conditions under which the snow-firn density has evolved, we applied a semi-empirical model by Herron and Langway (1980). In first approximation, the density distribution can be explained with the initial snow density equal to 0.35 g cm-3, surface glacier tem-perature equal to-57 C, and snow accumulation rate of 1.8-2.1 g cm-2 yr-1. The discrepancy between the data and model can be, to our opinion, explained by the recent increase of the snow accumulation rate as evidenced from the firn core studies. However, the non-stationary physical densification model failed to reproduced the density data with sufficient accuracy, which calls for revisiting the model configuration and tuning.</t>
  </si>
  <si>
    <t>[Ekaykin, A. A.; Tchikhatchev, K. B.; Veres, A. N.; Lipenkov, V. Ya.; Tebenkova, N. A.; Turkeev, A. V.] Arctic &amp; Antarctic Res Inst, St Petersburg, Russia; [Ekaykin, A. A.; Tebenkova, N. A.] St Petersburg State Univ, Inst Earth Sci, St Petersburg, Russia</t>
  </si>
  <si>
    <t>Arctic &amp; Antarctic Research Institute; Saint Petersburg State University</t>
  </si>
  <si>
    <t>Ekaykin, AA (corresponding author), Arctic &amp; Antarctic Res Inst, St Petersburg, Russia.;Ekaykin, AA (corresponding author), St Petersburg State Univ, Inst Earth Sci, St Petersburg, Russia.</t>
  </si>
  <si>
    <t>ekaykin@aari.ru</t>
  </si>
  <si>
    <t>Ekaykin, Alexey A./K-9894-2015</t>
  </si>
  <si>
    <t>Russian Science Foundation [21?, 00246]</t>
  </si>
  <si>
    <t>Russian Science Foundation(Russian Science Foundation (RSF))</t>
  </si>
  <si>
    <t>Acknowledgement. This work was implemented with the support from Russian Science Foundation grant 21?17?00246.We are grateful to numerous partici? pants of Russian Antarctic Expedition who helped us with the glaciological works in snow pits, as well as to the specialists of Saint Petersburg Mining University for providing us with the ?VK22 AB? core .</t>
  </si>
  <si>
    <t>INST GEOGRAPHY, RUSSIAN ACAD SCIENCES</t>
  </si>
  <si>
    <t>PROFSOYUZNAYA UL 90, MOSCOW, 117864, RUSSIA</t>
  </si>
  <si>
    <t>2076-6734</t>
  </si>
  <si>
    <t>2412-3765</t>
  </si>
  <si>
    <t>LED SNEG</t>
  </si>
  <si>
    <t>Led Sneg</t>
  </si>
  <si>
    <t>10.31857/S2076673422040147</t>
  </si>
  <si>
    <t>8G3KR</t>
  </si>
  <si>
    <t>WOS:000920246200002</t>
  </si>
  <si>
    <t>Shevtsova, OV; Dobrotina, ED; Goncharova, AB; Nedashkovsky, AP</t>
  </si>
  <si>
    <t>Shevtsova, O. V.; Dobrotina, E. D.; Goncharova, A. B.; Nedashkovsky, A. P.</t>
  </si>
  <si>
    <t>Chemical characteristics of snow cover in the high-latitude Russian Arctic (Baranov Cape, Bolshevik Island, Severnaya Zemlya)</t>
  </si>
  <si>
    <t>snow cover; chemical composition; high-altitude Arctic; total acidity; Severnaya Zemlya</t>
  </si>
  <si>
    <t>SEA-SALT; AEROSOL</t>
  </si>
  <si>
    <t>For the first time, features of the chemical composition of the snow cover during its accumulation on the Bolshevik Island (the area of the research station &lt;&lt; Cape Baranov &gt;&gt; Ice base &gt;&gt;) were studied. In winter 2018/19, the following elements density, conductivity, total acidity, pH, NH4+, NO2-, NO3-, PO43-, and Si and, additionally, Na+, K+, Ca2+, Mg2+, Cl-, and SO42-, were measured in new and old snow. Regularities of changes in the parameters of these two types of snow with time have been found. New snow is characterized by negative time trends in density, pH, conductivity, and total acidity, and by positive ones - in NO3-. All statistically significant changing parameters of new snow, except NH4+, showed high temporal variability. In the old snow, trends of decreasing NO3- and total acidity and increasing pH with the depth in the snow cover, as well as a positive correlation between NO3- and NH4+ have been revealed, that is not typical for the new snow. It was shown that the ammonium content in the old snow was, on average, 2.8 times higher than in the new one. The influence of different natural and anthropogenic factors on the snow chemical composition on the Bolshevik Island is discussed. We show that the increase in the total acidity of snow up to 0.001-0.014 meq/l in November-June during the young ice formation and then freeze-up could be due to anthropogenic nitrogen and sulfur oxides in roughly equal proportions. However, the chemical composition of the studied snow corresponds to the zone of the ecological norm. We compared the chemical composition of snow on the Bolshevik Island with similar characteristics of precipitation in other background regions of the Russian Federation using data of the World Weather Watch of the World Meteorological Organization. It was revealed that the studied snow was more acidic, less mineralized, depleted in sulfates, ammonium, nitrates and contained low electrical conductivity. In comparison with the snow cover on the Golomyanny Island (Severnaya Zemlya), the studied old snow contained minimal amounts of basic ions and was more acidic.</t>
  </si>
  <si>
    <t>[Shevtsova, O. V.; Nedashkovsky, A. P.] Russian Acad Sci, VI Ilichev Pacific Oceanol Inst, Vladivostok, Russia; [Dobrotina, E. D.; Nedashkovsky, A. P.] Arctic &amp; Antarctic Res Inst, St Petersburg, Russia; [Goncharova, A. B.] St Petersburg State Univ, St Petersburg, Russia</t>
  </si>
  <si>
    <t>Ilichev Pacific Oceanological Institute; Russian Academy of Sciences; Arctic &amp; Antarctic Research Institute; Saint Petersburg State University</t>
  </si>
  <si>
    <t>Shevtsova, OV (corresponding author), Russian Acad Sci, VI Ilichev Pacific Oceanol Inst, Vladivostok, Russia.</t>
  </si>
  <si>
    <t>ov_shevtsova@mail.ru</t>
  </si>
  <si>
    <t>Goncharova, Anastasia/G-6057-2015</t>
  </si>
  <si>
    <t>Goncharova, Anastasia/0000-0002-7980-1657</t>
  </si>
  <si>
    <t>AARI planned scientific topic under the project 1 .5 .3 .3 of the Targeted Scientific and Technical Program of Roshydromet</t>
  </si>
  <si>
    <t>This work was carried out as a part the AARI planned scientific topic under the project 1 .5 .3 .3 of the Targeted Scientific and Technical Program of Roshydromet.</t>
  </si>
  <si>
    <t>10.31857/S2076673422040152</t>
  </si>
  <si>
    <t>WOS:000920246200007</t>
  </si>
  <si>
    <t>Horozhankina, NA; Hrushka, VV; Boyko, ZV; Korneyev, MV; Nebaba, NA</t>
  </si>
  <si>
    <t>Horozhankina, Nataliya A.; Hrushka, Viktor V.; Boyko, Zoya, V; Korneyev, Maxim, V; Nebaba, Natalia A.</t>
  </si>
  <si>
    <t>Antarctic tourism: spatial structure and dynamics of international tourist flows (for the seasons of 2011-2020)</t>
  </si>
  <si>
    <t>JOURNAL OF GEOLOGY GEOGRAPHY AND GEOECOLOGY</t>
  </si>
  <si>
    <t>Antarctic tourism; Antarctic Treaty; tourist flows; Ukrainian station Akademik Vernadsky</t>
  </si>
  <si>
    <t>The theoretical foundations of the origin and development of Antarctic tourism are considered. The first proposals for Antarctic tourism were recorded in 1910, but it was not until the 1920s that the first tourists were able to visit the mainland. The beginning of commercial tourism to the Antarctic was laid by Lars-Erik Lindblad on his cruise liner 'Explorer &gt;&gt;, which in 1966 made the first commercial tourist flight to the continent. In the 1980s of the 20th century, Antarctica was visited annually by about 2,000 tourists. In the 1990s, Antarctic tourism became a mass phenomenon, flights over the Antarctic resumed. The Antarctic Treaty system is considered. In 1959, the Antarctic Treaty was concluded, and in 1961, it established the status quo, which prohibits the making of new territorial claims and the expansion of old claims made before 1959. The treaty declares the freedom of scientific research in the Antarctic. It has been analyzed that the current lack of territorial possessions of one or another country in the Antarctic facilitates the conduct of comprehensive scientific research. It has been established that in Ukraine only one dissertation study is devot-ed to the issues of Antarctic tourism. All other works of scientists are devoted to biological, gravimetric, mineralogical, geodetic, ocean-ographic, physical, geological research of the Antarctic. It has been proven that modern directions of regional complex geographical re-search of the Antarctic are closely related not only to the provision of national interests, but also to the solution of global environmental problems. An analysis of the spatial structure and dynamics of international tourist flows to the Antarctic was conducted for the seasons 2011-2020. During this period, 389,800 people visited the continent. There is a constant increase in the number of visitors. Travel by mode of transport is considered. During the entire period of the study, the largest number of visitors (71.5% of the total number) used cruise ships / yachts with a landing on the shore with an excursion to the mainland. An analysis of the distribution of tourists by country of origin was carried out. The Top-20 places of Antarctica, which are the most visited, are considered. During the 2016-2017 - 2019-2020 seasons, the number of visits reached 7,086. The top five are occupied by Cuverville Island (9.07% of the total number of visits during the study period), Goudier Island (8.65%), Neko Harbor (8.55%), Whalers Bay (8.24%), Half Moon Island - Chinstrap Colony (7.83%). The station 'Akademik Vernadsky ranks 13th with 194 visits, which is 2.74%. The most popular tourist destinations in East Antarctica for the 2019-2020 season have been reviewed: Amundsen Sea with ship cruises, Cape Evans with small boat cruises and shore landings, Cape Adare with ship cruises, small boat cruises and shore landings from it to the shore. It is noted that at the current stage of the development of society, it is impossible to forecast the tourist flow to the Antarctic for the coming season with the help of economic and mathematical modeling in connection with the COVID-19 coronavirus pandemic.</t>
  </si>
  <si>
    <t>[Horozhankina, Nataliya A.; Boyko, Zoya, V; Korneyev, Maxim, V; Nebaba, Natalia A.] Univ Customs &amp; Finance, Dnipro, Ukraine; [Hrushka, Viktor V.] Oles Honchar Dnipro Natl Univ, Dnipro, Ukraine</t>
  </si>
  <si>
    <t>Ministry of Education &amp; Science of Ukraine; University of Customs &amp; Finance; Ministry of Education &amp; Science of Ukraine; Oles Honchar Dnipro National University</t>
  </si>
  <si>
    <t>Hrushka, VV (corresponding author), Oles Honchar Dnipro Natl Univ, Dnipro, Ukraine.</t>
  </si>
  <si>
    <t>grush_vv@ua.fm</t>
  </si>
  <si>
    <t>Nebaba, Natalia/U-8721-2017</t>
  </si>
  <si>
    <t>Nebaba, Natalia/0000-0003-1264-106X; Horozhankina, Nataliya/0000-0003-2773-8630</t>
  </si>
  <si>
    <t>OLES GONCHAR DNIPRO NATL UNIV</t>
  </si>
  <si>
    <t>DNIPRO</t>
  </si>
  <si>
    <t>GEOLOGY &amp; GEOGRAPHY DEPT, DMYTRO YAVOMITSKYI, 36, DNIPRO, 49066, UKRAINE</t>
  </si>
  <si>
    <t>2617-2909</t>
  </si>
  <si>
    <t>2617-2119</t>
  </si>
  <si>
    <t>J GEOL GEOGR GEOECOL</t>
  </si>
  <si>
    <t>J. Geol. Geogr. Geoecol.</t>
  </si>
  <si>
    <t>10.15421/112257</t>
  </si>
  <si>
    <t>8C0YB</t>
  </si>
  <si>
    <t>WOS:000917342300003</t>
  </si>
  <si>
    <t>Sidorenko, ML; Rusakova, DA</t>
  </si>
  <si>
    <t>Sidorenko, Marina L.; Rusakova, Daria A.</t>
  </si>
  <si>
    <t>Diversity of Psychrophilic Colonies and Their Biotechnological Potential</t>
  </si>
  <si>
    <t>VESTNIK TOMSKOGO GOSUDARSTVENNOGO UNIVERSITETA-BIOLOGIYA</t>
  </si>
  <si>
    <t>psychrophilic bacteria; cold-active enzymes; diversity; environmental conditions</t>
  </si>
  <si>
    <t>Psychrophilic bacteria are a large group of microorganisms that prevail in low-temperature ecosystems. Psychrophilic bacteria have undergone a number of adaptations that help them exist in such conditions. One of such adaptations is the use of enzymes with a high specific activity at low temperatures. Such enzymes are usually called cold-active. These enzymes have potential applications in biotechnology and industry. In our review, we considered individual genera of psychrophilic bacteria, current global trends in the study of cold-active enzymes, their applications, and place in industrial biotechnology. Thus, the main goal of this study was to explore the diversity of psychrophilic bacteria, as well as opportunities of their application in biotechnology.The natural ecological sites of psychrophiles are numerous and varied. Psychrophiles form a permanent microflora of eternal cold regions, polar regions and oceans. Bacteria belonging to this group are found in soil, water or associated with plants and animals. An important site for psychrophilic microorganisms is a low -temperature water reservoir. At present, many new genera of psychrophiles and psychrotrophs have been derived from the bottom sediments and sea waters of the Arctic and Antarctic and described. Psychrophilic microorganisms are found in caves and in ancient ice crystal structures. The latter testifies to the very possibility of the super-long anabiosis phenomenon, as well as vital capacity preservation without division for a long period of time. Psychrophiles do not have a single form, they belong to at least several phylogenetic groups. Psychrophilic forms are found among the representatives of a large number of genera. There are no common physiological and biochemical parameters typical of psychrophilic bacteria. They comprise rods, cocci, vibrios, gram-negative and gram-positive bacteria, bacteria that produce and do not produce spores, strict aerobes, facultative and strict anaerobes. We lay greater emphasis on the diversity of psychrophilic bacteria capable of producing industrially important enzymes. The review considers bacteria belonging to the genera Vibrio and Aliivibrio, Pseudomonas, Achromobacter, Arthrobacter, Pseudoalteromonas, Bacillus, Clostridium, Micrococcus, Psychrobacter, Psychromonas, Flavobacterium, and psychrophilic methanotrophic microorganisms. These bacteria enzymes are used in agriculture, biotechnology, pharmaceuticals and household chemicals, as well as other sectors of the national economy.Psychrophilic bacteria produce a chemical compound that can be used in medicine. For example, Pseudomonas antarctica contains a cluster of genes encoding microcin B, R-type pyocins, adenosylcobalamin, and pyrroloquinoline quinone. Thus, P. antarctica has antibiotic activity. Psychrobacter proteolyticus also has an antineoplastic action and secrets an extracellular cold-adapted metalloproteinase being able to inhibit the space-occupying process. Cold-active metalloproteinases are also widely used as detergents, in currying, food sector and molecular biology. The immunogenic Pal conformable protein was derived from the psychrophilic strain ofAliivibrio salmonicida suggested for use as an effective component of vaccines and in pathogenicity studies.The representatives of the genus Arthrobacter capable of metabolizing diuron and petroleum products have an important property. A. agilis produces a red pigment, a bacterioruberin-type carotenoid being interesting as an antioxidant. A. psychrochitiniphilus is promising for cleaning water areas, oil-polluted coastlines, as it decomposes oil and petroleum products. Flavobacterium limicola is a potential source of cold-active protease. This bacterium is characterized by an increase in protease secretion as temperature decreases. Thus, F. limicola can be used in environmental biotransformations and bioremediations.The psychrophilic bacteria of the genus Bacillus are the participants of active studies. Their cold-active enzymes have a high potential in various areas of biomedicine, immunology, decontamination, and various industrial applications. The antifreeze proteins of psychrophilic Clostridia are considered a promising biotechnological product for use in medicine, food, beauty products, fuel, and other industries.This study reviews literary sources and indicates that at present obligate and facultative psychrophiles (psychrotrophs) and their cold-active enzymes are of scientific interest throughout the world. A significant part of the research is focused on a general understanding of the distribution of psychrophilic bacteria and a local study of enzymatic activity. A further study of psychrophilic microorganisms producing enzymes at low temperatures will reveal new ways for the development of biotechnologies in various sectors of the national economy.</t>
  </si>
  <si>
    <t>[Sidorenko, Marina L.] RAS, Fed Sci Ctr East Asia Terr Biodivers FEB, Vladivostok, Russia; [Rusakova, Daria A.] Far Eastern Fed Univ, Vladivostok, Russia</t>
  </si>
  <si>
    <t>Russian Academy of Sciences; Far Eastern Federal University</t>
  </si>
  <si>
    <t>Sidorenko, ML (corresponding author), RAS, Fed Sci Ctr East Asia Terr Biodivers FEB, Vladivostok, Russia.</t>
  </si>
  <si>
    <t>sidorenko@biosoil.ru; dashka93.1993@mail.ru</t>
  </si>
  <si>
    <t>Sidorenko, Marina/P-2680-2016</t>
  </si>
  <si>
    <t>Sidorenko, Marina/0000-0002-4035-8395</t>
  </si>
  <si>
    <t>Ministry of Science and Higher Education of the Russian Federation; [121031000134-6]</t>
  </si>
  <si>
    <t>Ministry of Science and Higher Education of the Russian Federation;</t>
  </si>
  <si>
    <t>Funding: The research was carried out within the state assignment of Ministry of Science and Higher Education of the Russian Federation (theme No. 121031000134-6) .</t>
  </si>
  <si>
    <t>TOMSKIJ GOSUDARSTVENNYI UNIV</t>
  </si>
  <si>
    <t>TOMSK</t>
  </si>
  <si>
    <t>BIOL INST, 36 LENINA ST, TOMSK, 634050, RUSSIA</t>
  </si>
  <si>
    <t>1998-8591</t>
  </si>
  <si>
    <t>2311-2077</t>
  </si>
  <si>
    <t>VESTN TOMSK GOS U BI</t>
  </si>
  <si>
    <t>Vestn. Tomsk. Gos. Univ. Biol.</t>
  </si>
  <si>
    <t>10.17223/19988591/58/2</t>
  </si>
  <si>
    <t>Biology; Ecology</t>
  </si>
  <si>
    <t>Life Sciences &amp; Biomedicine - Other Topics; Environmental Sciences &amp; Ecology</t>
  </si>
  <si>
    <t>8A0UH</t>
  </si>
  <si>
    <t>WOS:000915963000002</t>
  </si>
  <si>
    <t>Serbin, DV; Dmitriev, AN</t>
  </si>
  <si>
    <t>Serbin, Danil, V; Dmitriev, Andrey N.</t>
  </si>
  <si>
    <t>Experimental research on the thermal method of drilling by melting the well in ice mass with simultaneous controlled expansion of its diameter</t>
  </si>
  <si>
    <t>JOURNAL OF MINING INSTITUTE</t>
  </si>
  <si>
    <t>ice drilling by melting; drilling with simultaneous expansion; Antarctic; thermohydraulic reamer-drilling tool; experiments; test bench trials</t>
  </si>
  <si>
    <t>SUBGLACIAL LAKE VOSTOK</t>
  </si>
  <si>
    <t>During the seasonal work of the 64th Russian Antarctic Expedition in 2018-2019 at the Vostok drilling facility named after B. B.Kudryashov ( Vostok station, Antarctic) specialists of Saint Petersburg Mining University conducted experimental investigations on the process of drilling by melting with simultaneous expansion of wells in the ice mass. A test bench and a full-scale model of a thermohydraulic reamer-drilling tool were developed, manufactured and tested for the research. The first bench tests of the full-scale model proved its efficiency and suitability for experimental drilling with simultaneous expansion of wells in ice mass; its operational capabilities were determined and the drawbacks that will be taken into account in future were found out. The article substantiates the choice of constructive elements for thermohydraulic reamer-drilling tool. It is determined that the technology of full diameter drilling with simultaneous expansion of the well in ice mass can be implemented by combining contact drilling by melting and convective expansion with creation of forced near-bottomhole annular circulation of the heated heat carrier. Dependencies of expansion rate on main technological parameters were determined: active heat power of heating elements in penetrator and circulation system, mechanical drilling rate, pump flow rate. According to the results of investigations, the experimental model of thermohydraulic reamer- drilling tool will be designed and manufactured for testing in conditions of well 5G.</t>
  </si>
  <si>
    <t>[Serbin, Danil, V; Dmitriev, Andrey N.] St Petersburg Min Univ, St Petersburg, Russia</t>
  </si>
  <si>
    <t>Saint Petersburg Mining University</t>
  </si>
  <si>
    <t>Serbin, DV (corresponding author), St Petersburg Min Univ, St Petersburg, Russia.</t>
  </si>
  <si>
    <t>serbin_dv@pers.spmi.ru</t>
  </si>
  <si>
    <t>Serbin, Danil/0000-0002-9855-7178</t>
  </si>
  <si>
    <t>SAINT-PETERSBURG MINING UNIV</t>
  </si>
  <si>
    <t>SANKT-PETERSBURG</t>
  </si>
  <si>
    <t>SAINT-PETERSBURG MINING UNIV, SANKT-PETERSBURG, 00000, RUSSIA</t>
  </si>
  <si>
    <t>2411-3336</t>
  </si>
  <si>
    <t>2541-9404</t>
  </si>
  <si>
    <t>J MIN INST</t>
  </si>
  <si>
    <t>J. Min. Inst.</t>
  </si>
  <si>
    <t>10.31897/PMI.2022.82</t>
  </si>
  <si>
    <t>Mining &amp; Mineral Processing</t>
  </si>
  <si>
    <t>8D9QH</t>
  </si>
  <si>
    <t>WOS:000918618900012</t>
  </si>
  <si>
    <t>Shishkin, EV; Bolshunov, AV; Timofeev, IP; Avdeev, AM; Rakitin, IV</t>
  </si>
  <si>
    <t>Shishkin, Evgeniy, V; Bolshunov, Alexey, V; Timofeev, Igor P.; Avdeev, Alexey M.; Rakitin, Ilia, V</t>
  </si>
  <si>
    <t>Model of a walking sampler for research of the bottom surface in the subglacial lake Vostok</t>
  </si>
  <si>
    <t>Antarctic; lake Vostok; sampler; sampling; subglacial water body; bottom surface; walking mover</t>
  </si>
  <si>
    <t>ICE; ANTARCTICA; STATION</t>
  </si>
  <si>
    <t>Technologies and technical means for investigation of subglacial lakes in Antarctic is a new developing scientific and technical direction, which today has no clearly established methodology. Based on the developed technology of drilling a new access well to lake Vostok and its penetration as well as analysis of existing methods and devices for bottom sediment sampling, a basic model of a sampler with a walking-type mover, capable of moving along different trajectories and operating in a wide technological range, is proposed. The proposed device model is equipped with different actuators for sampling the bottom surface with different physical and mechanical properties. Based on the presented basic model of the walking sampler, a mathematical model of the device was developed, which was based on the theoretical mechanics methods. As a result of conducted research the dependencies were obtained, which allow making a scientifically justified choice of optimal values for geometric and force parameters of the walking sampler. A conceptual design of the walking sampler has been developed, taking into account the mutual location and coupling of its main components, the overall dimensions of the delivery tool, as well as the esthetic component of the device.</t>
  </si>
  <si>
    <t>[Shishkin, Evgeniy, V; Bolshunov, Alexey, V; Timofeev, Igor P.; Avdeev, Alexey M.; Rakitin, Ilia, V] St Petersburg Min Univ, St Petersburg, Russia</t>
  </si>
  <si>
    <t>Shishkin, EV (corresponding author), St Petersburg Min Univ, St Petersburg, Russia.</t>
  </si>
  <si>
    <t>Shishkin_EV@pers.spmi.ru</t>
  </si>
  <si>
    <t>Rakitin, Ilia/IAR-4028-2023</t>
  </si>
  <si>
    <t>Rakitin, Ilia/0000-0002-7874-1859</t>
  </si>
  <si>
    <t>10.31897/PMI.2022.53</t>
  </si>
  <si>
    <t>WOS:000918618900014</t>
  </si>
  <si>
    <t>Cerny, J; Elsterová, J; Culler, L</t>
  </si>
  <si>
    <t>Nuttall, P</t>
  </si>
  <si>
    <t>Cerny, Jiri; Elsterova, Jana; Culler, Lauren</t>
  </si>
  <si>
    <t>Melting, Melting Pot - Climate Change and Its Impact on Ticks and Tick-Borne Pathogens in the Arctic</t>
  </si>
  <si>
    <t>CLIMATE, TICKS AND DISEASE</t>
  </si>
  <si>
    <t>CABI Climate Change Series</t>
  </si>
  <si>
    <t>AVIAN INFLUENZA-VIRUS; IXODES-RICINUS TICKS; ANTARCTIC TICK; URIAE ACARI; BORRELIA; IXODIDAE; BERINGIA; PREVALENCE; RESILIENCE; EVOLUTION</t>
  </si>
  <si>
    <t>[Cerny, Jiri] Czech Univ Life Sci, Ctr Anim Infect Dis, Fac Trop AgriSci, Kamycka 129, Prague 16500 6, Suchdol, Czech Republic; [Elsterova, Jana] Czech Acad Sci, Inst Parasitol, Ctr Biol, Ceske Budejovice, Czech Republic; [Elsterova, Jana] Vet Res Inst, Brno, Czech Republic; [Culler, Lauren] Dartmouth Coll, Inst Arctic Studies, Hanover, NH 03755 USA</t>
  </si>
  <si>
    <t>Czech University of Life Sciences Prague; Czech Academy of Sciences; Biology Centre of the Czech Academy of Sciences; Czech Veterinary Research Institute; Dartmouth College</t>
  </si>
  <si>
    <t>Cerny, J (corresponding author), Czech Univ Life Sci, Ctr Anim Infect Dis, Fac Trop AgriSci, Kamycka 129, Prague 16500 6, Suchdol, Czech Republic.</t>
  </si>
  <si>
    <t>jiricerny@ftz.czu.cz; elsterova@paru.cas.cz; lauren.e.culler@dartmouth.edu</t>
  </si>
  <si>
    <t>Cerny, Jiri/Q-4140-2016</t>
  </si>
  <si>
    <t>Cerny, Jiri/0000-0003-0891-0693</t>
  </si>
  <si>
    <t>Ministry of Education, Youth and Sports of the Czech Republic [CZ.02.1.01/0.0/0.0/16_013/0001708]</t>
  </si>
  <si>
    <t>Ministry of Education, Youth and Sports of the Czech Republic(Ministry of Education, Youth &amp; Sports - Czech Republic)</t>
  </si>
  <si>
    <t>The work was supported by the Ministry of Education, Youth and Sports of the Czech Republic (ECOPOLARIS, Project No. CZ.02.1.01/0.0/0.0/16_013/0001708).</t>
  </si>
  <si>
    <t>CABI PUBLISHING-C A B INT</t>
  </si>
  <si>
    <t>WALLINGFORD</t>
  </si>
  <si>
    <t>CABI PUBLISHING, WALLINGFORD 0X10 8DE, OXON, ENGLAND</t>
  </si>
  <si>
    <t>978-1-78924-964-4; 978-1-78924-963-7</t>
  </si>
  <si>
    <t>CABI CLIM CHANGE SER</t>
  </si>
  <si>
    <t>10.1079/9781789249637.0067</t>
  </si>
  <si>
    <t>10.1079/9781789249637.0000</t>
  </si>
  <si>
    <t>Environmental Sciences; Parasitology</t>
  </si>
  <si>
    <t>Book Citation Index – Science (BKCI-S)</t>
  </si>
  <si>
    <t>Environmental Sciences &amp; Ecology; Parasitology</t>
  </si>
  <si>
    <t>BU3TX</t>
  </si>
  <si>
    <t>WOS:000893525500070</t>
  </si>
  <si>
    <t>Malcheva, B; Nustorova, M; Zhiyanski, M; Yaneva, R; Abakumov, E</t>
  </si>
  <si>
    <t>Malcheva, Boyka; Nustorova, Maya; Zhiyanski, Miglena; Yaneva, Rositsa; Abakumov, Evgeniy</t>
  </si>
  <si>
    <t>Microbial biomass carbon and enzymes-degraders of carbohydrates in polar soils from the area of Livingston Island, Antarctica</t>
  </si>
  <si>
    <t>SOIL SCIENCE ANNUAL</t>
  </si>
  <si>
    <t>Polar soils; Organic carbon; Biomass carbon; Cellulase; Amylase; Invertase</t>
  </si>
  <si>
    <t>CRYOSOLS</t>
  </si>
  <si>
    <t>Polar soils under different vegetation cover from Livingston Island (Antarctica) were studied analyzing indicators of carbohydrates decomposition in soils: organic carbon, biomass carbon, total nitrogen, C:N ratio, cellulase, amylase, and invertase activity. The highest values of microbial biomass in soils were indicated for sites with vegetation cover while the lowest values in soils without vegetation, which correlate with the content of total organic carbon and the C:N ratio. The highest percentage of biomass carbon compared to the total organic biomass carbon is obtained for two sites with mosses, and the lowest in sites without vegetation, followed by the sites with lichens. Cellulase activity is highest in polar soils with moss cover. Amylase activity depends more strongly on the type of vegetation. The highest amylase activity is detected in soils under algae cover and the lowest in soils without vegetation. Invertase activity is limited by the extreme soil and climatic conditions of Antarctica. A very strong, positive correlation is found between total carbon and total nitrogen. The relationship between total carbon and the C:N ratio, as well as between biomass carbon and amylase activity, is moderate, and positive. The higher dependence of amylase activity from organic carbon with microbial origin correlates with higher values of the enzyme amylase compared to the enzyme cellulase. There is a strong (cellulase) and very strong (amylase) positive relationship between the activity of enzymes and the combination of factors: total carbon, total nitrogen, C: N ratio and biomass carbon.</t>
  </si>
  <si>
    <t>[Malcheva, Boyka; Nustorova, Maya] Univ Forestry, Fac Forestry, Dept Soil Sci, 10 Kliment Ohridski Blvd, Sofia 1797, Bulgaria; [Zhiyanski, Miglena; Yaneva, Rositsa] Bulgarian Acad Sci, Forest Res Inst, 132 St Kliment Ohridski Blvd, Sofia, Bulgaria; [Abakumov, Evgeniy] St Petersburg State Univ, Dept Appl Ecol, St Petersburg, Russia</t>
  </si>
  <si>
    <t>University of Forestry - Bulgaria; Bulgarian Academy of Sciences; Forest Research Institute, Bulgaria; Saint Petersburg State University</t>
  </si>
  <si>
    <t>Zhiyanski, M (corresponding author), Bulgarian Acad Sci, Forest Res Inst, 132 St Kliment Ohridski Blvd, Sofia, Bulgaria.</t>
  </si>
  <si>
    <t>zhiyanski@abv.bg</t>
  </si>
  <si>
    <t>program Bilateral Cooperation Bulgaria - Russia [KP-06-Russia/29]; Ministry of Education and Science (MES) of Bulgaria [(sic)01-279/03.12.2021]</t>
  </si>
  <si>
    <t>program Bilateral Cooperation Bulgaria - Russia; Ministry of Education and Science (MES) of Bulgaria</t>
  </si>
  <si>
    <t>Funded under the program Bilateral Cooperation Bulgaria - Russia 2018-2019 under Contract KP-06-Russia/29 - 28.09.2019 and project Assessment of the regional contribution of antarctic soils to the global carbon balance through assessment of the degree of stabilization and humiification of organic matter.; This work has been carried out in the framework of the National Science Program Environmental Protection and Reduction of Risks of Adverse Events and Natural Disasters, approved by the Resolution of the Council of Ministers No 577/17.08.2018 and supported by the Ministry of Education and Science (MES) of Bulgaria (Agreement No (sic)01-279/03.12.2021).</t>
  </si>
  <si>
    <t>POLSKIE TOWARZYSTWO GLEBOZNAWC</t>
  </si>
  <si>
    <t>WARSAW</t>
  </si>
  <si>
    <t>POLSKIE TOWARZYSTWO GLEBOZNAWC, WARSAW, 00000, POLAND</t>
  </si>
  <si>
    <t>2300-4967</t>
  </si>
  <si>
    <t>2300-4975</t>
  </si>
  <si>
    <t>SOIL SCI ANNU</t>
  </si>
  <si>
    <t>Soil Sci. Annu.</t>
  </si>
  <si>
    <t>10.37501/soilsa/156042</t>
  </si>
  <si>
    <t>7N8LU</t>
  </si>
  <si>
    <t>WOS:000907588000007</t>
  </si>
  <si>
    <t>Lang, SA; Yang, MZ; Cui, XB; Li, L; Cai, YH; Liu, XJ; Guo, JX; Sun, B; Siegert, M</t>
  </si>
  <si>
    <t>Lang, Shinan; Yang, Mingzhu; Cui, Xiangbin; Li, Lin; Cai, Yiheng; Liu, Xiaojun; Guo, Jingxue; Sun, Bo; Siegert, Martin</t>
  </si>
  <si>
    <t>A Semiautomatic Method for Predicting Subglacial Dry and Wet Zones Through Identifying Dry-Wet Transitions</t>
  </si>
  <si>
    <t>Ice; Reflectivity; Discrete wavelet transforms; Antarctica; Absorption; Reflection; Propagation losses; Antarctic ice sheet; dry-wet distribution; radio-echo sounding (RES); subglacial water</t>
  </si>
  <si>
    <t>WHILLANS ICE STREAM; BASAL CONDITIONS; WEST ANTARCTICA; RADAR REFLECTIVITY; THWAITES GLACIER; GROUNDING-ZONE; DOME C; SHEET; BENEATH; WATER</t>
  </si>
  <si>
    <t>In the past decades, radio-echo sounding (RES) data have been used to predict basal dry-wet distributions in glaciated regions through manual inspection of the records. Extending such work, we propose a semiautomatic method for predicting such distributions. The method improves previous work in two ways: 1) subglacial water bodies are taken as a reference to correct the thresholds of dry and wet beds' identification at a regional scale and 2) five distinct features are defined and used to automatically identify the dry-wet transition, allowing a classification model based on a support vector machine. To demonstrate its effectiveness, the method is applied to airborne RES data collected in recent years over Princess Elizabeth Land in East Antarctica. A comparative analysis of the new versus the previous method was carried out in the Ridge B region of East Antarctica and at the Thwaites Glacier region of West Antarctica. The results show that the method can obtain more accurate subglacial dry-wet distribution results with larger coverage and has the potential to determine dry-wet transitions at a continental scale if applied to the full set of known Antarctic RES data.</t>
  </si>
  <si>
    <t>[Lang, Shinan; Yang, Mingzhu; Cai, Yiheng] Beijing Univ Technol, Fac Informat Technol, Beijing 100124, Peoples R China; [Cui, Xiangbin; Li, Lin; Guo, Jingxue; Sun, Bo] Polar Res Inst China, Shanghai, Peoples R China; [Cui, Xiangbin] Zhejiang Univ, Technol &amp; Equipment Engn Ctr Polar Observat, Zhoushan 316000, Peoples R China; [Liu, Xiaojun] Chinese Acad Sci, Key Lab Electromagnet Radiat &amp; Sensing Technol, Beijing 100190, Peoples R China; [Liu, Xiaojun] Chinese Acad Sci AIRCAS, Aerosp Informat Res Inst, Beijing 100190, Peoples R China; [Siegert, Martin] Imperial Coll London, Grantham Inst, London SW7 2AZ, England</t>
  </si>
  <si>
    <t>Beijing University of Technology; Polar Research Institute of China; Zhejiang University; Chinese Academy of Sciences; Chinese Academy of Sciences; Aerospace Information Research Institute, CAS; Imperial College London</t>
  </si>
  <si>
    <t>Cui, XB (corresponding author), Polar Res Inst China, Shanghai, Peoples R China.;Cui, XB (corresponding author), Zhejiang Univ, Technol &amp; Equipment Engn Ctr Polar Observat, Zhoushan 316000, Peoples R China.</t>
  </si>
  <si>
    <t>langshinan@gmail.com; yangmz@emails.bjut.edu.cn; cuixiangbin@pric.org.cn; lilin@pric.org.cn; caiyiheng@bjut.edu.cn; lxjdr@mail.ie.ac.cn; guojingxue@pric.org.cn; sunbo@pric.org.cn</t>
  </si>
  <si>
    <t>Siegert, Martin/M-9939-2019; Yang, Mingzhu/HJI-7515-2023; sun, bo/JFA-9978-2023</t>
  </si>
  <si>
    <t>Siegert, Martin/0000-0002-0090-4806; Yang, Mingzhu/0000-0002-4436-1428;</t>
  </si>
  <si>
    <t>National Natural Science Foundation of China [41941005, 41941006, 41606219, 41776186]; Shanghai Science and Technology Development Funds [21ZR1469700]; National Key Research and Development Program of China [2019YFC1509102]; International Research Cooperation Seed Fund of the Beijing University of Technology</t>
  </si>
  <si>
    <t>National Natural Science Foundation of China(National Natural Science Foundation of China (NSFC)); Shanghai Science and Technology Development Funds; National Key Research and Development Program of China; International Research Cooperation Seed Fund of the Beijing University of Technology</t>
  </si>
  <si>
    <t>This work was supported in part by the National Natural Science Foundation of China under Grant 41941005, Grant 41941006, Grant 41606219, and Grant 41776186; in part by the Shanghai Science and Technology Development Funds under Grant 21ZR1469700; in part by the National Key Research and Development Program of China under Grant 2019YFC1509102; and in part by the International Research Cooperation Seed Fund of the Beijing University of Technology.</t>
  </si>
  <si>
    <t>10.1109/TGRS.2022.3225628</t>
  </si>
  <si>
    <t>7E2FG</t>
  </si>
  <si>
    <t>WOS:000900990200025</t>
  </si>
  <si>
    <t>Prekrasna, I; Pavlovska, M; Miryuta, N; Dzhulai, A; Dykyi, E; Convey, P; Kozeretska, I; Bedernichek, T; Parnikoza, I</t>
  </si>
  <si>
    <t>Prekrasna, Ievgeniia; Pavlovska, Mariia; Miryuta, Natalia; Dzhulai, Artem; Dykyi, Evgen; Convey, Peter; Kozeretska, Iryna; Bedernichek, Tymur; Parnikoza, Ivan</t>
  </si>
  <si>
    <t>Antarctic Hairgrass Rhizosphere Microbiomes: Microscale Effects Shape Diversity, Structure, and Function</t>
  </si>
  <si>
    <t>MICROBES AND ENVIRONMENTS</t>
  </si>
  <si>
    <t>rhizosphere microbiome; Antarctic vascular plants; microbial diversity; microbial functional repertoire</t>
  </si>
  <si>
    <t>DESCHAMPSIA-ANTARCTICA; PLANT-GROWTH; SOIL-MICROORGANISMS; BACTERIAL DIVERSITY; ARGENTINE ISLANDS; DOMINANT BACTERIA; VASCULAR PLANTS; KELP GULL; SP NOV.; COMMUNITIES</t>
  </si>
  <si>
    <t>The rhizosphere microbiome of the native Antarctic hairgrass Deschampsia antarctica from the central maritime Antarctic was investigated using 16S RNA metagenomics and compared to those of the second native Antarctic plant Colobanthus quitensis and closely related temperate D. cespitosa. The rhizosphere microbial communities of D. antarctica and D. cespitosa had high taxon richness, while that of C. quitensis had markedly lower diversity. The majority of bacteria in the rhizosphere communities of the hairgrass were affiliated to Proteobacteria, Bacteroidetes, and Actinobacteria. The rhizosphere of C. quitensis was dominated by Actinobacteria. All microbial communities included high proportions of unique amplicon sequence variants (ASVs) and there was high heterogeneity between samples at the ASV level. The soil parameters examined did not explain this heterogeneity. Bacteria belonging to Actinobacteria, Bacteroidetes, and Proteobacteria were sensitive to fluctuations in the soil surface temperature. The values of the United Soil Surface Temperature Influence Index (UTII, I-i(t)) showed that variations in most microbial communities from Galindez Island were associated with microscale variations in temperature. Metabolic predictions in silico using PICRUSt 2.0, based on the taxonomically affiliated part of the microbiomes, showed similarities with the rhizosphere community of D. antarctica in terms of the predicted functional repertoire. The results obtained indicate that these communities are involved in the primary processes of soil development (particularly the degradation of lignin and lignin-derived compounds) in the central maritime Antarctic and may be beneficial for the growth of Antarctic vascular plants. However, due to the limitations associated with interpreting PICRUSt 2.0 outputs, these predictions need to be verified experimentally.</t>
  </si>
  <si>
    <t>[Prekrasna, Ievgeniia; Pavlovska, Mariia; Miryuta, Natalia; Dzhulai, Artem; Dykyi, Evgen; Kozeretska, Iryna; Parnikoza, Ivan] State Inst Natl Antarctic Sci Ctr, 16 Taras Shevchenko Blvd, UA-01601 Kiev, Ukraine; [Convey, Peter] British Antarctic Survey, NERC, Madingley Rd, Cambridge CB3 0ET, England; [Convey, Peter] Univ Johannesburg, Dept Zool, POB 524, Auckland Pk 2006, South Africa; [Bedernichek, Tymur] MM Gryshko Natl Bot Garden, 1 Timiryazev Str, UA-01014 Kiev, Ukraine; [Parnikoza, Ivan] Inst Mol Biol &amp; Genet, 150 Zabolotnogo Str, UA-03143 Kiev, Ukraine; [Parnikoza, Ivan] Natl Univ Kyiv Mohyla Acad, St Skovorody 2, UA-04070 Kiev, Ukraine; [Pavlovska, Mariia] Natl Univ Life &amp; Environm Sci Ukraine, 15 Heroiv Oborony Str, UA-03041 Kiev, Ukraine</t>
  </si>
  <si>
    <t>Ministry of Education &amp; Science of Ukraine; State Institution National Antarctic Scientific Center; UK Research &amp; Innovation (UKRI); Natural Environment Research Council (NERC); NERC British Antarctic Survey; University of Johannesburg; National Academy of Sciences Ukraine; MM Gryshko National Botanical Garden, NAS of Ukraine; National Academy of Sciences Ukraine; Institute of Molecular Biology &amp; Genetics of NASU; Ministry of Education &amp; Science of Ukraine; National University of Kyiv Mohyla Academy; National University of Life &amp; Environmental Sciences of Ukraine</t>
  </si>
  <si>
    <t>Parnikoza, I (corresponding author), State Inst Natl Antarctic Sci Ctr, 16 Taras Shevchenko Blvd, UA-01601 Kiev, Ukraine.;Parnikoza, I (corresponding author), Inst Mol Biol &amp; Genet, 150 Zabolotnogo Str, UA-03143 Kiev, Ukraine.;Parnikoza, I (corresponding author), Natl Univ Kyiv Mohyla Acad, St Skovorody 2, UA-04070 Kiev, Ukraine.</t>
  </si>
  <si>
    <t>ivan.parnikoza@uac.gov.ua</t>
  </si>
  <si>
    <t>Convey, Peter/AAV-5728-2020; Kozeretska, Iryna A/F-1383-2010; Bedernichek, Tymur/A-1255-2010</t>
  </si>
  <si>
    <t>Convey, Peter/0000-0001-8497-9903; Bedernichek, Tymur/0000-0003-2954-0118</t>
  </si>
  <si>
    <t>National Antarctic Scientific Center of Ukraine; NERC</t>
  </si>
  <si>
    <t>National Antarctic Scientific Center of Ukraine; NERC(UK Research &amp; Innovation (UKRI)Natural Environment Research Council (NERC))</t>
  </si>
  <si>
    <t>This work was supported by the National Antarctic Scientific Center of Ukraine (State Target Scientific and Technical Program for Antarctic Research in 2011-2020), the State Special-Purpose Research Program in Antarctica for 2011-2023. Peter Convey is supported by NERC core funding to the BAS `Biodiversity, Evolution and Adaptation' Team.</t>
  </si>
  <si>
    <t>JAPANESE SOC MICROBIAL ECOLOGY, DEPT BIORESOURCE SCIENCE</t>
  </si>
  <si>
    <t>IBARAKI</t>
  </si>
  <si>
    <t>C/O DR. HIROYUKI OHTA, SEC, IBARAKI UNIV COLLEGE OF AGRICULT, AMI-MACHI, IBARAKI, JAPAN</t>
  </si>
  <si>
    <t>1342-6311</t>
  </si>
  <si>
    <t>1347-4405</t>
  </si>
  <si>
    <t>MICROBES ENVIRON</t>
  </si>
  <si>
    <t>Microbes Environ.</t>
  </si>
  <si>
    <t>10.1264/jsme2.ME21069</t>
  </si>
  <si>
    <t>Biotechnology &amp; Applied Microbiology; Microbiology</t>
  </si>
  <si>
    <t>7K4FF</t>
  </si>
  <si>
    <t>WOS:000905239700003</t>
  </si>
  <si>
    <t>Sabeva, R</t>
  </si>
  <si>
    <t>Sabeva, Ralica</t>
  </si>
  <si>
    <t>Ore mineralogy and mineral chemistry of quartz-polymetallic veins in Caleta Argentina, Livingston Island, Antarctica</t>
  </si>
  <si>
    <t>SPISANIE NA B LGARSKOTO GEOLOGICHESKO DRUZHESTOV-REVIEW OF THE BULGARIAN GEOLOGICAL SOCIETY</t>
  </si>
  <si>
    <t>ore mineralogy; mineral chemistry; ore veins; Livingston; Antarctica</t>
  </si>
  <si>
    <t>MINOR ELEMENTS; TRACE; SPHALERITE</t>
  </si>
  <si>
    <t>The quartz-polymetallic veins from Caleta Argentina, Livingston Island, Antarctica consist of pyrite, chalcopyrite, galena, and sphalerite. Chalcopyrite is the most common ore mineral and with concentrations of Ag (average 240.51 ppm). Sphalerite contains Ag (average 50.82) and Au (average 0.31 ppm), and pyrite - Au from not detectable to 1.03 ppm (average 0.59 ppm) and Ag from not detectable to 54.33 ppm (average 32.52 ppm). Caleta Argentina, as one of the ore occurrences in Hurd Peninsula, has to be correlated with the other research area such as the Bulgarian Antarctic Base, the Bulgarian Beach, and Sally Rocks.</t>
  </si>
  <si>
    <t>[Sabeva, Ralica] Sofia Univ St Kliment Ohridski, Fac Geol &amp; Geog, Sofia 1504, Bulgaria</t>
  </si>
  <si>
    <t>University of Sofia</t>
  </si>
  <si>
    <t>Sabeva, R (corresponding author), Sofia Univ St Kliment Ohridski, Fac Geol &amp; Geog, Sofia 1504, Bulgaria.</t>
  </si>
  <si>
    <t>rsabeva@gea.uni-sofia.bg</t>
  </si>
  <si>
    <t>sabeva, ralica/AAM-5465-2021</t>
  </si>
  <si>
    <t>National Program of Polar Research - Ministry of Educa- tion and Science of Bulgaria; [70.25-176/22.11.2019]</t>
  </si>
  <si>
    <t>National Program of Polar Research - Ministry of Educa- tion and Science of Bulgaria;</t>
  </si>
  <si>
    <t>Acknowledgments : The investigation was fi- nancially supported by the National Program of Polar Research funded by the Ministry of Educa- tion and Science of Bulgaria (project No 70.25-176/22.11.2019) . The author gratefully acknowledges Prof. Christo Pimpirev, Bulgarian Antarctic Insti- tute, Assist. Prof. Stefan Velev for the collaborative field work and all members of the 28th Bulgarian Antarctic Expedition for the logistic support and help.</t>
  </si>
  <si>
    <t>BULGARIAN ACAD SCIENCE</t>
  </si>
  <si>
    <t>CENTRAL LIBRARY 7 NOEMVRI NO 1, SOFIA, 00000, BULGARIA</t>
  </si>
  <si>
    <t>0007-3938</t>
  </si>
  <si>
    <t>1314-8680</t>
  </si>
  <si>
    <t>SPISANIE B LGARSKOTO</t>
  </si>
  <si>
    <t>Spis. B Lgarskoto Geol. Druz.</t>
  </si>
  <si>
    <t>10.52215/rev.bgs.2022.83.3.191</t>
  </si>
  <si>
    <t>7A0TP</t>
  </si>
  <si>
    <t>WOS:000898178900020</t>
  </si>
  <si>
    <t>Hallegraeff, GM; Eriksen, RS; Davies, CH; Uribe-Palomino, J</t>
  </si>
  <si>
    <t>Hallegraeff, Gustaaf M.; Eriksen, Ruth S.; Davies, Claire H.; Uribe-Palomino, Julian</t>
  </si>
  <si>
    <t>Marine planktonic dinophysoid dinoflagellates (order Dinophysales): 60 years of species-level distributions in Australian waters</t>
  </si>
  <si>
    <t>AUSTRALIAN SYSTEMATIC BOTANY</t>
  </si>
  <si>
    <t>Australia; Australian oceans; diarrhetic shellfish poisoning; Dinophysis; dinophysoid dinoflagellates; Histioneis; Ornithocercus; Phalacroma; tropical indicator species</t>
  </si>
  <si>
    <t>ARABIAN SEA SHELF; PHALACROMA DINOPHYSALES; MOLECULAR PHYLOGENY; GENUS; DINOPHYCEAE; ACUMINATA; NORTH; CELL; VARIABILITY; MORPHOLOGY</t>
  </si>
  <si>
    <t>We reviewed 9350 Australian species-level records and confirmed 64 species of the marine planktonic dinoflagellate genera Dinophysis Ehrenb. (17 species), Phalacroma F.Stein (12), Metaphalacroma L.S.Tai (1), Pseudophalacroma Jorg. (1), Ornithocercus F.Stein (7), Histioneis F.Stein (11 spp.), Parahistioneis Kof. &amp; Skogsb. (4), Histiophysis (Kof. &amp; Mich.) Kof. &amp; Skogsb. (1), Citharistes F.Stein (2) and Amphisolenia F.Stein (8), from the period 1938-2019. The widespread D. acuminata Clap. &amp; J.Lachm., D. acuta Ehrenb., D. caudata Kent, D. fortii Pavill., and D. tripos Gourret have attracted attention as causative organisms of diarrhetic shellfish poisoning in temperate Australian waters. We discriminate between Dinophysis and Phalacroma. We newly report from Australian waters O. assimilis Jorg., Metaphalacroma skogsbergii L.S.Tai, Parahistioneis pieltainii Osorio-Taffal, Amphisolenia extensa Kof., A. inflata G.Murr. &amp; Whitt. and A. rectangulata Kof. We rediscovered Histiophysis rugosa (Kof. &amp; Mich.) Kof. &amp; Skogsb. here illustrated with two cells from the Coral Sea. The ornate tropical genera Ornithocercus and Histioneis are excellent warm-water indicators, reflecting the southward reach of the East Australian and Leeuwin currents, whereas D. truncata Cleve is a cold-water Subantarctic species.</t>
  </si>
  <si>
    <t>[Hallegraeff, Gustaaf M.; Eriksen, Ruth S.] Univ Tasmania, Inst Marine &amp; Antarctic Studies, Private Bag 129, Hobart, Tas 7001, Australia; [Eriksen, Ruth S.; Davies, Claire H.] CSIRO Oceans &amp; Atmosphere, Battery Point, Tas 7004, Australia; [Uribe-Palomino, Julian] CSIRO Oceans &amp; Atmosphere, Queensland BioSci Precinct QBP, St Lucia, Qld 4067, Australia</t>
  </si>
  <si>
    <t>University of Tasmania; Commonwealth Scientific &amp; Industrial Research Organisation (CSIRO); Commonwealth Scientific &amp; Industrial Research Organisation (CSIRO)</t>
  </si>
  <si>
    <t>Hallegraeff, GM (corresponding author), Univ Tasmania, Inst Marine &amp; Antarctic Studies, Private Bag 129, Hobart, Tas 7001, Australia.</t>
  </si>
  <si>
    <t>gustaaf.hallegraeff@utas.edu.au</t>
  </si>
  <si>
    <t>Davies, Claire H/G-6888-2013; Eriksen, Ruth/J-7760-2014; Hallegraeff, Gustaaf/C-8351-2013</t>
  </si>
  <si>
    <t>Davies, Claire H/0000-0002-0424-1835; Eriksen, Ruth/0000-0002-5184-2465; Hallegraeff, Gustaaf/0000-0001-8464-7343; Uribe-Palomino, Julian/0000-0002-6867-2108</t>
  </si>
  <si>
    <t>CSIRO PUBLISHING</t>
  </si>
  <si>
    <t>CLAYTON</t>
  </si>
  <si>
    <t>UNIPARK, BLDG 1, LEVEL 1, 195 WELLINGTON RD, LOCKED BAG 10, CLAYTON, VIC 3168, AUSTRALIA</t>
  </si>
  <si>
    <t>1030-1887</t>
  </si>
  <si>
    <t>1446-5701</t>
  </si>
  <si>
    <t>AUST SYST BOT</t>
  </si>
  <si>
    <t>Aust. Syst. Bot.</t>
  </si>
  <si>
    <t>10.1071/SB21023</t>
  </si>
  <si>
    <t>6W8ES</t>
  </si>
  <si>
    <t>WOS:000895960000002</t>
  </si>
  <si>
    <t>Halici, MG; Güllü, M; Bölükbasi, E; Yigit, MK</t>
  </si>
  <si>
    <t>Halici, Mehmet Gokhan; Gullu, Mithat; Bolukbasi, Ekrem; Yigit, Merve Kahraman</t>
  </si>
  <si>
    <t>Shackletonia backorii (Teloschistaceae)-A new species of lichenised fungus from James Ross Island (Antarctic Peninsula)</t>
  </si>
  <si>
    <t>TURKISH JOURNAL OF BOTANY</t>
  </si>
  <si>
    <t>Antarctica; biodiversity; lichenized fungi; Teloschistaceae</t>
  </si>
  <si>
    <t>TELOSCHISTACEAE; IDENTIFICATION; ASCOMYCOTA; PRIMERS</t>
  </si>
  <si>
    <t>The new lichen species Shackletonia backorii Halici, Gullu &amp; Kahraman is described from James Ross Island, which is located in the North-East Antarctic Peninsula region. The new species is morphologically most similar to S. insignis (Sochting &amp; Ovstedal) Sochting, Froden &amp; Arup, which was described from Livingstone Island (North-West Antarctic Peninsula region). These two species have a similar bluish grey to blackish thallus with a microfruticose and coralloid structure and red brown or almost black zeorine apothecia, but S. backorii has rhomboid ascospores and grows on soil whereas S. insignis has ellipsoid ascospores and occurs in sheltered crevices of rocks. The nrITS and mtSSU gene regions of the new species are studied and the phylogenetic position of the species is in the genus Shackletonia within the subfamily Xanthorioideae and it is clearly separated from the other species of the genus.</t>
  </si>
  <si>
    <t>[Halici, Mehmet Gokhan; Gullu, Mithat; Yigit, Merve Kahraman] Erciyes Univ, Fac Sci, Dept Biol, Kayseri, Turkey; [Bolukbasi, Ekrem] Amasya Univ, Suluova Vocat Sch, Dept Environm Protect Technol, Amasya, Turkey</t>
  </si>
  <si>
    <t>Erciyes University; Amasya University; Ministry of National Education - Turkey</t>
  </si>
  <si>
    <t>Halici, MG (corresponding author), Erciyes Univ, Fac Sci, Dept Biol, Kayseri, Turkey.</t>
  </si>
  <si>
    <t>BOLUKBASI, Ekrem/U-4066-2018; Kahraman Yiğit, Merve/AAW-5674-2021</t>
  </si>
  <si>
    <t>BOLUKBASI, Ekrem/0000-0003-3828-1226;</t>
  </si>
  <si>
    <t>Erciyes University; TUBITAK [118Z587]; TUBA (Turkish Academy of Science)</t>
  </si>
  <si>
    <t>Erciyes University(Erciyes University); TUBITAK(Turkiye Bilimsel ve Teknolojik Arastirma Kurumu (TUBITAK)); TUBA (Turkish Academy of Science)(Turkish Academy of Sciences)</t>
  </si>
  <si>
    <t>The first author thanks Erciyes University for their financial support to conduct the fieldwork on James Ross Island, Antarctica, ITU Polrec for their support, and J.G. Mendel station for infrastructure and facilities. This project was supported by TUBITAK 118Z587 coded Project and TUBA (Turkish Academy of Science). Dr. Alan FRYDAY (Michigan State University, USA) is thanked for the scientific contribution and for checking the language of the manuscript. Dilara BISGIN is thanked for taking the anatomical sections.</t>
  </si>
  <si>
    <t>Tubitak Scientific &amp; Technological Research Council Turkey</t>
  </si>
  <si>
    <t>ANKARA</t>
  </si>
  <si>
    <t>ATATURK BULVARI NO 221, KAVAKLIDERE, TR-06100 ANKARA, TURKIYE</t>
  </si>
  <si>
    <t>1300-008X</t>
  </si>
  <si>
    <t>1303-6106</t>
  </si>
  <si>
    <t>TURK J BOT</t>
  </si>
  <si>
    <t>Turk. J. Bot.</t>
  </si>
  <si>
    <t>10.55730/1300-008X.2725</t>
  </si>
  <si>
    <t>6N5CX</t>
  </si>
  <si>
    <t>WOS:000889575400006</t>
  </si>
  <si>
    <t>Mytrokhyn, O; Bakhmutov, V; Gavryliv, L</t>
  </si>
  <si>
    <t>Mytrokhyn, O.; Bakhmutov, V.; Gavryliv, L.</t>
  </si>
  <si>
    <t>INTRUSIVE-MAGMATIC COMPLEXES OF WILHELM ARCHIPELAGO, WEST ANTARCTICA (PART 2 - HYPABYSSAL AND SUBVOLCANIC DYKE ROCKS)</t>
  </si>
  <si>
    <t>VISNYK OF TARAS SHEVCHENKO NATIONAL UNIVERSITY OF KYIV-GEOLOGY</t>
  </si>
  <si>
    <t>Antarctic region; geology; dyke; hypabyssal and subvolcanic rocks</t>
  </si>
  <si>
    <t>The second part of the work Intrusive-magmatic complexes of Wilhelm Archupelago, West Antarctica is devoted to dykes. The authors studied dyke rocks in the Ukrainian Antarctic Station area in order to specify their petrographic diversity as well as to clarify the spatial distribution of the dykes, their geological position, age and geological relationships with other igneous formations in the region. It was found that hypabyssal and subvolcanic dykes of the Mesozoic-Cenozoic age are widespread on the Wilhelm Archipelago. The most common composition are mafic and intermediate rocks namely microgabbros, diabases, basalts and microdiorites. Felsic dykes are subordinate. Typically, studied rocks occur as small dykes that can concentrate in extended swarms. Sill-like intrusions are less common. The spatial distribution of dykes is controlled by the Lemaer - Penola fault zone of northeastern strike. Their greatest concentration was found on the Argentine Islands. The geological relationships of the dykes with isotopically dated granitoids as well as the sequence of intrusion of individual dyke bodies, which is established in the places of their distribution, allowed to distinguish, at least, two stages of dyke formation -namely Mesozoic and Cenozoic. The most ancient dyke formations of the Argentine Islands are hypabyssal dykes and sill-like intrusions of the Mesozoic age. They intruded after the accumulation of the Jurassic-Cretaceous volcanic strata of the Argentine Islands, but before the formation of the Paleogene granitoids on the Barchans and Forge Islands. The petrographic diversity of Mesozoic dyke rocks is represented by microdiorites and microgabbros, as well as their contact-metamorphosed equivalents. All hypabyssal and subvolcanic dykes intruding the Paleogene granitoids on Barchans and Forge islands are of Cenozoic age. Among them, the most common are diabase and basalt dykes. Microdiorites are of subordinate importance. The characteristic petrographic features of the Cenozoic dykes allow to identify their age analogs outside of the Barchans-Forge granitoid intrusion.</t>
  </si>
  <si>
    <t>[Mytrokhyn, O.] Taras Schevchenko Natl Univ Kyiv, Inst Geol, 90 Vasylkivska Str, UA-03022 Kiev, Ukraine; [Bakhmutov, V.] Natl Acad Sci Ukraine, Inst Geophys, 32 Palladin Av, UA-03680 Kiev, Ukraine; [Gavryliv, L.] Vasylkivska Univ, Fac Nat Sci, Ilkovicova 3278-6, Bratislava 84104, Slovakia</t>
  </si>
  <si>
    <t>National Academy of Sciences Ukraine; Institute of Geological Sciences, National Academy of Sciences of Ukraine; Ministry of Education &amp; Science of Ukraine; Taras Shevchenko National University of Kyiv; National Academy of Sciences Ukraine; Subbotin Institute of Geophysics, National Academy of Sciences of Ukraine; Comenius University Bratislava</t>
  </si>
  <si>
    <t>Mytrokhyn, O (corresponding author), Taras Schevchenko Natl Univ Kyiv, Inst Geol, 90 Vasylkivska Str, UA-03022 Kiev, Ukraine.</t>
  </si>
  <si>
    <t>mitrokhin.a.v@ukr.net; bakhmutovvg@gmail.com; liubomyr.gavryliv@uniba.sk</t>
  </si>
  <si>
    <t>Mytrokhyn, Oleksandr/I-2020-2018</t>
  </si>
  <si>
    <t>Mytrokhyn, Oleksandr/0000-0001-6269-0092</t>
  </si>
  <si>
    <t>NATL TARAS SHEVCHENKO UNIV KYIV</t>
  </si>
  <si>
    <t>KYIV</t>
  </si>
  <si>
    <t>BULVAR TARASA SHEVCHENKO, 14, OFIS 43, KYIV, 01601, UKRAINE</t>
  </si>
  <si>
    <t>2079-9063</t>
  </si>
  <si>
    <t>VISNYK TARAS SHEVCHE</t>
  </si>
  <si>
    <t>Visnyk Taras Shevchenko Natl. Univ. Kyiv-Geol.</t>
  </si>
  <si>
    <t>10.17721/1728-2713.98.01</t>
  </si>
  <si>
    <t>6K1DT</t>
  </si>
  <si>
    <t>WOS:000887252800001</t>
  </si>
  <si>
    <t>Jezek, KC; Wang, SJ; Leduc-Leballeur, M; Johnson, JT; Brogioni, M; Miller, JZ; Long, DG; Macelloni, G</t>
  </si>
  <si>
    <t>Jezek, Kenneth C. C.; Wang, Shujie; Leduc-Leballeur, Marion; Johnson, Joel T. T.; Brogioni, Marco; Miller, Julie Z. Z.; Long, David G. G.; Macelloni, Giovanni</t>
  </si>
  <si>
    <t>Relationships Between L-Band Brightness Temperature, Backscatter, and Physical Properties of the Ross Ice Shelf Antarctica</t>
  </si>
  <si>
    <t>Ice; Ice shelf; Ocean temperature; Antarctica; Microwave radiometry; Temperature measurement; Sea surface; Earth observations; microwave radiometry</t>
  </si>
  <si>
    <t>AMERICA STATION; SOIL-MOISTURE; SURFACE; MELT</t>
  </si>
  <si>
    <t>Radiometric and radar data from NASA's Soil Moisture Active Passive (SMAP) satellite are presented in a study of the Ross ice shelf, Antarctica. L-band brightness temperature ( $T_{B}$ ) patterns compare favorably to the outflow patterns from East and West Antarctica. Cooler $T_{B}$ is associated with the broad outflow from West Antarctic ice streams and the outflow from narrow outlet glaciers that drain East Antarctica. Aside from outlet glacier discharges, ice from East Antarctica is thinner and radiometrically warmer than that from West Antarctica. $T_{B}$ is stable across the ice shelf over the 6-year period of observations (1-2 K standard deviation). Over shorter times, surface melt events cause pre- and post-melt TB to vary by as much as 5 K in vertical polarization. Radar measurements highlight areas where backscatter is strong from melt-related ice lenses and ice layers, consistent with a corresponding decrease in TB. The TB polarization ratio on the ice shelf is approximately 1.13 and decreases from the West Antarctic grounding line toward the East Antarctic outlet glaciers. The backscatter polarization ratio increases by several dB from West to East Antarctica, indicating a decreasing influence of volume scatter toward East Antarctica. The decreasing TB polarization ratio indicates a diminishing role of firn layering on the depth-integrated emission. There is a negative correlation between warming brightness temperature and thinning. An explanation for this observation is that the relatively warm ice shelf has a relatively shallow (500 m or less) penetration depth leading to a warm physical temperature bias.</t>
  </si>
  <si>
    <t>[Jezek, Kenneth C. C.] Ohio State Univ, Byrd Polar &amp; Climate Res Ctr, Columbus, OH 43210 USA; [Wang, Shujie] Penn State Univ, Environm Syst Inst, Dept Geog &amp; Earth, University Pk, PA USA; [Wang, Shujie] Penn State Univ, Earth &amp; Environm Syst Inst, University Pk, PA 16802 USA; [Leduc-Leballeur, Marion; Brogioni, Marco; Macelloni, Giovanni] CNR, Inst Appl Phys Nello Carrara, I-50019 Sesto Fiorentino, Italy; [Johnson, Joel T. T.] Ohio State Univ, Electrosci Lab, Columbus, OH USA; [Miller, Julie Z. Z.] Cooperat Inst Res Environm Sci, Earth Observat, Boulder, CO 80309 USA; [Long, David G. G.] Brigham Young Univ, Dept Elect &amp; Comp Engn, Provo, UT 84602 USA</t>
  </si>
  <si>
    <t>University System of Ohio; Ohio State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 Consiglio Nazionale delle Ricerche (CNR); Istituto di Fisica Applicata Nello Carrara (IFAC-CNR); University System of Ohio; Ohio State University; Brigham Young University</t>
  </si>
  <si>
    <t>Jezek, KC (corresponding author), Ohio State Univ, Byrd Polar &amp; Climate Res Ctr, Columbus, OH 43210 USA.</t>
  </si>
  <si>
    <t>jezek15@gmail.com; skw5660@psu.edu; m.leduc@ifac.cnr.it; johnson.1374@osu.edu; m.brogioni@ifac.cnr.it; jzmiller.research@gmail.com; g.macelloni@ifac.cnr.it</t>
  </si>
  <si>
    <t>Leduc-Leballeur, Marion/AAK-9880-2021; Brogioni, Marco/B-7522-2015</t>
  </si>
  <si>
    <t>Leduc-Leballeur, Marion/0000-0001-7579-7024; Wang, Shujie/0000-0002-8055-0234; Brogioni, Marco/0000-0001-6232-6020; Miller, J. Z./0000-0003-1452-1627</t>
  </si>
  <si>
    <t>National Aeronautics and Space Administration (NASA) Cryospheric Science Program [80NSSC18K0550, 80NSSC22K0384, NNX14AH91G]; National Science Foundation [1838401]; talian Space Agency (ASI) Project Cryorad Follow-On [2021-1-U.0]</t>
  </si>
  <si>
    <t>National Aeronautics and Space Administration (NASA) Cryospheric Science Program; National Science Foundation(National Science Foundation (NSF)); talian Space Agency (ASI) Project Cryorad Follow-On</t>
  </si>
  <si>
    <t>This work was supported in part by the National Aeronautics and Space Administration (NASA) Cryospheric Science Program under Grant 80NSSC18K0550, Grant 80NSSC22K0384, and Grant NNX14AH91G; and in part by the National Science Foundation underGrant 1838401. The work of Marion Leduc-Leballeur, Marco Brogioni, andGiovanni Macelloni was supported by the Italian Space Agency (ASI) ProjectCryorad Follow-On under Contract 2021-1-U.0.</t>
  </si>
  <si>
    <t>10.1109/TGRS.2022.3218538</t>
  </si>
  <si>
    <t>6L5JD</t>
  </si>
  <si>
    <t>WOS:000888219000004</t>
  </si>
  <si>
    <t>Noh, HJ; Park, Y; Yang, J; Jang, S; Lee, H; Lee, YM</t>
  </si>
  <si>
    <t>Noh, Hyun-Ju; Park, Yerin; Yang, Junwon; Jang, Seonghan; Lee, Hyoungseok; Lee, Yung Mi</t>
  </si>
  <si>
    <t>Polymorphobacter megasporae sp. nov., isolated from an Antarctic lichen</t>
  </si>
  <si>
    <t>Antarctica; novel species; Polymorphobacter megasporae; polyphasic taxonomy; lichen</t>
  </si>
  <si>
    <t>BACTERIAL COMMUNITIES; ADAPTATION; DIVERSITY; EVOLUTION; DNA</t>
  </si>
  <si>
    <t>A Gram-stain-negative, aerobic, orange-coloured, rod-shaped and non-motile bacterial strain, PAMC 29362(T), was isolated from an Antarctic lichen, Megaspora verrucosa. Phylogenetic and phylogenomic analyses indicated that strain PAMC 29362(T) belongs to the genus Polymorphobacter and was most closely related to Polymorphobacter arshaanensis (97.0% of 16S rRNA gene similarity), Polymorphobacter fuscus (96.3 %), Polymorphobacter multimanifer (95.3 %) and Polymorphobacter glacialis (95.2 %). Genomic relatedness analyses showed that strain PAMC 29362(T) is clearly distinguished from type strains of the genus Polymorphobacter based on values of average nucleotide identity (&lt;74.3 %) and digital DNA-DNA hybridization (&lt;20.4 %). The genomic DNA G+C content of PAMC 29362(T) was 65.5 %. The major fatty acids (&gt;10 %) were summed feature 8 (C-18:1 omega 7c; 38.5 %) and summed feature 3 (C-16:1 omega 7c and/or C-16:1 omega 6c; 31.5 %). The major respiratory quinone was Q-10. Based on the results of phylogenetic, genome-based relatedness and physiological analyses, strain PAMC 29362(T) is proposed to represent a novel species of the genus Polymorphobacter , with the name Polymorphobacter megasporae sp. nov. The type strain is PAMC 29362(T) (=KCTC 82 578(T)=JCM 34545(T))</t>
  </si>
  <si>
    <t>[Noh, Hyun-Ju; Park, Yerin; Jang, Seonghan; Lee, Hyoungseok; Lee, Yung Mi] Korea Polar Res Inst, Div Life Sci, 26 Songdomirae Ro, Incheon 21990, South Korea; [Noh, Hyun-Ju] Honam Natl Inst Biol Resources, Div Microbiol, 99 Gohadoan Gil, Mokpo Si, Jeollanam Do, South Korea; [Park, Yerin] Seoul Natl Univ, Sch Earth &amp; Environm Sci, Seoul 08826, South Korea; [Yang, Junwon] Seoul Natl Univ, Interdisciplinary Program Bioinformat, Seoul 08826, South Korea</t>
  </si>
  <si>
    <t>Korea Polar Research Institute (KOPRI); Seoul National University (SNU); Seoul National University (SNU)</t>
  </si>
  <si>
    <t>Lee, YM (corresponding author), Korea Polar Res Inst, Div Life Sci, 26 Songdomirae Ro, Incheon 21990, South Korea.</t>
  </si>
  <si>
    <t>ymlee@kopri.re.kr</t>
  </si>
  <si>
    <t>Korea Polar Research Institute [PE22130]</t>
  </si>
  <si>
    <t>Korea Polar Research Institute(Korea Polar Research Institute of Marine Research Placement (KOPRI))</t>
  </si>
  <si>
    <t>This work was supported by the Korea Polar Research Institute (Grant PE22130).</t>
  </si>
  <si>
    <t>10.1099/ijsem.0.005535</t>
  </si>
  <si>
    <t>6I3OW</t>
  </si>
  <si>
    <t>WOS:000886038700005</t>
  </si>
  <si>
    <t>Ma, FJ; Zheng, JJ; Kang, CB; Chen, QL; Li, P; Nie, X; Zhang, XH</t>
  </si>
  <si>
    <t>Yang, C; Xie, J</t>
  </si>
  <si>
    <t>Ma, Fujian; Zheng, Jinjun; Kang, Chengbin; Chen, Qiuli; Li, Ping; Nie, Xin; Zhang, Xiaohong</t>
  </si>
  <si>
    <t>Study on the Relationship Between the Equivalent GDOP and the Convergence Time of LEO-Augmented BDS PPP</t>
  </si>
  <si>
    <t>CHINA SATELLITE NAVIGATION CONFERENCE PROCEEDINGS, CSNC 2022, VOL II</t>
  </si>
  <si>
    <t>Lecture Notes in Electrical Engineering</t>
  </si>
  <si>
    <t>13th China Satellite Navigation Conference (CSNC) - Digital Economy and Intelligent Navigation</t>
  </si>
  <si>
    <t>MAY 25-27, 2022</t>
  </si>
  <si>
    <t>Beijing, PEOPLES R CHINA</t>
  </si>
  <si>
    <t>Equivalent GDOP; LEO constellation; LEO-augmented BDS; PPP; Convergence time</t>
  </si>
  <si>
    <t>Compared with BeiDou satellites, low earth orbit (LEO) satellites travel faster and show greater changes in spatial geometry within the same duration. When they are served as navigation satellites and assist BDS precise point positioning (PPP), fast initialization can be realized. Usually, the geometry of a constellation is represented by the geometric dilution of precision (GDOP). However, traditional GDOP metric can only reflect the instantaneous positioning accuracy of standard navigation and positioning service rather than the convergence performance of PPP, and cannot be calculated when the number of instantaneous visible satellites is less than 4. Considering that the coverage fold of future LEO navigation-augmentation constellation may be below 4 and meanwhile it is meaningful to comprehensively describe the continuous impacts of satellite numbers, moving velocity, moving direction and geometric change level on the convergence process of PPP, the concept of equivalent GDOP (EGDOP) based on accumulated time is proposed. Then, thousands of LEO constellations and their observation data are simulated and used for the analysis of the relationship between the EGDOP of LEO constellation and the convergence time of LEO-augmented BDS PPP. The results show that for 1-min sessions the smaller the EGDOP, the shorter the convergence time and the higher the probability that PPP converge within 1 min. Under ideal ephemeris conditions, the probabilities of realizing fast PPP with the horizontal positioning accuracy better than 10 cm and convergence time below 1 min are 100%, 95% and 65% when the corresponding EGDOP are below 0.29, 0.30 and 0.51, respectively. The relevant results can be used as an important basis for the optimization design of future LEO navigation-augmentation constellations.</t>
  </si>
  <si>
    <t>[Ma, Fujian; Zheng, Jinjun; Kang, Chengbin; Chen, Qiuli; Li, Ping; Nie, Xin] China Acad Space Technol, Inst Telecommun &amp; Nav Satellites, Beijing 100094, Peoples R China; [Zhang, Xiaohong] Wuhan Univ, Chinese Antarctic Ctr Surveying &amp; Mapping, Wuhan 430079, Peoples R China</t>
  </si>
  <si>
    <t>Ma, FJ (corresponding author), China Acad Space Technol, Inst Telecommun &amp; Nav Satellites, Beijing 100094, Peoples R China.</t>
  </si>
  <si>
    <t>fjmasgg@whu.edu.cn</t>
  </si>
  <si>
    <t>Ma, Fujian/ACF-1574-2022; Zhang, Xiaohong/A-3060-2015</t>
  </si>
  <si>
    <t>SPRINGER-VERLAG SINGAPORE PTE LTD</t>
  </si>
  <si>
    <t>SINGAPORE</t>
  </si>
  <si>
    <t>152 BEACH ROAD, #21-01/04 GATEWAY EAST, SINGAPORE, 189721, SINGAPORE</t>
  </si>
  <si>
    <t>1876-1100</t>
  </si>
  <si>
    <t>1876-1119</t>
  </si>
  <si>
    <t>978-981-19-2580-1; 978-981-19-2579-5</t>
  </si>
  <si>
    <t>LECT NOTES ELECTR EN</t>
  </si>
  <si>
    <t>10.1007/978-981-19-2580-1_21</t>
  </si>
  <si>
    <t>BU2XY</t>
  </si>
  <si>
    <t>WOS:000889126600021</t>
  </si>
  <si>
    <t>Tian, YX; Xia, ML; An, L; Scaioni, M; Li, RX</t>
  </si>
  <si>
    <t>Tian, Yixiang; Xia, Menglian; An, Lu; Scaioni, Marco; Li, Rongxing</t>
  </si>
  <si>
    <t>Innovative Method of Combing Multidecade Remote Sensing Data for Detecting Precollapse Elevation Changes of Glaciers in the Larsen B Region, Antarctica</t>
  </si>
  <si>
    <t>IEEE JOURNAL OF SELECTED TOPICS IN APPLIED EARTH OBSERVATIONS AND REMOTE SENSING</t>
  </si>
  <si>
    <t>ARGON photograph; digital elevation model(DEM); glacier; Larsen B</t>
  </si>
  <si>
    <t>ICE SHELF; SATELLITE IMAGES; MASS-BALANCE; PENINSULA; RETREAT; ACCURACY; DISINTEGRATION; GREENLAND; DYNAMICS; MODEL</t>
  </si>
  <si>
    <t>The Antarctic Peninsula has undergone dramatic changes in recent decades, including ice-shelf melting, disintegration, and retreat of the grounding line. The Larsen B ice shelf is of particular concern due to the unprecedented ice-shelf collapse in 2002. Since few observations on the Antarctic Peninsula were available before the 1970s, long-term investigation of the surface elevation change in the Larsen B region could not be pursued. In 1995, the United States administration declassified a collection of archived intelligence satellite photographs from the 1960s to the 1970s, including analogue satellite images from the ARGON program covering parts of the Larsen B region. We chose overlapping ARGON photos captured in the Larsen B region in 1963. These photos were all subjected to a tailored photogrammetric stereo-matching process, which overcomes those specific challenges related to the use of historical satellite images, such as poor image quality, low resolution, and a lack of high-precision validation data. We discovered that between 1963 and 2001, the surface elevations of the main tributary glaciers in the Larsen B embayment have undergone little change before the ice shelf collapse from 1963 to 2001 by comparing the reconstructed ARGON-derived digital elevation model (DEM) (1963) and ASTER-derived DEM (2001). In addition, the results demonstrated that the hierarchical image matching method can be modified and applied to reconstruct a historical Antarctic DEM using satellite images acquired &amp; SIM;60 years ago through an innovative and rigorous ground control point selection procedure that guarantees no changes occurred at these points over the period. The new ARGON-derived DEM derived from ARGON (1963) can be used to build a long-term spatiotemporal record of observations for extended analyses of ice-surface dynamics and mass balance in the Larsen B region.</t>
  </si>
  <si>
    <t>[Tian, Yixiang; Xia, Menglian; An, Lu; Li, Rongxing] Tongji Univ, Coll Surveying &amp; Geoinformat, Ctr Spatial Informat Sci &amp; Sustainable Dev Applica, Shanghai 200092, Peoples R China; [Scaioni, Marco] Politecn Milan, Dept Architecture Built Environm &amp; Construct Engn, I-20133 Milan, Italy</t>
  </si>
  <si>
    <t>Tongji University; Polytechnic University of Milan</t>
  </si>
  <si>
    <t>An, L; Li, RX (corresponding author), Tongji Univ, Coll Surveying &amp; Geoinformat, Ctr Spatial Informat Sci &amp; Sustainable Dev Applica, Shanghai 200092, Peoples R China.</t>
  </si>
  <si>
    <t>tianyixiang@tongji.edu.cn; menglianxia@tongji.edu.cn; anlu2021@tongji.edu.cn; marco.scaioni@polimi.it; rli@tongji.edu.cn</t>
  </si>
  <si>
    <t>An, Lu/ISS-6776-2023</t>
  </si>
  <si>
    <t>Li, Rongxing/0000-0001-9837-5115; AN, LU/0000-0003-3507-5953; Xia, Menglian/0000-0002-6114-3385</t>
  </si>
  <si>
    <t>National Science Foundation of China [41730102]; National Key Research and Development Program of China [2017YFA0603102]; Fundamental Research Funds for the Central Universities [22120170152]; Polar Expedition Office of the State Oceanic Administration of China</t>
  </si>
  <si>
    <t>National Science Foundation of China(National Natural Science Foundation of China (NSFC)); National Key Research and Development Program of China; Fundamental Research Funds for the Central Universities(Fundamental Research Funds for the Central Universities); Polar Expedition Office of the State Oceanic Administration of China</t>
  </si>
  <si>
    <t>This work was supported in part by the National Science Foundation of China under Grant 41730102, in part by the National Key Research and Development Program of China under Grant 2017YFA0603102, in part by the Polar Expedition Office of the State Oceanic Administration of China, and in part by the Fundamental Research Funds for the Central Universities under Grant 22120170152.</t>
  </si>
  <si>
    <t>1939-1404</t>
  </si>
  <si>
    <t>2151-1535</t>
  </si>
  <si>
    <t>IEEE J-STARS</t>
  </si>
  <si>
    <t>IEEE J. Sel. Top. Appl. Earth Observ. Remote Sens.</t>
  </si>
  <si>
    <t>10.1109/JSTARS.2022.3217279</t>
  </si>
  <si>
    <t>Engineering, Electrical &amp; Electronic; Geography, Physical; Remote Sensing; Imaging Science &amp; Photographic Technology</t>
  </si>
  <si>
    <t>Engineering; Physical Geography; Remote Sensing; Imaging Science &amp; Photographic Technology</t>
  </si>
  <si>
    <t>6J1LQ</t>
  </si>
  <si>
    <t>WOS:000886590300010</t>
  </si>
  <si>
    <t>Zurli, L; Cornamusini, G; Woo, J; Liberato, GP; Han, S; Kim, Y; Talarico, FM</t>
  </si>
  <si>
    <t>Zurli, Luca; Cornamusini, Gianluca; Woo, Jusun; Liberato, Giovanni Pio; Han, Seunghee; Kim, Yoonsup; Talarico, Franco Maria</t>
  </si>
  <si>
    <t>Detrital zircons from Late Paleozoic Ice Age sequences in Victoria Land (Antarctica): New constraints on the glaciation of southern Gondwana</t>
  </si>
  <si>
    <t>GEOLOGICAL SOCIETY OF AMERICA BULLETIN</t>
  </si>
  <si>
    <t>MARIE BYRD LAND; CENTRAL TRANSANTARCTIC MOUNTAINS; U-PB GEOCHRONOLOGY; DRY VALLEYS AREA; BEACON SUPERGROUP; ROSS SEA; EASTERN AUSTRALIA; PACIFIC MARGIN; GLACIGENIC DEPOSITS; TECTONIC EVOLUTION</t>
  </si>
  <si>
    <t>The Lower Permian tillites of the Beacon Supergroup, cropping out in Victoria Land (Antarctica), record climatic history during one of the Earth's coldest periods: the Late Paleozoic Ice Age. Reconstruction of ice-extent and paleo-flow directions, as well as geochronological and petrographic data, are poorly constrained in this sector of Gondwana. Here, we provide the first detrital zircon U-Pb age analyses of both the Metschel Tillite in southern Victoria Land and some tillites correlatable with the Lanterman Formation in northern Victoria Land to identify the source regions of these glaciogenic deposits. Six-hundred detrital zircon grains from four diamictite samples were analyzed using laser ablation-inductively coupled plasma-mass spectrometry. Geochronological and petrographic compositional data of the Metschel Tillite indicate a widespread reworking of older Devonian Beacon Super-group sedimentary strata, with minor contribution from Cambro-Ordovician granitoids and meta-sedimentary units as well as Neoproterozoic metamorphic rocks. Euhedral to subhedral Carboniferous-Devonian zircon grains match coeval magmatic units of northern Victoria Land and Marie Byrd Land. This implies, in accordance with published paleo-ice directions, a provenance from the east-southeast sectors. In contrast, the two samples from northern Victoria Land tillite reflect the local basement provenance; their geochronological age and petrographic composition indicates a restricted catchment area with multiple ice centers. This shows that numerous ice centers were present in southern Gondwana during the Late Paleozoic Ice Age. While northern Victoria Land hosted discrete glaciers closely linked with the northern Victoria Land-Tasmania ice cap, the west-northwestward flowing southern Victoria Land ice cap contributed most of the sediments comprising the Metschel Tillite.</t>
  </si>
  <si>
    <t>[Zurli, Luca; Cornamusini, Gianluca; Liberato, Giovanni Pio; Talarico, Franco Maria] Univ Siena, Dept Phys Earth &amp; Environm Sci, Via Laterino 8, I-53100 Siena, Italy; [Cornamusini, Gianluca] Univ Siena, Ctr Geotechnol, Via Vetri Vecchi 34, I-52027 San Giovanni Valdarno, Arezzo, Italy; [Woo, Jusun; Han, Seunghee] Korea Polar Res Inst, Div Polar Earth Syst Sci, 26 Songdomirae Ro, Incheon 21990, South Korea; [Woo, Jusun] Seoul Natl Univ, Sch Earth &amp; Environm Sci, 1 Gwanak Ro, Seoul 08826, South Korea; [Kim, Yoonsup] Chungbuk Natl Univ, Dept Earth &amp; Environm Sci, Cheongju 28644, South Korea; [Talarico, Franco Maria] Univ Siena, Natl Museum Antarct, Via Laterino 8, I-53100 Siena, Italy</t>
  </si>
  <si>
    <t>University of Siena; University of Siena; Korea Polar Research Institute (KOPRI); Seoul National University (SNU); Chungbuk National University; University of Siena</t>
  </si>
  <si>
    <t>Cornamusini, G (corresponding author), Univ Siena, Dept Phys Earth &amp; Environm Sci, Via Laterino 8, I-53100 Siena, Italy.;Cornamusini, G (corresponding author), Univ Siena, Ctr Geotechnol, Via Vetri Vecchi 34, I-52027 San Giovanni Valdarno, Arezzo, Italy.</t>
  </si>
  <si>
    <t>luca.zurli@student.unisi.it; gianluca.cornamusini@unisi.it; jusunwoo@snu.ac.kr; giovannipio.liber@student.unisi.it; glorious1989@kopri.re.kr; yoonsup@chungbuk.ac.kr; franco.talarico@unisi.it</t>
  </si>
  <si>
    <t>Zurli, Luca/AGQ-5087-2022</t>
  </si>
  <si>
    <t>Zurli, Luca/0000-0002-7669-7305</t>
  </si>
  <si>
    <t>Italian National Antarctic Research Program (PNRA) [AZ2.08 PNRA PEA2013]</t>
  </si>
  <si>
    <t>Italian National Antarctic Research Program (PNRA)(Ministry of Education, Universities and Research (MIUR))</t>
  </si>
  <si>
    <t>This work was supported by the Italian National Antarctic Research Program (PNRA) [AZ2.08 PNRA PEA2013]. We wish to thank Dr. Rosaria Palmeri and Dr. Sonia Sandroni of the National Museum of Antarctica-Siena Section (http://www.mna.it/siena/sienasede-espositiva), where the samples are stored. We wish also to thank the Korea Polar Research Institute, Incheon, Republic of Korea and its staff who helped us during the analysis and the Chungbuk National University laboratory, Cheongju, Republic of Korea for the sample preparation. Our acknowledgment also goes to Professor Claudio Ghezzo with whom we have had fruitful discussions. We especially thank the two anonymous reviewers and the Associate Editor for their careful revisions that largely improved the manuscript. We also thank James Marschalek for his precious contribution of a language review. In memory of our friend and colleague Franco Talarico, who highly contributed to this research and who suddenly passed away.</t>
  </si>
  <si>
    <t>GEOLOGICAL SOC AMER, INC</t>
  </si>
  <si>
    <t>BOULDER</t>
  </si>
  <si>
    <t>PO BOX 9140, BOULDER, CO 80301-9140 USA</t>
  </si>
  <si>
    <t>0016-7606</t>
  </si>
  <si>
    <t>1943-2674</t>
  </si>
  <si>
    <t>GEOL SOC AM BULL</t>
  </si>
  <si>
    <t>Geol. Soc. Am. Bull.</t>
  </si>
  <si>
    <t>10.1130/B35905.1</t>
  </si>
  <si>
    <t>YD5FW</t>
  </si>
  <si>
    <t>WOS:000740439000002</t>
  </si>
  <si>
    <t>Sviashchennikov, P; Drugorub, A</t>
  </si>
  <si>
    <t>Sviashchennikov, Pavel; Drugorub, Aleksandr</t>
  </si>
  <si>
    <t>Long-term trends in total cloud cover in the Arctic based on surface observations in 1985-2020</t>
  </si>
  <si>
    <t>BULLETIN OF GEOGRAPHY-PHYSICAL GEOGRAPHY SERIES</t>
  </si>
  <si>
    <t>Arctic; Arctic climate; climate change; cloud cover; water vapour; atmospheric heat transport; atmospheric moisture transport</t>
  </si>
  <si>
    <t>This paper provides an assessment of long-term trends in total cloud cover in the Arctic for the period 1985-2020 based on surface observations. Analysis shows that total cloud cover exhibits a substantial variation both between seasons and from year to year. Two areas of positive trends were found in the total cloud cover from October to April over the Arctic: one in the North Atlantic from 20 degrees W up to 90 degrees E and another from 150 degrees E up to 150 degrees W, which may be a result of atmospheric heat and moisture transport through the Atlantic and Pacific gates. Throughout the year, positive trends dominate over the Arctic Ocean and its seas (except for the Laptev Sea). Negative trends prevail over the continental parts of the Arctic.</t>
  </si>
  <si>
    <t>[Sviashchennikov, Pavel; Drugorub, Aleksandr] St Petersburg State Univ, 7-9 Univ Skaya Emb, St Petersburg 199034, Russia; [Sviashchennikov, Pavel] Arctic &amp; Antarctic Res Inst, 38 Bering St, St Petersburg 199397, Russia</t>
  </si>
  <si>
    <t>Saint Petersburg State University; Arctic &amp; Antarctic Research Institute</t>
  </si>
  <si>
    <t>Sviashchennikov, P (corresponding author), St Petersburg State Univ, 7-9 Univ Skaya Emb, St Petersburg 199034, Russia.;Sviashchennikov, P (corresponding author), Arctic &amp; Antarctic Res Inst, 38 Bering St, St Petersburg 199397, Russia.</t>
  </si>
  <si>
    <t>svyashchennikov@mail.ru</t>
  </si>
  <si>
    <t>Drugorub, Aleksandr/GLQ-8456-2022</t>
  </si>
  <si>
    <t>Drugorub, Aleksandr/0000-0002-7832-9557</t>
  </si>
  <si>
    <t>National Science Centre, Poland [2015/19/B/ST10/02933]; Russian Foundation for Basic Research (RFBR) [18-05-60107]; Royal Netherlands Meteorological Institute (KNMI); NOAA's National Centers for Environmental Information (NCEI)</t>
  </si>
  <si>
    <t>National Science Centre, Poland(National Science Centre, Poland); Russian Foundation for Basic Research (RFBR)(Russian Foundation for Basic Research (RFBR)); Royal Netherlands Meteorological Institute (KNMI); NOAA's National Centers for Environmental Information (NCEI)</t>
  </si>
  <si>
    <t>The study was carried out as a part of the scientific project titled Causes of the early 20th century Arctic warming funded by the National Science Centre, Poland (Grant 2015/19/B/ST10/02933) and also were supported by the grant of the Russian Foundation for Basic Research (RFBR) Changes in the freshwater balance of the Arctic Ocean during the period of global warming, their impact on sea ice and on enhanced warming of the Arctic (Grant 18-05-60107). The authors acknowledge the All-Russian Research Institute of Hydrometeorological Information, The Royal Netherlands Meteorological Institute (KNMI) and NOAA's National Centers for Environmental Information (NCEI) for data on total cloud cover and mean monthly air temperature, as well as World Radiation Monitoring Center for the provided data on global and downward radiation fluxes.</t>
  </si>
  <si>
    <t>SCIENDO</t>
  </si>
  <si>
    <t>BOGUMILA ZUGA 32A, WARSAW, MAZOVIA, POLAND</t>
  </si>
  <si>
    <t>2080-7686</t>
  </si>
  <si>
    <t>2300-8490</t>
  </si>
  <si>
    <t>BULL GEOGR-PHYS GEOG</t>
  </si>
  <si>
    <t>Bull. Geogr.-Phys. Geogr. Ser.</t>
  </si>
  <si>
    <t>10.12775/bgeo-2022-0003</t>
  </si>
  <si>
    <t>6J4DX</t>
  </si>
  <si>
    <t>WOS:000886775900003</t>
  </si>
  <si>
    <t>Kim, HJ; Suh, SS; Park, J; Shin, MJ; Koo, MH; Lee, SJ; Jeon, YJ; Lee, S; Youn, UJ; Kim, SH</t>
  </si>
  <si>
    <t>Kim, Hyun-Jin; Suh, Sung-Suk; Park, Jeongwon; Shin, Min-Ji; Koo, Man Hyung; Lee, Suk Jun; Jeon, Young -Jun; Lee, Seongsoo; Youn, Ui-Joung; Kim, Sung-Hak</t>
  </si>
  <si>
    <t>7?-22 Dihydroxyhopane, Isolated from the Sub-Antarctic Lichen, Inhibits the Viability and Stemness in Glioma Stem Like Cells br</t>
  </si>
  <si>
    <t>ONCOTARGETS AND THERAPY</t>
  </si>
  <si>
    <t>Glioblastoma; glioma; Pseudocyphellaria freycinetii; hopane triterpenoid</t>
  </si>
  <si>
    <t>NATURAL-PRODUCTS; PSEUDOCYPHELLARIA; DEPSIDES</t>
  </si>
  <si>
    <t>Background: Glioma stem cells (GSCs) have been reported to contribute to tumor initiation and relapse, therapy resistance, and intra-tumoral heterogeneity of glioblastoma multiforme. Therefore, inhibiting GSCs presents a critical therapeutic tactic to suppress the aggressiveness of tumors.Methods: In this study, we examined the effects of 70-22 dihydroxyhopane (AP 18), isolated from the sub-Antarctic lichen, Pseudocyphellaria freycinetii. The cytotoxic effect of AP 18 and its effects on cell proliferation were assessed by alamarBlue assay and 5-ethynyl-2 '-deoxyuridine (EdU) assay. Real-time confluence analysis was performed with a Celloger automatic live cell imaging system. Western Blotting and 3-D optical diffraction tomography (ODT) imaging were performed to determine whether apoptosis was triggered by AP 18. A Limiting dilution assay and qRT-PCR were performed to investigate the impact of AP 18 on GSC stemness.Results: AP 18 significantly reduced GSCs viability and proliferation, inducing programmed cell death identified by Annexin V/PI staining and had effects on morphologic features determined by 3-D ODT. Interestingly, treatment with AP 18 suppressed stemness features.Conclusion: Taken together, our results suggest that AP 18 might be a potential therapeutic agent to target GSCs.</t>
  </si>
  <si>
    <t>[Kim, Hyun-Jin; Kim, Sung-Hak] Chonnam Natl Univ, Dept Anim Sci, Gwangju 61186, South Korea; [Suh, Sung-Suk; Shin, Min-Ji] Mokpo Natl Univ, Dept Biosci, Muan 58554, South Korea; [Park, Jeongwon; Lee, Seongsoo] Korea Basic Sci Inst KBSI, Gwangju Ctr, Gwangju 61186, South Korea; [Koo, Man Hyung] Korea Polar Res Inst, Res Unit Cryogen Novel Mat, Incheon 21990, South Korea; [Lee, Suk Jun] Cheongju Univ, Coll Hlth &amp; Med Sci, Dept Biomed Lab Sci, Chungbuk 28503, South Korea; [Jeon, Young -Jun] Sungkyunkwan Univ, Dept Integrat Biotechnol, Suwon 16419, South Korea; [Youn, Ui-Joung] Korea Polar Res Inst KOPRI, Div Life Sci, Incheon 21990, South Korea; [Youn, Ui-Joung] Korea Polar Res Inst KOPRI, Div Life Sci, Incheon 21990, South Korea</t>
  </si>
  <si>
    <t>Chonnam National University; Mokpo National University; Korea Basic Science Institute (KBSI); Korea Polar Research Institute (KOPRI); Cheongju University; Sungkyunkwan University (SKKU); Korea Polar Research Institute (KOPRI); Korea Polar Research Institute (KOPRI)</t>
  </si>
  <si>
    <t>Kim, SH (corresponding author), Chonnam Natl Univ, Dept Anim Sci, Gwangju 61186, South Korea.;Youn, UJ (corresponding author), Korea Polar Res Inst KOPRI, Div Life Sci, Incheon 21990, South Korea.</t>
  </si>
  <si>
    <t>ujyoun@kopri.re.kr; sunghakkim@jnu.ac.kr</t>
  </si>
  <si>
    <t>National Research Foundation (NRF) - Ministry of Science and ICT (MSIT) , Republic of Korea [2019R1I1A3A01059211, NRF-2021R1F1A1055541]; Ministry of Oceans and Fisheries, Korea [15250103, PM22030]; Korea Basic Science Institute [C280200]</t>
  </si>
  <si>
    <t>National Research Foundation (NRF) - Ministry of Science and ICT (MSIT) , Republic of Korea(Ministry of Science &amp; ICT (MSIT), Republic of KoreaMinistry of Science, ICT &amp; Future Planning, Republic of Korea); Ministry of Oceans and Fisheries, Korea; Korea Basic Science Institute</t>
  </si>
  <si>
    <t>This research was supported by a grant (no. 2019R1I1A3A01059211, and NRF-2021R1F1A1055541) from the National Research Foundation (NRF) funded by the Ministry of Science and ICT (MSIT), Republic of Korea. Also, this work was part of a project titled Development of potential antibiotic compounds using polar organism resources (15250103, KOPRI Grant PM22030), funded by the Ministry of Oceans and Fisheries, Korea. Finally, this study was supported in part by a grant from the Korea Basic Science Institute (C280200).</t>
  </si>
  <si>
    <t>DOVE MEDICAL PRESS LTD</t>
  </si>
  <si>
    <t>ALBANY</t>
  </si>
  <si>
    <t>PO BOX 300-008, ALBANY, AUCKLAND 0752, NEW ZEALAND</t>
  </si>
  <si>
    <t>1178-6930</t>
  </si>
  <si>
    <t>ONCOTARGETS THER</t>
  </si>
  <si>
    <t>OncoTargets Ther.</t>
  </si>
  <si>
    <t>10.2147/OTT.S371042</t>
  </si>
  <si>
    <t>Biotechnology &amp; Applied Microbiology; Oncology</t>
  </si>
  <si>
    <t>6H6FR</t>
  </si>
  <si>
    <t>WOS:000885533400001</t>
  </si>
  <si>
    <t>Harrington, A; Daneri, GA; Varela, EA; Volpedo, AV</t>
  </si>
  <si>
    <t>Harrington, Ana; Daneri, Gustavo A.; Varela, Esperanza A.; V. Volpedo, Alejandra</t>
  </si>
  <si>
    <t>South American Sea Lions Otaria flavescens, a good indicator of relative spatial and temporal changes in the distribution and abundance of marine resources?</t>
  </si>
  <si>
    <t>IHERINGIA SERIE ZOOLOGIA</t>
  </si>
  <si>
    <t>Pinnipeds; trophic ecology; San Matias Gulf</t>
  </si>
  <si>
    <t>ANTARCTIC FUR SEALS; ARCTOCEPHALUS-GAZELLA; RIO NEGRO; DIET; PATAGONIA; DIGESTION; OTOLITHS; FISHERY; WINTER</t>
  </si>
  <si>
    <t>Oceanographic fluctuations and changes in ocean productivity directly affect the abundance and distribution of prey species, which in turn, affect the population status of their predators. In order to have a better understanding of this predator-prey relationship, the aim of the present study was to analyze the diet of the South American Sea Lion Otaria flavescens (Shaw, 1800) in two rookeries of the San Matias Gulf, in northern Patagonia (Argentina). A total of 52 scat samples of O. flavescens were collected in the Promontorio Belen colony and 35 in Caleta de los Loros during the late spring of 2011. The analysis of the samples indicated that at both localities fish occurred in 100% of scats with prey remains, followed by cephalopods (32.3%) and crustaceans (21.4%). The fish Raneya brasiliensis (Kaup, 1856) constituted the main prey taxon, both in terms of occurrence and numerical abundance. The octopod Octopus tehuelchus (d' Orbigny, 1834) and squids of the genus Doryteuthis constituted the dominant cephalopod prey. It is concluded that sea lions focused their foraging activity on those species of demersal and benthic habits, associated with coastal and shelf waters. Furthermore, this study reports for the first time the feeding habits of the South American Sea Lion colony of Promontorio Belen, second in population size of Rio Negro province.</t>
  </si>
  <si>
    <t>[Harrington, Ana; V. Volpedo, Alejandra] Univ Buenos Aires, Inst Invest Prod Anim INPA, CONICET, Ave Chorroarin, 280 C1427CWO, Ciudad Autonoma De Buenos, Argentina; [Daneri, Gustavo A.; Varela, Esperanza A.] Consejo Nacl Invest Cient &amp; Tecn, Museo Argentino Ciencias Nat Bernardino Rivadavia, Ave Angel Gallardo,470 C1405DJR, RA-1405 Ciudad Autonoma De Buenos, Argentina; [V. Volpedo, Alejandra] Univ Buenos Aires, Fac Ciencias Vet, Ctr Estudios Transdisciplinarios Agua, Consejo Nacl Invest Cient &amp; Tecn CONICET, Ave Chorroarin,280 C1427CWO, Ciudad Autonoma De Buenos, Argentina</t>
  </si>
  <si>
    <t>Consejo Nacional de Investigaciones Cientificas y Tecnicas (CONICET); University of Buenos Aires; Consejo Nacional de Investigaciones Cientificas y Tecnicas (CONICET); Museo Argentino de Ciencias Naturales Bernardino Rivadavia (MACN); University of Buenos Aires</t>
  </si>
  <si>
    <t>Harrington, A (corresponding author), Univ Buenos Aires, Inst Invest Prod Anim INPA, CONICET, Ave Chorroarin, 280 C1427CWO, Ciudad Autonoma De Buenos, Argentina.</t>
  </si>
  <si>
    <t>anaharrington77@gmail.com</t>
  </si>
  <si>
    <t>Harrington, Ana/0000-0003-2304-8384; Daneri, Gustavo/0000-0003-0366-5828; Volpedo, Alejandra Vanina/0000-0003-3321-311X</t>
  </si>
  <si>
    <t>UBACYT, Argentina [20020150100052 BA, 20020190100069 BA]; PICT, Argentina [2015-1823]; [PICT-2019-03888]</t>
  </si>
  <si>
    <t>UBACYT, Argentina; PICT, Argentina;</t>
  </si>
  <si>
    <t>This work was supported by UBACYT 20020150100052 BA, PICT 2015-1823, UBACYT 20020190100069 BA, PICT-2019-03888, Argentina. We thank the Secretaria de Ambiente y Cambio Climatico of Rio Negro Province, Argentina, for the permission to sample in the area. We also thank to Lucas Bustos, Mauricio Failla, Roberto Lini and Ramon Conde for logistic support and the group of rangers from Rio Negro province, for field support. We are also grateful to Mr. Daniel Oks for facilitating the access to the colony.</t>
  </si>
  <si>
    <t>FUNDACAO ZOOBOTANICA RIO GRANDE SUL, MUSEU CIENCIAS NATURAIS</t>
  </si>
  <si>
    <t>PORTO ALEGRE</t>
  </si>
  <si>
    <t>CAIXA POSTAL 1188, PORTO ALEGRE, RS 00000, BRAZIL</t>
  </si>
  <si>
    <t>0073-4721</t>
  </si>
  <si>
    <t>1678-4766</t>
  </si>
  <si>
    <t>IHERINGIA SER ZOOL</t>
  </si>
  <si>
    <t>Iheringia Ser. Zool.</t>
  </si>
  <si>
    <t>e2022023</t>
  </si>
  <si>
    <t>10.1590/1678-4766e2022023</t>
  </si>
  <si>
    <t>6F8AK</t>
  </si>
  <si>
    <t>WOS:000884279900001</t>
  </si>
  <si>
    <t>Zhang, ZQ; Cheng, X; Zheng, L; Zhao, TJ; Leng, WC; Chen, ZQ; Wu, SL</t>
  </si>
  <si>
    <t>Zhang, Ziqian; Cheng, Xiao; Zheng, Lei; Zhao, Tianjie; Leng, Wanchun; Chen, Zhuoqi; Wu, Shengli</t>
  </si>
  <si>
    <t>Intercalibration of Brightness Temperatures From FY-3 MWRI for Surface Snowmelt Detection Over Polar Ice Sheets</t>
  </si>
  <si>
    <t>Sensors; Ice; Ocean temperature; Microwave theory and techniques; Sea surface; Microwave radiometry; Microwave integrated circuits; FengYun-3 (FY-3); ice sheet; intercalibration; passive microwave remote sensing; surface melt</t>
  </si>
  <si>
    <t>SOUTHEAST-ALASKAN ICEFIELDS; MELT EXTENT; AMSR-E; MICROWAVE RADIOMETERS; ANTARCTICA; DURATION; CALIBRATION; TRENDS; MODEL; ONSET</t>
  </si>
  <si>
    <t>Surface snowmelt is a vital environmental parameter that affects energy exchanges between polar ice sheets and the atmosphere. Due to the difficulties of continuous in situ measurements, passive microwave remote sensing technology has become a major method for obtaining ice sheet surface snowmelt states over large areas. FengYun-3 (FY-3) series satellites, the second generation of Chinese polar-orbiting meteorological satellite missions, have great potential for providing long-term polar ice sheet surface snowmelt state products. In this study, we establish a monthly intercalibration model to synergize brightness temperatures from the Microwave Radiation Imager (MWRI) aboard different FY- 3 satellites. Based on the calibrated continuous brightness temperature record, an improved snowmelt algorithm is proposed by using an adaptive thresholding method, which does not rely on in situ observation data. After intercalibration, the consistency of the melt extent obtained by different sensors is considerably better than before, with the bias decreasing from 85 pixels to 3 pixels in the Greenland Ice Sheet (GrIS) and from 16 pixels to 6 pixels in the Antarctic Ice Sheet (AIS). Evaluation of the snowmelt result is conducted with the automatic weather station (AWS) air temperature, and a promising accuracy is found with an overall accuracy above 92% in the AIS and approximately 86% in the GrIS. This study provides new possibilities for a long-term continuous snowmelt product by connecting FY- 3B, FY- 3C, FY- 3D, and its successors FY- 3F and FY- 3G. The intercalibration coefficients and FY- 3 crossing times are available at https://doi.org/10.6084/m9.figshare.20657712.v1.</t>
  </si>
  <si>
    <t>[Zhang, Ziqian; Cheng, Xiao; Zheng, Lei; Leng, Wanchun; Chen, Zhuoqi] Sun Yat Sen Univ, Sch Geospatial Engn &amp; Sci, Southern Marine Sci &amp; Engn Guangdong Lab Zhuhai, Zhuhai 519082, Peoples R China; [Zhao, Tianjie] Chinese Acad Sci, Aerosp Informat Res Inst, State Key Lab Remote Sensing Sci, Beijing 100094, Peoples R China; [Wu, Shengli] China Meteorol Adm, Natl Satellite Meteorol Ctr, Beijing 100081, Peoples R China</t>
  </si>
  <si>
    <t>Southern Marine Science &amp; Engineering Guangdong Laboratory; Southern Marine Science &amp; Engineering Guangdong Laboratory (Zhuhai); Sun Yat Sen University; Chinese Academy of Sciences; Aerospace Information Research Institute, CAS; China Meteorological Administration</t>
  </si>
  <si>
    <t>Cheng, X (corresponding author), Sun Yat Sen Univ, Sch Geospatial Engn &amp; Sci, Southern Marine Sci &amp; Engn Guangdong Lab Zhuhai, Zhuhai 519082, Peoples R China.</t>
  </si>
  <si>
    <t>zhangzq55@mail2.sysu.edu.cn; chengxiao9@mail.sysu.cdu.cn; zhenglei6@mail.sysu.edu.cn; zhaotj@aircas.ac.cn; lengwch@mail2.sysu.edu.cn; chenzhq67@mail.sysu.edu.cn; wusl@cma.gov.cn</t>
  </si>
  <si>
    <t>Wu, Shengli/Y-9381-2019; LENG, WANCHUN/HGC-4496-2022; Zhang, Ziqian/HJY-8135-2023</t>
  </si>
  <si>
    <t>Wu, Shengli/0000-0002-5930-3183; LENG, WANCHUN/0000-0001-9355-2952; Cheng, Xiao/0000-0001-6910-6565; Zhang, Ziqian/0000-0003-3638-6294; zhao, tian jie/0000-0002-0914-599X</t>
  </si>
  <si>
    <t>National Natural Science Foundation of China [41830536, 41925027, 42006192]; National Key Research and Development Program of China [2019YFC1509104]; Innovation Group Project of Southern Marine Science and Engineering Guangdong Laboratory (Zhuhai) [311021008]</t>
  </si>
  <si>
    <t>National Natural Science Foundation of China(National Natural Science Foundation of China (NSFC)); National Key Research and Development Program of China; Innovation Group Project of Southern Marine Science and Engineering Guangdong Laboratory (Zhuhai)</t>
  </si>
  <si>
    <t>This work was supported in part by the National Natural Science Foundation of China under Grant 41830536, Grant 41925027, and Grant 42006192; in part by the National Key Research and Development Program of China under Grant 2019YFC1509104; and in part by the Innovation Group Project of Southern Marine Science and Engineering Guangdong Laboratory (Zhuhai) under Grant 311021008.</t>
  </si>
  <si>
    <t>10.1109/TGRS.2022.3216218</t>
  </si>
  <si>
    <t>5Y1LH</t>
  </si>
  <si>
    <t>WOS:000879050800006</t>
  </si>
  <si>
    <t>Mavlyudov, BR</t>
  </si>
  <si>
    <t>Mavlyudov, B. R.</t>
  </si>
  <si>
    <t>Summer mass balance of the Bellingshausen Dome on King George Island, Antarctica</t>
  </si>
  <si>
    <t>degree day factor; snow and ice melting; summer mass balance</t>
  </si>
  <si>
    <t>SURFACE-ENERGY BALANCE; ICE CAP; GLACIER; PENINSULA</t>
  </si>
  <si>
    <t>For the first time the summer mass balance of the Bellingshausen Ice Cap, the King George Island (Waterloo) in Antarctica, was estimated for the period of summer seasons 2007-2012 and 2014-2020. Measurements were carried out over a network of 29 ablation stakes. The contribution to the summer mass balance on the dome includes melting of snow (77%), glacial ice (15%), and superimposed ice (8%). Altitude gradients of snow and ice melting on slopes of different exposition were determined, which changed from -1.5 mm of water equivalent (w.e.) per 1 m on western slope in years with annual positive ice mass balance to -11 mm w.e. per 1 m on southern slope in years with negative ice mass balance. The summer mass balance on the cap was calculated using: 1) the average summer air temperature; 2) the sum of positive daily temperatures from data of the Bellingshausen weather station, 3) sum of average monthly air temperatures. Based on a comparison of colder (2009/10) and warmer (2019/20) years, the average melting coefficient for snow and ice for the glacier was calculated to be 9.5 mm/degrees C per day (Day Degree Factor - DDF). The high value of the DDF is probably due to intensive summer condensation during periods of frequent foggy weather on King George Island. A good correlation was found between the summer mass balance on the cap and the average summer air temperature at the Bellingshausen weather station for December-March (R-2 = 0.9). This shows that the air temperature is the decisive factor of the change in the summer mass balance. Using this correlation, the dynamics of the summer mass balance on the cap was restored for the observation period (1969-2020), which approximately corresponds to the trends in the annual mass balance on the cap. According to observations, it was found that positive deviation of the average summer air temperature by 0.5 degrees C from its climatic average value (similar to 1 degrees C) increases the summer mass balance by 56%, while its negative deviation by 0.5 degrees C decreases the summer mass balance by 36%. This demonstrates a very high sensitivity of the summer mass balance on the glacier cap to climate changes.</t>
  </si>
  <si>
    <t>[Mavlyudov, B. R.] Russian Acad Sci, Inst Geog, Moscow, Russia</t>
  </si>
  <si>
    <t>Institute of Geography, Russian Academy of Sciences; Russian Academy of Sciences</t>
  </si>
  <si>
    <t>Mavlyudov, BR (corresponding author), Russian Acad Sci, Inst Geog, Moscow, Russia.</t>
  </si>
  <si>
    <t>mavlyudov@igras.ru</t>
  </si>
  <si>
    <t>IAEA [INT5153]; [0148-2019-0004 (AAAA-A19-119022190172-5)]</t>
  </si>
  <si>
    <t>IAEA(International Atomic Energy Agency);</t>
  </si>
  <si>
    <t>The author expresses gratitude to Institute of geography of the Russian Academy of Sciences for the given possibility of work in Antarctic on King George (Waterloo) Island which has been provided by the Russian Antarctic Expedition.Work is executed within the limits of the state task. 0148-2019-0004 (AAAA-A19-119022190172-5) &lt;&lt; Glaciation and accompanying natural processes at climate changes &gt;&gt; and at partial support of inter-regional project INT5153 of IAEA.</t>
  </si>
  <si>
    <t>10.31857/S2076673422030135</t>
  </si>
  <si>
    <t>5R8AW</t>
  </si>
  <si>
    <t>WOS:000874728100002</t>
  </si>
  <si>
    <t>Grigorieva, SD; Kuznetsova, MR; Shitov, MV; Priakhina, GV; Kashkevich, MP</t>
  </si>
  <si>
    <t>Grigorieva, S. D.; Kuznetsova, M. R.; Shitov, M., V; Priakhina, G., V; Kashkevich, M. P.</t>
  </si>
  <si>
    <t>Anomalous bottom topography of a small lake in the Larsemann Hills Oasis (East Antarctica)</t>
  </si>
  <si>
    <t>Broknes Peninsula; glacial lakes; hydrological regime; lake basin; Larsemann Hills; underwater relief</t>
  </si>
  <si>
    <t>Results of studying the bottom relief of a unique small reservoir (lake) located in the south of the Broknes peninsula, the oasis of the Larsemann Hills (East Antarctica) are presented. The first reliable depth measurements carried out in January 2022 demonstrated that within the shallow basin of the lake (average depth of 1 m or less) there are four narrow depressions (canyons) with a width of 5.5 m or less and a depth reaching 27.7 m. Such a character of bottom relief has not been found before in any of the more than 150 known lakes of this oasis. To study this phenomenon, we performed fieldwork including hydrological observations, measurements of water temperature and mineralization at different horizons, high-precision bathymetric survey, and the underwater photography together with geological and geophysical investigations of the lake bank slope. A working hypothesis explaining the origin of such unusual bottom relief suggests a version of frost cracking that propagates along the fracture zone in the bedrock followed by the formation of cryoeluvium and the removal fine-grained particles (suffusion).</t>
  </si>
  <si>
    <t>[Grigorieva, S. D.; Kuznetsova, M. R.] Arctic &amp; Antarctic Res Inst, St Petersburg, Russia; [Grigorieva, S. D.; Kuznetsova, M. R.; Priakhina, G., V; Kashkevich, M. P.] St Petersburg State Univ, St Petersburg, Russia; [Shitov, M., V] AP Karpinsky Russian Geol Res Inst, St Petersburg, Russia</t>
  </si>
  <si>
    <t>Arctic &amp; Antarctic Research Institute; Saint Petersburg State University; A.P. Karpinsky Russian Geological Research Institute (VSEGEI)</t>
  </si>
  <si>
    <t>Grigorieva, SD (corresponding author), Arctic &amp; Antarctic Res Inst, St Petersburg, Russia.;Grigorieva, SD (corresponding author), St Petersburg State Univ, St Petersburg, Russia.</t>
  </si>
  <si>
    <t>grigoreva.svetl@gmail.com</t>
  </si>
  <si>
    <t>The authors are grateful to their colleagues during the 67th Russian Antarctic Expedi. tion N.V.Egorova, A.V. Mirakin, A.A. Krasnov for their assistance with the field investigations and to the head of potential field department of JSC &lt;&lt; Yuzhmorgeologiya &gt;&gt;, leading geophysicist of JSC &lt;&lt; Zaru. bezhgeologia &gt;&gt; E.K.Grigorev for support and signifi. cant recommendations when discussing the results of the fieldwork.The work was supported by the Rus. sian Foundation for Basic Research in the framework of the scientific project. 20-05-00343..</t>
  </si>
  <si>
    <t>10.31857/S2076673422030139</t>
  </si>
  <si>
    <t>WOS:000874728100006</t>
  </si>
  <si>
    <t>Sukhanova, AA; Kharitonov, VV; Popov, SV; Kashkevich, MP</t>
  </si>
  <si>
    <t>Sukhanova, A. A.; Kharitonov, V. V.; Popov, S., V; Kashkevich, M. P.</t>
  </si>
  <si>
    <t>The application of the GPR-method for safety of logistics operations near the Russkaya station in West Antarctica</t>
  </si>
  <si>
    <t>GPR-method; ice crevasses; logistics operations; runway; Russkaya station; West Antarctica</t>
  </si>
  <si>
    <t>The Russkaya station (Marie Byrd Land, West Antarctica) was one of the wintering stations of the Russian Antarctic Expedition (RAE) before its conservation in 1990. Starting from the field season of the 65th RAE (2019/20), work is under way at Russkaya station to put it into operation as a functioning wintering station. Due to its significant distance from other RAE infrastructure sites and also due to severe climate, organization of logistical operations in this area requires a special approach. For the most effective transport communication with the station, it is planned to organize an airstrip to receive planes on ski landing gear on the surface of the outlet glacier. Glaciers of this type are often characterized by crevasses, which are not traceable on the surface, which makes it necessary to study the structural sub-surface features of the glacier. For this purpose, geophysical survey in the field season of the 65th RAE were carried out with usage of the GPR-method. GPR profiling at a frequency of 900 MHz allowed us to identify the crevasses and assess their morphometric characteristics, in particular the width and depth. The widest crevasses were examined in detail to improve the interpretation of GPR data. Based on the results of geophysical works, the boundaries of zones were determined, within which the crevasses are either absent, or their width does not exceed 0.6 m. In addition, by means of core drilling, values of ice density to a depth of 5 m from the surface were obtained, which correspond to the normative data on preparation of airfields for operation of airplanes on ski landing gear. Based on the results of geophysical and glaciological investigations, a site on the glacier suitable for runway preparation was identified. An area safe for organization of transport communication between the airfield and Russkaya station was also identified. It is adjacent to the hills of the oasis, as the glacier in this part is the most stationary.</t>
  </si>
  <si>
    <t>[Sukhanova, A. A.; Popov, S., V; Kashkevich, M. P.] St Petersburg State Univ, St Petersburg, Russia; [Kharitonov, V. V.] Arctic &amp; Antarctic Res Inst, St Petersburg, Russia; [Popov, S., V] Polar Marine Explorat Expedit, St Petersburg, Russia</t>
  </si>
  <si>
    <t>Sukhanova, AA (corresponding author), St Petersburg State Univ, St Petersburg, Russia.</t>
  </si>
  <si>
    <t>suhanova.anastassiya@yandex.ru</t>
  </si>
  <si>
    <t>10.31857/S2076673422030142</t>
  </si>
  <si>
    <t>WOS:000874728100009</t>
  </si>
  <si>
    <t>Liu-Schiaffini, M; Ng, G; Grima, C; Young, D</t>
  </si>
  <si>
    <t>Liu-Schiaffini, Miguel; Ng, Gregory; Grima, Cyril; Young, Duncan</t>
  </si>
  <si>
    <t>Ice Thickness From Deep Learning and Conditional Random Fields: Application to Ice-Penetrating Radar Data With Radiometric Validation</t>
  </si>
  <si>
    <t>Ice; Task analysis; Ice thickness; Deep learning; Convolutional neural networks; Computer architecture; Computational modeling; Graphical models; ice thickness; machine learning; neural networks; radar remote sensing</t>
  </si>
  <si>
    <t>SURFACE</t>
  </si>
  <si>
    <t>Identifying the location of the ice-bedrock interface of glaciers and ice sheets is crucial for a wide range of geophysical applications, such as searching for liquid water in basal regions and computing ice thickness to quantify ice sheet and glacier mass balance. Simple, record-by-record, approaches to detecting the bottom of the ice echo may be affected by spurious off-nadir noise that requires significant manual interaction to correct. In this article, we propose a deep learning model based on convolutional neural networks (CNNs) and continuous conditional random fields (CCRFs) to automate ice bed identification and better capture fine-grained basal detail. We deploy this approach on high-capability radar sounder (HiCARS) radargrams, and this is the first time deep learning methods have been applied to this dataset. Intuitively, our CNN captures the global geometry of the ice bed, while the CCRF adjusts the initial CNN outputs to better incorporate fine-scale spatial information into the final prediction. We also develop a coherent geophysical framework using three echo characters (along-track continuity, relative delay, and signal coherency) to compare our model's outputs with those of a manually targeted approach. Our analysis suggests that our CNN + CCRF model is as suitable as the manual approach for radiometric applications, and it outperforms the manual technique in identifying the first continuous return, which is most often the near-nadir reflection. Thus, our approach is more universal than the current manual labeling methodology in the range of geophysical applications where it can be used, and it provides better confidence regarding the source of the basal return detected.</t>
  </si>
  <si>
    <t>[Liu-Schiaffini, Miguel; Grima, Cyril; Young, Duncan] Univ Texas Austin, Univ Texas Inst Geophys, Jackson Sch Geosci, Austin, TX 78758 USA; [Liu-Schiaffini, Miguel; Grima, Cyril; Young, Duncan] CALTECH, Pasadena, CA 91125 USA; [Ng, Gregory] Univ Texas Austin, Inst Geophys, Austin, TX 78758 USA</t>
  </si>
  <si>
    <t>University of Texas System; University of Texas Austin; California Institute of Technology; University of Texas System; University of Texas Austin</t>
  </si>
  <si>
    <t>Liu-Schiaffini, M (corresponding author), Univ Texas Austin, Univ Texas Inst Geophys, Jackson Sch Geosci, Austin, TX 78758 USA.</t>
  </si>
  <si>
    <t>mliuschi@caltech.edu</t>
  </si>
  <si>
    <t>; Young, Duncan/G-6256-2010; Grima, Cyril/E-9800-2013</t>
  </si>
  <si>
    <t>Liu-Schiaffini, Miguel/0000-0001-9685-8383; Young, Duncan/0000-0002-6866-8176; Grima, Cyril/0000-0001-7135-3055</t>
  </si>
  <si>
    <t>G. Unger Vetlesen Foundation; NSF [0230197, 0733025, 1543452, 1443690, 2127606]; Australian Antarctic Science Project [4346]; National Aeronautics and Space Administration (NASA) Operation IceBridge; Weston Family Foundation; Directorate For Geosciences; Office of Polar Programs (OPP) [1443690, 0230197] Funding Source: National Science Foundation; Directorate For Geosciences; Office of Polar Programs (OPP) [1543452, 0733025] Funding Source: National Science Foundation; Div of Res, Innovation, Synergies, &amp; Edu; Directorate For Geosciences [2127606] Funding Source: National Science Foundation</t>
  </si>
  <si>
    <t>G. Unger Vetlesen Foundation; NSF(National Science Foundation (NSF)); Australian Antarctic Science Project; National Aeronautics and Space Administration (NASA) Operation IceBridge; Weston Family Foundation; Directorate For Geosciences; Office of Polar Programs (OPP)(National Science Foundation (NSF)NSF - Directorate for Geosciences (GEO)); Directorate For Geosciences; Office of Polar Programs (OPP)(National Science Foundation (NSF)NSF - Directorate for Geosciences (GEO)); Div of Res, Innovation, Synergies, &amp; Edu; Directorate For Geosciences(National Science Foundation (NSF)NSF - Directorate for Geosciences (GEO)NSF - Division of Research, Innovation, Synergies, &amp; Education (RISE))</t>
  </si>
  <si>
    <t>This work was supported by in part by the G. Unger Vetlesen Foundation and in part by NSF under Grant 1443690 and Grant 2127606 for data analysis, and in part by NSF under Grant 0230197, Grant 0733025, and Grant 1543452; in part by the Australian Antarctic Science Project 4346; in part by the National Aeronautics and Space Administration (NASA) Operation IceBridge; and in part by the Weston Family Foundation for data collection.</t>
  </si>
  <si>
    <t>10.1109/TGRS.2022.3214147</t>
  </si>
  <si>
    <t>5W9DP</t>
  </si>
  <si>
    <t>WOS:000878208400015</t>
  </si>
  <si>
    <t>Lavrentiev, II; Kutuzov, SS; Mikhalenko, VN; Sudakova, MS; Kozachek, AV</t>
  </si>
  <si>
    <t>Lavrentiev, I. I.; Kutuzov, S. S.; Mikhalenko, V. N.; Sudakova, M. S.; Kozachek, A., V</t>
  </si>
  <si>
    <t>Spatial and temporal variability of snow accumulation on the Western plateau of Elbrus (Central Caucasus)</t>
  </si>
  <si>
    <t>Elbrus; high frequency radar survey; snow accumulation; ice core</t>
  </si>
  <si>
    <t>GROUND-PENETRATING RADAR; ICE CORES; THICKNESS; SVALBARD</t>
  </si>
  <si>
    <t>Cold glaciers in the middle latitudes are considered unique archives of environmental and climate change. However, alpine ice cores are difficult to interpret, since dynamic changes can occur over very short distances. Detailed radar survey can be used to assess the effect of ice inflow from areas with different conditions of snow accumulation on the surface compared to the drilling point on the isotopic and chemical record in the glacier core. The results of radar studies on the Western plateau of Elbrus (Central Caucasus), located at an altitude of 5100-5150 m above sea level, are presented. A high-frequency ground-based radar survey was carried out in the summer of 2017 to assess the spatial and temporal changes in snow accumulation in the upper (near the top area) part of Elbrus. The ZOND 12-e GPR (ground-penetrating radar, Radar Systems, Inc.) with 500 and 300 MHz shielded antennas was used. The receiving time window was set to 100 ns (500 MHz antenna) and 470 ns (300 MHz) to obtain reflection in the depth range of about 10 m and 50 m, respectively. The results of the GPR sounding are confirmed by data on the stratigraphy, density and chemical composition of the snow-firn thickness from a shallow (24 m) borehole. The density profile made it possible to identify peaks and corresponding ice crusts of 1-2 cm thick that formed during warm periods. The internal reflections, clearly visible on the radar profiles up to 50 m deep, are of isochronous origin and have been interpreted as the boundaries of annual and seasonal layers. Detailed maps of the distribution of snow accumulation covering the cold and warm seasons of 2015-2017 have been obtained. The average thickness of seasonal snow cover on the plateau during this period was equal to 2.07 m, with minimum and maximum values of 0.2 and 3.9 m, respectively. The average values of the water storage in seasonal horizons range from 754 to 1126 mm WE., while the annual accumulation for the 2015/16 and 2016/17 balance years amounted to 2004 and 1874 mm WE., respectively. The data obtained were used in 2018 to determine the optimal location for deep core drilling and will further serve as the basis for modeling the age of ice on the Western Plateau of Elbrus.</t>
  </si>
  <si>
    <t>[Lavrentiev, I. I.; Kutuzov, S. S.; Mikhalenko, V. N.] Russian Acad Sci, Inst Geog, Moscow, Russia; [Sudakova, M. S.] Lomonosov Moscow State Univ, Moscow, Russia; [Kozachek, A., V] Arctic &amp; Antarctic Res Inst, St Petersburg, Russia</t>
  </si>
  <si>
    <t>Russian Academy of Sciences; Institute of Geography, Russian Academy of Sciences; Lomonosov Moscow State University; Arctic &amp; Antarctic Research Institute</t>
  </si>
  <si>
    <t>Lavrentiev, II (corresponding author), Russian Acad Sci, Inst Geog, Moscow, Russia.</t>
  </si>
  <si>
    <t>lavrentiev@igras.ru</t>
  </si>
  <si>
    <t>Kutuzov, Stanislav/A-2775-2013</t>
  </si>
  <si>
    <t>Kutuzov, Stanislav/0000-0003-2007-0922</t>
  </si>
  <si>
    <t>Russian science foundation [17-17-01270, 075-15-2021-599, 0148-20190004]</t>
  </si>
  <si>
    <t>Russian science foundation(Russian Science Foundation (RSF))</t>
  </si>
  <si>
    <t>Field studies were carried out with the support of the Russian science foundation, Grant. 17-17-01270, cartographic work was funded within the State assignment scientific theme (. 0148-20190004) and interpretation of an ice core drilling data was carried out within the framework of the Megagrant (Agreement. 075-15-2021-599 dated 06/08/2021). Authors are grateful to Patrick Ginot (IGE, Grenoble, France) for chemical analysis of 2017 shallow ice core.</t>
  </si>
  <si>
    <t>10.31857/S2076673422020123</t>
  </si>
  <si>
    <t>5R7ZP</t>
  </si>
  <si>
    <t>WOS:000874724800001</t>
  </si>
  <si>
    <t>Romashova, KV; Chernov, RA</t>
  </si>
  <si>
    <t>Romashova, K., V; Chernov, R. A.</t>
  </si>
  <si>
    <t>Formation of new periglacial lakes in the Gronfjord basin (Svalbard) in 1938-2010</t>
  </si>
  <si>
    <t>glacial lakes; glacier retreat; lake area; average deep; total volume; Spitsbergen</t>
  </si>
  <si>
    <t>GLACIER INVENTORY; MASS-BALANCE; SPITSBERGEN</t>
  </si>
  <si>
    <t>Based on remote sensing and field methods, the state of the glacial lakes located in the Gronfjord Bay basin, Svalbard, was assessed for 2008-2010. New lakes were formed due to the retreat of the mountain-valley glaciers of the Nordenskiold Land and the formation of moraine-ridge topography. According to the 2008-2010 aerial survey data, 111 glacial lakes were identified in the basin area. Most of the new lakes were formed on the moraines of the large mountain-valley glaciers Vestre and Austre Gronfjordbreen, Brydebreen, Skavlejell-breen, and Tungebreen. The total area of the glacial lakes is 2.047 +/- 0.001 km(2), 84% of their total area belongs to the two largest lakes Bretjorna and Stemmevatnet. The rest of the lakes in the territory are small, from 20 to 330 m in length, and shallow. The estimation of the volume of water in the lakes was based on field measurements of the depths of 26 lakes and the correlation found. The total volume of water is 24.1 million m(3), which is comparable with the value of annual glacial runoff in the basin.</t>
  </si>
  <si>
    <t>[Romashova, K., V] Arctic &amp; Antarctic Res Inst, St Petersburg, Russia; [Chernov, R. A.] Russian Acad Sci, Inst Geog, Moscow, Russia</t>
  </si>
  <si>
    <t>Arctic &amp; Antarctic Research Institute; Institute of Geography, Russian Academy of Sciences; Russian Academy of Sciences</t>
  </si>
  <si>
    <t>Romashova, KV (corresponding author), Arctic &amp; Antarctic Res Inst, St Petersburg, Russia.</t>
  </si>
  <si>
    <t>romashova.kv@hotmail.com</t>
  </si>
  <si>
    <t>Institute of Geography of the Russian Academy of Sciences [AAAAA19-119022190172-5, FMGE-2019-0004]</t>
  </si>
  <si>
    <t>Institute of Geography of the Russian Academy of Sciences</t>
  </si>
  <si>
    <t>The development of the method. ology and data analysis were carried out within the framework of the Institute of Geography of the Russian Academy of Sciences state task AAAAA19-119022190172-5 (FMGE-2019-0004) Glaciation and related natural processes under climate change.</t>
  </si>
  <si>
    <t>10.31857/S2076673422020125</t>
  </si>
  <si>
    <t>WOS:000874724800003</t>
  </si>
  <si>
    <t>Kharitonov, VV; Borodkin, VA</t>
  </si>
  <si>
    <t>Kharitonov, V. V.; Borodkin, V. A.</t>
  </si>
  <si>
    <t>Texture features of multi-year fresh ice in the Transcription bay, East Antarctica, in the period of summer melting</t>
  </si>
  <si>
    <t>perennial ice; Antarctica; ice core; density; air inclusions; congelation ice; infiltration ice; ice formation</t>
  </si>
  <si>
    <t>LANDFAST SEA-ICE; RIVER</t>
  </si>
  <si>
    <t>The paper presents new data on the texture and density of a unique natural object - perennial fresh landfast ice in the Gulf of Transcription (East Antarctica), obtained in January 2020. The main purpose of the work was a planned (scheduled) inspection of the landing site selected for the 63rd season of the Russian Antarctic Expedition (RAE), investigation of the ice core sampling and analysis of its texture, including measuring the ice density. The thickness of the ice cover at the core sampling site was 3.02 m. In the long-standing (perennial) fast ice, the new ice is formed mainly from below as a natural growing of the congelation ice. From above a new ice is formed in smaller volumes, and it is either the infiltration ice in spring or freezing of melt water on the surface in autumn. Infiltration ice does not contribute much to the old fast ice, remaining a seasonal phenomenon. The reasons for that are insufficient snow accumulation in winter and the lack of salt water in the subglacial layer. In the upper layer of ice, its density is minimal and amounts to 680-720 kg/m(3) , increasing with depth and approaching its maximum at the lower edge - 917 kg/m(3) . The average density of ice is 875 kg/m(3) . The effect of primary air inclusions (bubbles) on the density of ice which contains large crystals of tens of centimeters in size is approximately the same for the whole ice thickness. Significant changes in the density of ice are caused by secondary inclusions which are formed during the freezing of melt water in the runoff and riverbed flows. It is shown how a crack in the ice, probably thermal, is further transformed under the influence of temperature and melt water runoff into a sinusoidal channel. This is rather common phenomenon associated with the thermal physics of the ice cover, the melting-freezing processes, and surface tension. The period of the sinusoid increases linearly with depth (the coefficient of determination R-2 = 0.99). Thus, the new data obtained allows expanding the present-day scientific notions on the role of physical processes in formation and evolution of long-standing (perennial) ice.</t>
  </si>
  <si>
    <t>[Kharitonov, V. V.; Borodkin, V. A.] Arctic &amp; Antarctic Res Inst, St Petersburg, Russia</t>
  </si>
  <si>
    <t>Kharitonov, VV (corresponding author), Arctic &amp; Antarctic Res Inst, St Petersburg, Russia.</t>
  </si>
  <si>
    <t>kharitonov@aari.ru</t>
  </si>
  <si>
    <t>10.31857/S2076673422020132</t>
  </si>
  <si>
    <t>WOS:000874724800010</t>
  </si>
  <si>
    <t>Lukin, VV</t>
  </si>
  <si>
    <t>Lukin, V. V.</t>
  </si>
  <si>
    <t>On ice floe across the Weddell Sea (thirty years since the opening of the first Antarctic drifting station)</t>
  </si>
  <si>
    <t>Antarctica; glaciology; hydrobiology; ice camp; oceanography; Russian-American cooperation; surface meteorology; Weddell Sea</t>
  </si>
  <si>
    <t>The year 2022 marks the 30th anniversary from operation of the Russian-American drifting station in the Antarctic. It was first experience of organizing a research station on sea ice in the South Polar exploration. Russia and the U.S. had the greatest experience in organizing such studies in the Arctic, so the combined efforts of our countries guaranteed the success of this unique scientific mission. The drift of the station named Weddell-1 was along the continental slope of the east coast of the Antarctic Peninsula from February 12 to June 9, 1992. The joint scientific program was aimed at studying the structure and dynamics of natural processes in the atmospheric boundary layer, in the ocean, ice cover and the biodiversity of surface waters. As a result, unique scientific materials were obtained in an almost unexplored area of the Antarctic. The realization of the Russian-American drifting noticeably strengthened cooperation between our countries, which even in these days of aggravation of interstate relations can become an example of successful cooperation between the world's leading polar nations.</t>
  </si>
  <si>
    <t>[Lukin, V. V.] Arctic &amp; Antarctic Res Inst, St Petersburg, Russia</t>
  </si>
  <si>
    <t>Lukin, VV (corresponding author), Arctic &amp; Antarctic Res Inst, St Petersburg, Russia.</t>
  </si>
  <si>
    <t>lukin@aari.ru</t>
  </si>
  <si>
    <t>10.31857/S2076673422020134</t>
  </si>
  <si>
    <t>WOS:000874724800012</t>
  </si>
  <si>
    <t>Singh, A; Singh, KS</t>
  </si>
  <si>
    <t>Singh, Archana; Singh, Keisham S.</t>
  </si>
  <si>
    <t>Bioactive Compounds from Polar Regions: An Account of Chemical Ecology and Biotechnological Applications</t>
  </si>
  <si>
    <t>CURRENT ORGANIC CHEMISTRY</t>
  </si>
  <si>
    <t>Bioactive compounds; polar regions; ecology; biotechnology; alkaloids; terpenes; anticancer; antioxidants</t>
  </si>
  <si>
    <t>SEA DERIVED FUNGUS; ANTARCTIC BACTERIUM; SECONDARY METABOLITES; NATURAL-PRODUCTS; USNIC ACID; STRUCTURAL-CHARACTERIZATION; PSYCHROPHILIC BACTERIUM; PHYTOPLANKTON COMMUNITY; STRUCTURE ELUCIDATION; POLYMERIC SUBSTANCES</t>
  </si>
  <si>
    <t>Organisms living in polar regions experience harsh environmental conditions. To cope and adapt to the extreme conditions, organisms produce specialized metabolites. Such metabolites exhibit various biological activities and thus find application in the pharmaceutical, food and cosmetic industries. Numerous secondary metabolites have been isolated from polar organisms that exhibited interesting biological properties. With ongoing climate change and the opening up of the polar regions for resource exploration, it is important to realize the natural product potential and scope of the regions. This review describes a brief account of bioactive compounds reported from polar organisms along with their ecological perspective and biotechnological applications. We present a detailed overview of the chemical structures of the compounds isolated from polar regions, which are grouped into usnic acid, MAAs, asterric acids, depsides, depsidones and psedodepsidones, alkaloids, polysaccharides and exopolysaccharides. We have also discussed the ecological significance of the compounds, covering a general aspect as well as a specific account, wherever reported, along with bioactivities. The review covers the literature reported from 2010 to 2020.</t>
  </si>
  <si>
    <t>[Singh, Archana] Minist Earth Sci, Natl Ctr Polar &amp; Ocean Res, Arctic Div, Vasco Da Gama 403804, Goa, India; [Singh, Archana] Goa Univ, Sch Chem Sci, Taleigao Plateau 403206, Goa, India; [Singh, Keisham S.] CSIR Natl Inst Oceanog, Chem Oceanog Div, Bioorgan Chem Lab, Panaji 403004, Goa, India</t>
  </si>
  <si>
    <t>Ministry of Earth Sciences (MoES) - India; National Centre for Polar and Ocean Research (NCPOR); Goa University; Council of Scientific &amp; Industrial Research (CSIR) - India; CSIR - National Institute of Oceanography (NIO)</t>
  </si>
  <si>
    <t>Singh, A (corresponding author), Minist Earth Sci, Natl Ctr Polar &amp; Ocean Res, Arctic Div, Vasco Da Gama 403804, Goa, India.;Singh, A (corresponding author), Goa Univ, Sch Chem Sci, Taleigao Plateau 403206, Goa, India.</t>
  </si>
  <si>
    <t>archanasingh@ncpor.res.in</t>
  </si>
  <si>
    <t>Ministry of Earth Sciences; CSIR, New Delhi</t>
  </si>
  <si>
    <t>Ministry of Earth Sciences; CSIR, New Delhi(Council of Scientific &amp; Industrial Research (CSIR) - India)</t>
  </si>
  <si>
    <t>We thank the Directors, the National Centre for Polar and Ocean Research and the CSIR-National Institute of Oceanography for encouragement and the Ministry of Earth Sciences and CSIR, New Delhi for financial support. We are grateful to Ms Bijendri Pal for the help with structure drawing. This is NCPOR's contribution number J-21/2022-23.</t>
  </si>
  <si>
    <t>BENTHAM SCIENCE PUBL LTD</t>
  </si>
  <si>
    <t>SHARJAH</t>
  </si>
  <si>
    <t>EXECUTIVE STE Y-2, PO BOX 7917, SAIF ZONE, 1200 BR SHARJAH, U ARAB EMIRATES</t>
  </si>
  <si>
    <t>1385-2728</t>
  </si>
  <si>
    <t>1875-5348</t>
  </si>
  <si>
    <t>CURR ORG CHEM</t>
  </si>
  <si>
    <t>Curr. Org. Chem.</t>
  </si>
  <si>
    <t>10.2174/1385272826666220620152557</t>
  </si>
  <si>
    <t>Chemistry, Organic</t>
  </si>
  <si>
    <t>5R4KY</t>
  </si>
  <si>
    <t>WOS:000874482300003</t>
  </si>
  <si>
    <t>Isola, D; Prigione, VP; Zucconi, L; Varese, GC; Poli, A; Turchetti, B; Canini, F</t>
  </si>
  <si>
    <t>Isola, Daniela; Prigione, Valeria Paola; Zucconi, Laura; Varese, Giovanna Cristina; Poli, Anna; Turchetti, Benedetta; Canini, Fabiana</t>
  </si>
  <si>
    <t>Knufia obscura sp. nov. and Knufia victoriae sp. nov., two new species from extreme environments</t>
  </si>
  <si>
    <t>Antarctic soils; black meristematic fungi; cold habitats; extremotolerant black fungi; hydrocarbon-polluted sites; marine fungi</t>
  </si>
  <si>
    <t>BLACK FUNGI; MICROCOLONIAL FUNGUS; CHAETOTHYRIALES; YEAST</t>
  </si>
  <si>
    <t>Six strains of black meristematic fungi were isolated from Antarctic soils, gasoline car tanks and from the marine alga Flabellia petiolata. These fungi were characterized by morphological, physiological and phylogenetic analyses. According to the maximum-likelihood analysis reconstructed with ITS and LSU sequences, these strains belonged to the genus Knufia. Knufia obscura sp. nov. (holotype CBS 148926) and Knufia victoriae sp. nov. (holotype CBS 149015) are proposed as two novel species and descriptions of their morphological, physiological and phylogenetic features are presented. Based on the maximum-likelihood analyses, K. obscura was closely related to Knufia hypolithi (99% bootstrap support), while K. victoriae clustered in the Glade of Knufia cryptophialidica and Knufia perfecta (93% bootstrap support). Knufia victoriae. recorded in Antarctic soil samples. had a psychrophilic behaviour, with optimal growth between 10 and 15 degrees C and no growth recorded at 20 degrees C. Knufia obscura, from a gasoline car tank and algae, displayed optimal growth between 20 and 25 degrees C and was more tolerant to salinity than K. victoriae.</t>
  </si>
  <si>
    <t>[Isola, Daniela; Zucconi, Laura; Canini, Fabiana] Univ Tuscia, Dept Ecol &amp; Biol Sci, I-01100 Viterbo, Italy; [Prigione, Valeria Paola; Varese, Giovanna Cristina; Poli, Anna] Univ Torino, Mycotheca Univ Taurinensis, Dept Life Sci &amp; Syst Biol, Viale Mattioli 25, I-10125 Turin, Italy; [Turchetti, Benedetta] Univ Perugia, Dept Agr Food &amp; Environm Sci, Ind Yeasts Collect DBVPG, Borgo XX Giugno 74, I-06121 Perugia, Italy</t>
  </si>
  <si>
    <t>Tuscia University; University of Turin; University of Perugia</t>
  </si>
  <si>
    <t>Turchetti, B (corresponding author), Univ Perugia, Dept Agr Food &amp; Environm Sci, Ind Yeasts Collect DBVPG, Borgo XX Giugno 74, I-06121 Perugia, Italy.</t>
  </si>
  <si>
    <t>benedetta.turchetti@unipg.it</t>
  </si>
  <si>
    <t>Zucconi, L./U-9781-2018; Isola, Daniela/AAX-5814-2020; Canini, Fabiana/ABE-4243-2020</t>
  </si>
  <si>
    <t>Zucconi, L./0000-0001-9793-2303; Isola, Daniela/0000-0002-5069-6056; Canini, Fabiana/0000-0002-9626-6318; PRIGIONE, Valeria Paola/0000-0002-9312-1420; Varese, Giovanna Cristina/0000-0002-1455-6208; turchetti, benedetta/0000-0002-7370-3028</t>
  </si>
  <si>
    <t>[PNRA14_00132]</t>
  </si>
  <si>
    <t>The Italian National Program for Antarctic Research funded sampling campaigns and research activities in the frame of the PNRA14_00132.</t>
  </si>
  <si>
    <t>10.1099/ijsem.0.005530</t>
  </si>
  <si>
    <t>5T7ZO</t>
  </si>
  <si>
    <t>WOS:000876079600007</t>
  </si>
  <si>
    <t>Cornelison, J; Vergès, C; Ade, PAR; Ahmed, Z; Amiri, M; Barkats, D; Thakur, RB; Beck, D; Bischoff, CA; Bock, JJ; Buza, V; Cheshire, JR; Connors, J; Crumrine, M; Cukierman, AJ; Denison, EV; Dierickx, MI; Duband, L; Eiben, M; Fatigoni, S; Filippini, JP; Giannakopoulos, C; Goeckner-Wald, N; Goldfinger, DC; Grayson, J; Grimes, PK; Hall, G; Halal, G; Halpern, M; Hand, E; Harrison, SA; Henderson, S; Hildebrandt, SR; Hilton, GC; Hubmayr, J; Hui, H; Irwin, KD; Kang, J; Karkare, KS; Kefeli, S; Kovac, JM; Kuo, CL; Lau, K; Leitch, EM; Lennox, A; Liu, T; Look, K; Megerian, KG; Minutolo, L; Moncelsi, L; Nakato, Y; Namikawa, T; Nguyen, HT; O'brient, R; Palladino, S; Petroff, MA; Prouve, T; Pryke, C; Racine, B; Reintsema, CD; Salatino, M; Schillaci, A; Schmitt, BL; Singari, B; Soliman, A; St Germaine, T; Steinbach, B; Sudiwala, RV; Thompson, KL; Tsai, C; Tucker, C; Turner, AD; Umilta, C; Vieregg, AG; Wandui, A; Weber, AC; Wiebe, DV; Willmert, J; Wu, WLK; Yang, H; Yoon, KW; Young, E; Yu, C; Zeng, L; Zhang, C; Zhang, S</t>
  </si>
  <si>
    <t>Zmuidzinas, J; Gao, JR</t>
  </si>
  <si>
    <t>Cornelison, J.; Verges, C.; Ade, P. A. R.; Ahmed, Z.; Amiri, M.; Barkats, D.; Thakur, R. Basu; Beck, D.; Bischoff, C. A.; Bock, J. J.; Buza, V; Cheshire, J. R.; Connors, J.; Crumrine, Michael; Cukierman, A. J.; Denison, E., V; Dierickx, M., I; Duband, L.; Eiben, M.; Fatigoni, S.; Filippini, J. P.; Giannakopoulos, C.; Goeckner-Wald, N.; Goldfinger, D. C.; Grayson, J.; Grimes, P. K.; Hall, G.; Halal, G.; Halpern, M.; Hand, E.; Harrison, S. A.; Henderson, S.; Hildebrandt, S. R.; Hilton, G. C.; Hubmayr, J.; Hui, H.; Irwin, K. D.; Kang, J.; Karkare, K. S.; Kefeli, S.; Kovac, J. M.; Kuo, C. L.; Lau, K.; Leitch, E. M.; Lennox, A.; Liu, T.; Look, K.; Megerian, K. G.; Minutolo, L.; Moncelsi, L.; Nakato, Y.; Namikawa, T.; Nguyen, H. T.; O'brient, R.; Palladino, S.; Petroff, M. A.; Prouve, T.; Pryke, C.; Racine, B.; Reintsema, C. D.; Salatino, M.; Schillaci, A.; Schmitt, B. L.; Singari, B.; Soliman, A.; St Germaine, T.; Steinbach, B.; Sudiwala, R., V; Thompson, K. L.; Tsai, C.; Tucker, C.; Turner, A. D.; Umilta, C.; Vieregg, A. G.; Wandui, A.; Weber, A. C.; Wiebe, D., V; Willmert, J.; Wu, W. L. K.; Yang, H.; Yoon, K. W.; Young, E.; Yu, C.; Zeng, L.; Zhang, C.; Zhang, S.</t>
  </si>
  <si>
    <t>Improved Polarization Calibration of the BICEP3 CMB Polarimeter at the South Pole</t>
  </si>
  <si>
    <t>MILLIMETER, SUBMILLIMETER, AND FAR-INFRARED DETECTORS AND INSTRUMENTATION FOR ASTRONOMY XI</t>
  </si>
  <si>
    <t>Proceedings of SPIE</t>
  </si>
  <si>
    <t>Conference on : Millimeter, Submillimeter, and Far-Infrared Detectors and Instrumentation for Astronomy XI</t>
  </si>
  <si>
    <t>Montreal, CANADA</t>
  </si>
  <si>
    <t>Cosmic Microwave Background; Polarization; Calibration; Cosmic Birefringence</t>
  </si>
  <si>
    <t>PARITY CONSERVATION</t>
  </si>
  <si>
    <t>The BICEP3 Polarimeter is a small aperture, refracting telescope, dedicated to the observation of the Cosmic Microwave Background (CMB) at 95GHz. It is designed to target degree angular scale polarization patterns, in particular the very-much-sought-after primordial B-mode signal, which is a unique signature of cosmic inflation. The polarized signal from the sky is reconstructed by differencing co-localized, orthogonally polarized superconducting Transition Edge Sensor (TES) bolometers. In this work, we present absolute measurements of the polarization response of the detectors for more than similar to 800 functioning detector pairs of the BICEP3 experiment, out of a total of similar to 1000. We use a specifically designed Rotating Polarized Source (RPS) to measure the polarization response at multiple source and telescope boresight rotation angles, to fully map the response over 360 degrees. We present here polarization properties extracted from on-site calibration data taken in January 2022. A similar calibration campaign was performed in 2018, but we found that our constraint was dominated by systematics on the level of similar to 0.5 degrees. After a number of improvements to the calibration set-up, we are now able to report a significantly lower level of systematic contamination. In the future, such precise measurements will be used to constrain physics beyond the standard cosmological model, namely cosmic birefringence.</t>
  </si>
  <si>
    <t>[Cornelison, J.; Verges, C.; Barkats, D.; Dierickx, M., I; Eiben, M.; Goldfinger, D. C.; Grimes, P. K.; Harrison, S. A.; Karkare, K. S.; Kovac, J. M.; Look, K.; Petroff, M. A.; Racine, B.; Schmitt, B. L.; St Germaine, T.; Tsai, C.; Zeng, L.] Harvard &amp; Smithsonian, Ctr Astrophys, Cambridge, MA 02138 USA; [Ade, P. A. R.; Sudiwala, R., V; Tucker, C.] Cardiff Univ, Sch Phys &amp; Astron, Cardiff CF24 3AA, Wales; [Ahmed, Z.; Cukierman, A. J.; Henderson, S.; Irwin, K. D.; Kuo, C. L.; Thompson, K. L.; Wu, W. L. K.; Yoon, K. W.; Young, E.] SLAC Natl Accelerator Lab, Kavli Inst Particle Astrophys &amp; Cosmol, Menlo Pk, CA 94025 USA; [Amiri, M.; Fatigoni, S.; Halpern, M.; Wiebe, D., V] Univ British Columbia, Dept Phys &amp; Astron, Vancouver, BC V6T 1Z1, Canada; [Thakur, R. Basu; Bock, J. J.; Cukierman, A. J.; Hildebrandt, S. R.; Hui, H.; Kang, J.; Kefeli, S.; Minutolo, L.; Moncelsi, L.; O'brient, R.; Schillaci, A.; Soliman, A.; Steinbach, B.; Wandui, A.; Zhang, C.; Zhang, S.] CALTECH, Dept Phys, Pasadena, CA 91125 USA; [Beck, D.; Cukierman, A. J.; Goeckner-Wald, N.; Grayson, J.; Halal, G.; Irwin, K. D.; Kang, J.; Kuo, C. L.; Liu, T.; Nakato, Y.; Salatino, M.; Thompson, K. L.; Yang, H.; Yoon, K. W.; Young, E.; Yu, C.] Stanford Univ, Dept Phys, Stanford, CA 94305 USA; [Bischoff, C. A.; Giannakopoulos, C.; Hand, E.; Palladino, S.; Umilta, C.] Univ Cincinnati, Dept Phys, Cincinnati, OH 45221 USA; [Bock, J. J.; Hildebrandt, S. R.; Megerian, K. G.; Nguyen, H. T.; O'brient, R.; Turner, A. D.; Weber, A. C.] Jet Prop Lab, Pasadena, CA 91109 USA; [Buza, V; Karkare, K. S.; Leitch, E. M.; Vieregg, A. G.] Univ Chicago, Kavli Inst Cosmol Phys, Chicago, IL 60637 USA; [Cheshire, J. R.; Pryke, C.; Singari, B.] Univ Minnesota, Minnesota Inst Astrophys, Minneapolis, MN 55455 USA; [Connors, J.; Denison, E., V; Hilton, G. C.; Hubmayr, J.; Irwin, K. D.; Reintsema, C. D.] NIST, Boulder, CO 80305 USA; [Crumrine, Michael; Hall, G.; Lau, K.; Pryke, C.; Willmert, J.] Univ Minnesota, Sch Phys &amp; Astron, Minneapolis, MN 55455 USA; [Duband, L.; Prouve, T.] Commissariat Energie Atom, Serv Basses Temp, F-38054 Grenoble, France; [Filippini, J. P.; Lennox, A.; Umilta, C.] Univ Illinois, Dept Phys, Urbana, IL 61801 USA; [Filippini, J. P.] Univ Illinois, Dept Astron, Urbana, IL 61801 USA; [Kovac, J. M.; St Germaine, T.] Harvard Univ, Dept Phys, Cambridge, MA 02138 USA; [Namikawa, T.] Univ Tokyo, UTIAS, Kavli Inst Phys &amp; Math Universe WPI, Kashiwa, Chiba 2778583, Japan; [Racine, B.] Aix Marseille Univ, CNRS, IN2P3, CPPM, F-13288 Marseille, France; [Vieregg, A. G.] Univ Chicago, Enrico Fermi Inst, Dept Phys, Chicago, IL 60637 USA</t>
  </si>
  <si>
    <t>Smithsonian Institution; Cardiff University; Stanford University; United States Department of Energy (DOE); SLAC National Accelerator Laboratory; University of British Columbia; California Institute of Technology; Stanford University; University System of Ohio; University of Cincinnati; National Aeronautics &amp; Space Administration (NASA); NASA Jet Propulsion Laboratory (JPL); University of Chicago; University of Minnesota System; University of Minnesota Twin Cities; National Institute of Standards &amp; Technology (NIST) - USA; University of Minnesota System; University of Minnesota Twin Cities; Communaute Universite Grenoble Alpes; Universite Grenoble Alpes (UGA); CEA; University of Illinois System; University of Illinois Urbana-Champaign; University of Illinois System; University of Illinois Urbana-Champaign; Harvard University; University of Tokyo; Aix-Marseille Universite; Centre National de la Recherche Scientifique (CNRS); CNRS - National Institute of Nuclear and Particle Physics (IN2P3); University of Chicago</t>
  </si>
  <si>
    <t>Cornelison, J (corresponding author), Harvard &amp; Smithsonian, Ctr Astrophys, Cambridge, MA 02138 USA.</t>
  </si>
  <si>
    <t>james_cornelison@g.harvard.edu</t>
  </si>
  <si>
    <t>Nguyen, H.T/AAG-1974-2021; Nguyễn, Hương/JUV-6128-2023; sun, huan/JEO-7152-2023; Moncelsi, Lorenzo/AAU-1009-2020; Zeng, Lingzhen/V-4602-2019; Chen, Shuo/JEO-6350-2023</t>
  </si>
  <si>
    <t>Nguyen, H.T/0000-0001-5580-2877; Moncelsi, Lorenzo/0000-0002-4242-3015; Zeng, Lingzhen/0000-0001-6924-9072; Kovac, John/0009-0003-5432-7180; Lau, King/0000-0002-6445-2407; Ahmed, Zeeshan/0000-0002-9957-448X; Dierickx, Marion/0000-0002-3519-8593; Tucker, Carole/0000-0002-1851-3918; Namikawa, Toshiya/0000-0003-3070-9240; Cheshire, James/0000-0002-1630-7854; Halal, George/0000-0003-2221-3018; Irwin, Kent/0000-0002-2998-9743; Salatino, Maria/0000-0003-4006-1134</t>
  </si>
  <si>
    <t>National Science Foundation [0742818, 0742592, 1044978, 1110087, 1145172, 1145143, 1145248, 1639040, 1638957, 1638978, 1638970, 1726917, 1313010, 1313062, 1313158, 1313287, 0960243, 1836010, 1056465, 1255358]; Keck Foundation; Jet Propulsion Laboratory Research and Technology Development Fund; NASA [06-ARPA206-0040, 10-SAT10-0017, 12-SAT12-0031, 14-SAT14-0009, 16-SAT16-0002, 18-SAT18-0017]; Gordon and Betty Moore Foundation at the California Institute of Technology; Canada Foundation for Innovation grant; FAS Science Division Research Computing Group at Harvard University; Department of Energy [DE-AC02-76SF00515]; Direct For Mathematical &amp; Physical Scien; Division Of Astronomical Sciences [1255358, 1056465] Funding Source: National Science Foundation; Division Of Astronomical Sciences; Direct For Mathematical &amp; Physical Scien [1836010] Funding Source: National Science Foundation</t>
  </si>
  <si>
    <t>National Science Foundation(National Science Foundation (NSF)); Keck Foundation(W.M. Keck Foundation); Jet Propulsion Laboratory Research and Technology Development Fund; NASA(National Aeronautics &amp; Space Administration (NASA)); Gordon and Betty Moore Foundation at the California Institute of Technology; Canada Foundation for Innovation grant(Canada Foundation for Innovation); FAS Science Division Research Computing Group at Harvard University; Department of Energy(United States Department of Energy (DOE)); Direct For Mathematical &amp; Physical Scien; Division Of Astronomical Sciences(National Science Foundation (NSF)NSF - Directorate for Mathematical &amp; Physical Sciences (MPS)); Division Of Astronomical Sciences; Direct For Mathematical &amp; Physical Scien(National Science Foundation (NSF)NSF - Directorate for Mathematical &amp; Physical Sciences (MPS))</t>
  </si>
  <si>
    <t>The BICEP/Keck project (including BICEP2, BICEP3 and BICEP Array) have been made possible through a series of grants from the National Science Foundation including 0742818, 0742592, 1044978, 1110087, 1145172, 1145143, 1145248, 1639040, 1638957, 1638978, 1638970, 1726917, 1313010, 1313062, 1313158, 1313287, 0960243, 1836010, 1056465, &amp; 1255358 and by the Keck Foundation. The development of antenna-coupled detector technology was supported by the Jet Propulsion Laboratory Research and Technology Development Fund and NASA Grants 06-ARPA206-0040, 10-SAT10-0017, 12-SAT12-0031, 14-SAT14-0009, 16-SAT16-0002, &amp; 18-SAT18-0017. Focal plane development and testing were supported by the Gordon and Betty Moore Foundation at the California Institute of Technology. Readout electronics were supported by a Canada Foundation for Innovation grant to the University of British Columbia. The computations in this paper were run on the Cannon cluster supported by the FAS Science Division Research Computing Group at Harvard University. The analysis effort at Stanford University and the SLAC National Accelerator Laboratory was partially supported by the Department of Energy, Contract DE-AC02-76SF00515. We thank the staff of the U.S. Antarctic Program and in particular the South Pole Station without whose help this research would not have been possible. Tireless administrative support was provided by Amy Dierker, Kathy Deniston, Sheri Stoll, Irene Coyle, Donna Hernandez, and Dana Volponi.</t>
  </si>
  <si>
    <t>SPIE-INT SOC OPTICAL ENGINEERING</t>
  </si>
  <si>
    <t>BELLINGHAM</t>
  </si>
  <si>
    <t>1000 20TH ST, PO BOX 10, BELLINGHAM, WA 98227-0010 USA</t>
  </si>
  <si>
    <t>0277-786X</t>
  </si>
  <si>
    <t>1996-756X</t>
  </si>
  <si>
    <t>978-1-5106-5362-7; 978-1-5106-5361-0</t>
  </si>
  <si>
    <t>PROC SPIE</t>
  </si>
  <si>
    <t>121901X</t>
  </si>
  <si>
    <t>10.1117/12.2620212</t>
  </si>
  <si>
    <t>Astronomy &amp; Astrophysics; Instruments &amp; Instrumentation; Optics</t>
  </si>
  <si>
    <t>BT9TZ</t>
  </si>
  <si>
    <t>WOS:000864182000068</t>
  </si>
  <si>
    <t>Goldfinger, DC; Ade, PAR; Ahmed, Z; Amiri, M; Barkats, D; Thakur, RB; Beck, D; Bischoff, CA; Bock, JJ; Buza, V; Cheshire, J; Connors, J; Cornelison, J; Crumrine, M; Cukierman, AJ; Denison, EV; Dierickx, MI; Duband, L; Eiben, M; Fatigoni, S; Filippini, JP; Giannakopoulos, C; Goeckner-Wald, N; Grayson, J; Grimes, PK; Hall, G; Halal, G; Halpern, M; Hand, E; Harrison, SA; Henderson, S; Hildebrandt, SR; Hilton, GC; Hubmayr, J; Hui, H; Irwin, KD; Kang, J; Karkare, KS; Kefeli, S; Kovac, JM; Kuo, CL; Lau, K; Leitch, EM; Lennox, A; Liu, T; Megerian, KG; Minutolo, L; Moncelsi, L; Nakato, Y; Namikawa, T; Nguyen, HT; O'Brient, R; Palladino, S; Petroff, MA; Prouve, T; Pryke, C; Racine, B; Reintsema, CD; Salatino, M; Schillaci, A; Schmitt, BL; Singari, B; Soliman, A; Smith, AG; St Germaine, T; Steinbach, B; Sudiwala, RV; Thompson, KL; Tsai, C; Tucker, C; Turner, AD; Umiltà, C; Vergès, C; Vieregg, AG; Wandui, A; Weber, AC; Wiebe, DV; Willmert, J; Wu, WLK; Yang, H; Yoon, KW; Young, E; Yu, C; Zeng, L; Zhang, C; Zhang, S</t>
  </si>
  <si>
    <t>Goldfinger, D. C.; Ade, P. A. R.; Ahmed, Z.; Amiri, M.; Barkats, D.; Thakur, R. Basu; Beck, D.; Bischoff, C. A.; Bock, J. J.; Buza, V; Cheshire, J.; Connors, J.; Cornelison, J.; Crumrine, M.; Cukierman, A. J.; Denison, E., V; Dierickx, M., I; Duband, L.; Eiben, M.; Fatigoni, S.; Filippini, J. P.; Giannakopoulos, C.; Goeckner-Wald, N.; Grayson, J.; Grimes, P. K.; Hall, G.; Halal, G.; Halpern, M.; Hand, E.; Harrison, S. A.; Henderson, S.; Hildebrandt, S. R.; Hilton, G. C.; Hubmayr, J.; Hui, H.; Irwin, K. D.; Kang, J.; Karkare, K. S.; Kefeli, S.; Kovac, J. M.; Kuo, C. L.; Lau, K.; Leitch, E. M.; Lennox, A.; Liu, T.; Megerian, K. G.; Minutolo, L.; Moncelsi, L.; Nakato, Y.; Namikawa, T.; Nguyen, H. T.; O'Brient, R.; Palladino, S.; Petroff, M. A.; Prouve, T.; Pryke, C.; Racine, B.; Reintsema, C. D.; Salatino, M.; Schillaci, A.; Schmitt, B. L.; Singari, B.; Soliman, A.; Smith, A. G.; St Germaine, T.; Steinbach, B.; Sudiwala, R., V; Thompson, K. L.; Tsai, C.; Tucker, C.; Turner, A. D.; Umilta, C.; Verges, C.; Vieregg, A. G.; Wandui, A.; Weber, A. C.; Wiebe, D., V; Willmert, J.; Wu, W. L. K.; Yang, H.; Yoon, K. W.; Young, E.; Yu, C.; Zeng, L.; Zhang, C.; Zhang, S.</t>
  </si>
  <si>
    <t>Thermal Testing for Cryogenic CMB Instrument Optical Design</t>
  </si>
  <si>
    <t>Cosmic Microwave Background; Polarization; Instrumentation; Cryogenics; Thermal Testing; BICEP Array</t>
  </si>
  <si>
    <t>Observations of the Cosmic Microwave Background rely on cryogenic instrumentation with cold detectors, readout, and optics providing the low noise performance and instrumental stability required to make more sensitive measurements. It is therefore critical to optimize all aspects of the cryogenic design to achieve the necessary performance, with low temperature components and acceptable system cooling requirements. In particular, we will focus on our use of thermal filters and cold optics, which reduce the thermal load passed along to the cryogenic stages. To test their performance, we have made a series of in situ measurements while integrating the third receiver for the BICEP Array telescope. In addition to characterizing the behavior of this receiver, these measurements continue to refine the models that are being used to inform design choices being made for future instruments.</t>
  </si>
  <si>
    <t>[Goldfinger, D. C.; Barkats, D.; Cornelison, J.; Dierickx, M., I; Eiben, M.; Grimes, P. K.; Harrison, S. A.; Karkare, K. S.; Kovac, J. M.; Petroff, M. A.; Racine, B.; Schmitt, B. L.; Smith, A. G.; St Germaine, T.; Tsai, C.; Verges, C.; Zeng, L.] Harvard &amp; Smithsonian, Ctr Astrophys, Cambridge, MA 02138 USA; [Ade, P. A. R.; Sudiwala, R., V; Tucker, C.] Cardiff Univ, Sch Phys &amp; Astron, Cardiff CF24 3AA, Wales; [Ahmed, Z.; Beck, D.; Cukierman, A. J.; Henderson, S.; Irwin, K. D.; Kuo, C. L.; Thompson, K. L.; Wu, W. L. K.; Yoon, K. W.; Young, E.] SLAC Natl Accelerator Lab, Kavli Inst Particle Astrophys &amp; Cosmol, Menlo Pk, CA 94025 USA; [Amiri, M.; Crumrine, M.; Fatigoni, S.; Halpern, M.; Wiebe, D., V] Univ British Columbia, Dept Phys &amp; Astron, Vancouver, BC V6T 1Z1, Canada; [Thakur, R. Basu; Bock, J. J.; Hildebrandt, S. R.; Hui, H.; Kang, J.; Kefeli, S.; Minutolo, L.; Moncelsi, L.; O'Brient, R.; Schillaci, A.; Soliman, A.; Steinbach, B.; Wandui, A.; Zhang, C.; Zhang, S.] CALTECH, Dept Phys, Pasadena, CA 91125 USA; [Beck, D.; Cukierman, A. J.; Goeckner-Wald, N.; Grayson, J.; Halal, G.; Irwin, K. D.; Kang, J.; Kuo, C. L.; Liu, T.; Nakato, Y.; Salatino, M.; Thompson, K. L.; Yang, H.; Yoon, K. W.; Young, E.; Yu, C.] Stanford Univ, Dept Phys, Stanford, CA 94305 USA; [Bischoff, C. A.; Giannakopoulos, C.; Hand, E.; Palladino, S.; Umilta, C.] Univ Cincinnati, Dept Phys, Cincinnati, OH 45221 USA; [Bock, J. J.; Hildebrandt, S. R.; Megerian, K. G.; Nguyen, H. T.; O'Brient, R.; Turner, A. D.; Weber, A. C.] Jet Prop Lab, Pasadena, CA 91109 USA; [Buza, V; Karkare, K. S.; Leitch, E. M.; Vieregg, A. G.] Univ Chicago, Kavli Inst Cosmol Phys, Chicago, IL 60637 USA; [Cheshire, J.; Pryke, C.; Singari, B.] Univ Minnesota, Minnesota Inst Astrophys, Minneapolis, MN 55455 USA; [Connors, J.; Denison, E., V; Hilton, G. C.; Hubmayr, J.; Irwin, K. D.; Reintsema, C. D.] NIST, Boulder, CO 80305 USA; [Hall, G.; Lau, K.; Pryke, C.; Willmert, J.] Univ Minnesota, Sch Phys &amp; Astron, Minneapolis, MN 55455 USA; [Duband, L.; Prouve, T.] Commissariat Energie Atom, Serv Basses Temp, F-38054 Grenoble, France; [Filippini, J. P.; Lennox, A.; Umilta, C.] Univ Illinois, Dept Phys, Urbana, IL 61801 USA; [Filippini, J. P.] Univ Illinois, Dept Astron, Urbana, IL 61801 USA; [Kovac, J. M.; St Germaine, T.] Harvard Univ, Dept Phys, Cambridge, MA 02138 USA; [Namikawa, T.] Univ Tokyo, UTIAS, Kavli Inst Phys &amp; Math Universe WPI, Kashiwa, Chiba 2778583, Japan; [Racine, B.] Aix Marseille Univ, CNRS, IN2P3, CPPM, F-13288 Marseille, France; [Vieregg, A. G.] Univ Chicago, Enrico Fermi Inst, Dept Phys, Chicago, IL 60637 USA</t>
  </si>
  <si>
    <t>Goldfinger, DC (corresponding author), Harvard &amp; Smithsonian, Ctr Astrophys, Cambridge, MA 02138 USA.</t>
  </si>
  <si>
    <t>david.goldfinger@cfa.harvard.edu</t>
  </si>
  <si>
    <t>sun, huan/JEO-7152-2023; Nguyen, H.T/AAG-1974-2021; Nguyễn, Hương/JUV-6128-2023; Chen, Shuo/JEO-6350-2023; Moncelsi, Lorenzo/AAU-1009-2020; Zeng, Lingzhen/V-4602-2019</t>
  </si>
  <si>
    <t>Nguyen, H.T/0000-0001-5580-2877; Moncelsi, Lorenzo/0000-0002-4242-3015; Zeng, Lingzhen/0000-0001-6924-9072; Namikawa, Toshiya/0000-0003-3070-9240; Lau, King/0000-0002-6445-2407; Dierickx, Marion/0000-0002-3519-8593; Ahmed, Zeeshan/0000-0002-9957-448X; Cheshire, James/0000-0002-1630-7854; Halal, George/0000-0003-2221-3018; Salatino, Maria/0000-0003-4006-1134; Tucker, Carole/0000-0002-1851-3918; Kovac, John/0009-0003-5432-7180; Irwin, Kent/0000-0002-2998-9743</t>
  </si>
  <si>
    <t>National Science Foundation [0742818, 0742592, 1044978, 1110087, 1145172, 1145143, 1145248, 1639040, 1638957, 1638978, 1638970, 1726917, 1313010, 1313062, 1313158, 1313287, 0960243, 1836010, 1056465, 1255358]; Keck Foundation; JPL Research and Technology Development Fund; NASA [06-ARPA2060040, 10-SAT10-0017, 12-SAT12-0031, 14-SAT14-0009, 16-SAT16-0002, 18-SAT18-0017]; Gordon and Betty Moore Foundation at Caltech; Canada Foundation for Innovation; FAS Science Division Research Computing Group at Harvard University; Department of Energy [DE-AC02-76SF00515]; Direct For Mathematical &amp; Physical Scien; Division Of Astronomical Sciences [1836010] Funding Source: National Science Foundation; Division Of Astronomical Sciences; Direct For Mathematical &amp; Physical Scien [1255358, 1056465] Funding Source: National Science Foundation</t>
  </si>
  <si>
    <t>National Science Foundation(National Science Foundation (NSF)); Keck Foundation(W.M. Keck Foundation); JPL Research and Technology Development Fund; NASA(National Aeronautics &amp; Space Administration (NASA)); Gordon and Betty Moore Foundation at Caltech(Gordon and Betty Moore Foundation); Canada Foundation for Innovation(Canada Foundation for InnovationCGIARSpanish Government); FAS Science Division Research Computing Group at Harvard University; Department of Energy(United States Department of Energy (DOE)); Direct For Mathematical &amp; Physical Scien; Division Of Astronomical Sciences(National Science Foundation (NSF)NSF - Directorate for Mathematical &amp; Physical Sciences (MPS)); Division Of Astronomical Sciences; Direct For Mathematical &amp; Physical Scien(National Science Foundation (NSF)NSF - Directorate for Mathematical &amp; Physical Sciences (MPS))</t>
  </si>
  <si>
    <t>The BICEP/Keck project (including BICEP2, BICEP3, and BICEP Array) have been made possible through a series of grants from the National Science Foundation including 0742818, 0742592, 1044978, 1110087, 1145172, 1145143, 1145248, 1639040, 1638957, 1638978, 1638970, 1726917, 1313010, 1313062, 1313158, 1313287, 0960243, 1836010, 1056465, &amp; 1255358 and by the Keck Foundation. The development of antenna-coupled detector technology was supported by the JPL Research and Technology Development Fund and NASA Grants 06-ARPA2060040, 10-SAT10-0017, 12-SAT12-0031, 14-SAT14-0009, 16-SAT16-0002, &amp; 18-SAT18-0017.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was partially supported by the Department of Energy, Contract DE-AC02-76SF00515. We thank the staff of the U.S. Antarctic Program and in particular the South Pole Station without whose help this research would not have been possible. Tireless administrative support was provided by Kathy Deniston, Sheri Stoll, Irene Coyle, Amy Dierker, Donna Hernandez, and Julie Shih.</t>
  </si>
  <si>
    <t>121901V</t>
  </si>
  <si>
    <t>10.1117/12.2629490</t>
  </si>
  <si>
    <t>WOS:000864182000066</t>
  </si>
  <si>
    <t>Marrone, DP; Aguirre, JE; Bracks, JS; Bradford, CM; Brendal, BS; Bumble, B; Corso, AJ; Devlin, MJ; Emerson, N; Filippini, JP; Fur, JY; Gashoa, V; Groppi, CE; Hailey-Dunsheath, S; Hoh, J; Hollister, MI; Janssen, RMJ; Joralmon, D; Keenan, RP; Liu, LJ; Lowe, I; Mauskopf, P; Mayer, EC; Nie, R; Razavimaleki, V; Redford, J; Saeid, T; Trumper, IL; Vieira, JD</t>
  </si>
  <si>
    <t>Marrone, Daniel P.; Aguirre, James E.; Bracks, Justin S.; Bradford, Charles M.; Brendal, Brockton S.; Bumble, Bruce; Corso, Anthony J.; Devlin, Mark J.; Emerson, Nick; Filippini, Jeffrey P.; Fur, Jianyang; Gashoa, Victor; Groppi, Christopher E.; Hailey-Dunsheath, Steve; Hoh, Jonathan; Hollister, Matthew, I; Janssen, Reinier M. J.; Joralmon, Dylan; Keenan, Ryan P.; Liu, Lun-Jun; Lowe, Ian; Mauskopf, Philip; Mayer, Evan C.; Nie, Rong; Razavimaleki, Vesal; Redford, Joseph; Saeid, Talia; Trumper, Isaac L.; Vieira, Joaquin D.</t>
  </si>
  <si>
    <t>The Terahertz Intensity Mapper: A balloon-borne imaging spectrometer for galaxy evolution</t>
  </si>
  <si>
    <t>Far-infrared; Balloon-borne instruments; Intensity mapping; Galaxy formation; Kinetic Inductance Detectors; Far-infrared spectrometer</t>
  </si>
  <si>
    <t>SUBMILLIMETER TELESCOPE</t>
  </si>
  <si>
    <t>The Terahertz Intensity Mapper (TIM) is a balloon-borne far-infrared imaging spectrometer designed to characterize the star formation history of the universe. In its Antarctic science flight, TIM will map the redshifted 158 pm line of ionized carbon over the redshift range 0.5-1.7 (lookback times of 5-10 Gyr). TIM will spectroscopically detect similar to 100 galaxies, determine the star formation rate history over this time interval through line intensity mapping, and measure the stacked CII emission from galaxies in its well-studied target fields (GOODS-S, SPT Deep Field). TIM consists of a 2-meter telescope feeding two grating spectrometers that that cover 240-420 mu m at R similar to 250 across a 1 degrees field of view, populated with a total of 7200 kinetic inductance detectors and sampled through a novel RF system-on-chip readout. TIM will serve as an important scientific instrument, accessing wavelengths that cannot easily be studied from the ground, and as a testbed for future FIR space technology.</t>
  </si>
  <si>
    <t>[Marrone, Daniel P.; Emerson, Nick; Gashoa, Victor; Keenan, Ryan P.; Lowe, Ian; Mayer, Evan C.] Univ Arizona, Dept Astron, 933 N Cherry Ave, Tucson, AZ 85721 USA; [Marrone, Daniel P.; Emerson, Nick; Gashoa, Victor; Keenan, Ryan P.; Lowe, Ian; Mayer, Evan C.] Univ Arizona, Steward Observ, 933 N Cherry Ave, Tucson, AZ 85721 USA; [Aguirre, James E.; Bracks, Justin S.; Corso, Anthony J.; Devlin, Mark J.] Univ Penn, Dept Phys &amp; Astron, Philadelphia, PA 19104 USA; [Bradford, Charles M.; Bumble, Bruce; Janssen, Reinier M. J.] CALTECH, Jet Prop Lab, Pasadena, CA 91109 USA; [Bradford, Charles M.; Hailey-Dunsheath, Steve; Hollister, Matthew, I; Janssen, Reinier M. J.; Liu, Lun-Jun; Redford, Joseph] CALTECH, Dept Astron, Pasadena, CA 91125 USA; [Brendal, Brockton S.; Filippini, Jeffrey P.; Nie, Rong; Razavimaleki, Vesal; Vieira, Joaquin D.] Univ Illinois, Dept Phys, Urbana, IL 61801 USA; [Filippini, Jeffrey P.; Fur, Jianyang; Vieira, Joaquin D.] Univ Illinois, Dept Astron, Urbana, IL 61801 USA; [Groppi, Christopher E.; Hoh, Jonathan; Joralmon, Dylan; Mauskopf, Philip; Saeid, Talia] Arizona State Univ, Sch Earth &amp; Space Explorat, Tempe, AZ 85287 USA; [Trumper, Isaac L.] ELE Opt, 405 E Wetmore,117-260, Tucson, AZ 85705 USA</t>
  </si>
  <si>
    <t>University of Arizona; University of Arizona; University of Pennsylvania; National Aeronautics &amp; Space Administration (NASA); NASA Jet Propulsion Laboratory (JPL); California Institute of Technology; California Institute of Technology; University of Illinois System; University of Illinois Urbana-Champaign; University of Illinois System; University of Illinois Urbana-Champaign; Arizona State University; Arizona State University-Tempe</t>
  </si>
  <si>
    <t>Marrone, DP (corresponding author), Univ Arizona, Dept Astron, 933 N Cherry Ave, Tucson, AZ 85721 USA.;Marrone, DP (corresponding author), Univ Arizona, Steward Observ, 933 N Cherry Ave, Tucson, AZ 85721 USA.</t>
  </si>
  <si>
    <t>dmarrone@arizona.edu</t>
  </si>
  <si>
    <t>Groppi, Christopher E/L-5284-2013</t>
  </si>
  <si>
    <t>Fu, Jianyang/0000-0002-3767-299X; Liu, Lunjun (Simon)/0009-0004-1270-2373; Mayer, Evan/0000-0001-6439-8140</t>
  </si>
  <si>
    <t>NASA through the Science Mission Directorate [80NSSC19K1242]; National Science Foundation through Graduate Research Fellowship [DGE-1746060]</t>
  </si>
  <si>
    <t>NASA through the Science Mission Directorate; National Science Foundation through Graduate Research Fellowship</t>
  </si>
  <si>
    <t>TIM is supported by NASA under grant 80NSSC19K1242, issued through the Science Mission Directorate. R.M.J. Janssen is supported by an appointment to the NASA Postdoctoral Program at the NASA Jet Propulsion Laboratory, administered by Universities Space Research Association under contract with NASA. R.P.K. is supported by the National Science Foundation through Graduate Research Fellowship grant DGE-1746060.</t>
  </si>
  <si>
    <t>10.1117/12.2630644</t>
  </si>
  <si>
    <t>WOS:000864182000007</t>
  </si>
  <si>
    <t>Soliman, A; Ade, PAR; Ahmed, Z; Amiri, M; Barkats, D; Thakur, RB; Bischoff, CA; Beck, D; Bock, JJ; Buza, V; Cheshire, J; Connors, J; Cornelison, J; Crumrine, M; Cukierman, AJ; Denison, EV; Dierickx, MI; Duband, L; Eiben, M; Fatigoni, S; Filippini, JP; Giannakopoulos, C; Goeckner-Wald, N; Goldfinger, DC; Grayson, J; Grimes, PK; Hall, G; Halal, G; Halpern, M; Hand, E; Harrison, SA; Henderson, S; Hildebrandt, SR; Hilton, GC; Hubmayr, J; Hui, H; Irwin, KD; Kang, J; Karkare, KS; Kefeli, S; Kovac, JM; Kuo, CL; Lau, K; Leitch, EM; Lennox, A; Liu, T; Megerian, KG; Minutolo, L; Moncelsi, L; Nakato, Y; Namikawa, T; Nguyen, HT; O'Brient, R; Palladino, S; Petroff, MA; Precup, N; Prouve, T; Pryke, C; Racine, B; Reintsema, CD; Salatino, M; Schillaci, A; Schmitt, BL; Singari, B; St Germaine, T; Steinbach, B; Sudiwala, RV; Thompson, KL; Tsai, C; Tucker, C; Turner, AD; Umilta, C; Verges, C; Vieregg, AG; Wandui, A; Weber, AC; Wiebe, DV; Willmert, J; Wu, WLK; Yang, H; Yoon, KW; Young, E; Yu, C; Zeng, L; Zhang, C; Zhang, S</t>
  </si>
  <si>
    <t>Soliman, A.; Ade, P. A. R.; Ahmed, Z.; Amiri, M.; Barkats, D.; Thakur, R. Basu; Bischoff, C. A.; Beck, D.; Bock, J. J.; Buza, V; Cheshire, J.; Connors, J.; Cornelison, J.; Crumrine, M.; Cukierman, A. J.; Denison, E., V; Dierickx, M., I; Duband, L.; Eiben, M.; Fatigoni, S.; Filippini, J. P.; Giannakopoulos, C.; Goeckner-Wald, N.; Goldfinger, D. C.; Grayson, J.; Grimes, P. K.; Hall, G.; Halal, G.; Halpern, M.; Hand, E.; Harrison, S. A.; Henderson, S.; Hildebrandt, S. R.; Hilton, G. C.; Hubmayr, J.; Hui, H.; Irwin, K. D.; Kang, J.; Karkare, K. S.; Kefeli, S.; Kovac, J. M.; Kuo, C. L.; Lau, K.; Leitch, E. M.; Lennox, A.; Liu, T.; Megerian, K. G.; Minutolo, L.; Moncelsi, L.; Nakato, Y.; Namikawa, T.; Nguyen, H. T.; O'Brient, R.; Palladino, S.; Petroff, M. A.; Precup, N.; Prouve, T.; Pryke, C.; Racine, B.; Reintsema, C. D.; Salatino, M.; Schillaci, A.; Schmitt, B. L.; Singari, B.; St Germaine, T.; Steinbach, B.; Sudiwala, R., V; Thompson, K. L.; Tsai, C.; Tucker, C.; Turner, A. D.; Umilta, C.; Verges, C.; Vieregg, A. G.; Wandui, A.; Weber, A. C.; Wiebe, D., V; Willmert, J.; Wu, W. L. K.; Yang, H.; Yoon, K. W.; Young, E.; Yu, C.; Zeng, L.; Zhang, C.; Zhang, S.</t>
  </si>
  <si>
    <t>2022 Upgrade and Improved Low Frequency Camera Sensitivity for CMB Observation at the South Pole</t>
  </si>
  <si>
    <t>Detectors; Telescopes; Cosmic Microwave Background; BICEP Array; Inflation; Synchrotron</t>
  </si>
  <si>
    <t>Constraining the Galactic foregrounds with multi-frequency Cosmic Microwave Background (CMB) observations is an essential step towards ultimately reaching the sensitivity to measure primordial gravitational waves (PGWs), the sign of inflation after the Big-Bang that would be imprinted on the CMB. The BICEP Array is a set of multi-frequency cameras designed to constrain the energy scale of inflation through CMB B-mode searches while also controlling the polarized galactic foregrounds. The lowest frequency BICEP Array receiver (BA1) has been observing from the South Pole since 2020 and provides 30 GHz and 40 GHz data to characterize galactic synchrotron in our CMB maps. In this paper, we present the design of the BA1 detectors and the full optical characterization of the camera including the on-sky performance at the South Pole. The paper also introduces the design challenges during the first observing season including the effect of out-of-band photons on detectors performance. It also describes the tests done to diagnose that effect and the new upgrade to minimize these photons, as well as installing more dichroic detectors during the 2022 deployment season to improve the BA1 sensitivity. We finally report background noise measurements of the detectors with the goal of having photon-noise dominated detectors in both optical channels. BA1 achieves an improvement in mapping speed compared to the previous deployment season.</t>
  </si>
  <si>
    <t>[Soliman, A.] CALTECH, Dept Engn &amp; Appl Sci, Pasadena, CA 91125 USA; [Ade, P. A. R.; Sudiwala, R., V; Tucker, C.] Cardiff Univ, Sch Phys &amp; Astron, Cardiff CF24 3AA, Wales; [Ahmed, Z.; Beck, D.; Cukierman, A. J.; Henderson, S.; Irwin, K. D.; Kuo, C. L.; Thompson, K. L.; Wu, W. L. K.; Yoon, K. W.; Young, E.] SLAC Natl Accelerator Lab, Kavli Inst Particle Astrophys &amp; Cosmol, Menlo Pk, CA 94025 USA; [Amiri, M.; Fatigoni, S.; Halpern, M.; Wiebe, D., V] Univ British Columbia, Dept Phys &amp; Astron, Columbia, BC V6T 1Z1, Canada; [Barkats, D.; Cornelison, J.; Dierickx, M., I; Eiben, M.; Goldfinger, D. C.; Grimes, P. K.; Harrison, S. A.; Karkare, K. S.; Kovac, J. M.; Petroff, M. A.; Racine, B.; Schmitt, B. L.; St Germaine, T.; Tsai, C.; Verges, C.; Zeng, L.] Harvard &amp; Smithsonian, Ctr Astrophys, Cambridge, MA 02138 USA; [Thakur, R. Basu; Bock, J. J.; Hildebrandt, S. R.; Hui, H.; Kang, J.; Kefeli, S.; Minutolo, L.; Moncelsi, L.; O'Brient, R.; Schillaci, A.; Steinbach, B.; Wandui, A.; Zhang, C.; Zhang, S.] CALTECH, Dept Phys, Pasadena, CA 91125 USA; [Bischoff, C. A.; Giannakopoulos, C.; Hand, E.; Palladino, S.; Umilta, C.] Univ Cincinnati, Dept Phys, Cincinnati, OH 45221 USA; [Beck, D.; Cukierman, A. J.; Goeckner-Wald, N.; Grayson, J.; Halal, G.; Irwin, K. D.; Kang, J.; Kuo, C. L.; Liu, T.; Nakato, Y.; Salatino, M.; Thompson, K. L.; Yang, H.; Yoon, K. W.; Young, E.; Yu, C.] Stanford Univ, Dept Phys, Stanford, CA 94305 USA; [Bock, J. J.; Hildebrandt, S. R.; Megerian, K. G.; Nguyen, H. T.; O'Brient, R.; Turner, A. D.; Weber, A. C.] Jet Prop Lab, Pasadena, CA 91109 USA; [Buza, V; Karkare, K. S.; Leitch, E. M.; Vieregg, A. G.] Univ Chicago, Kavli Inst Cosmol Phys, Chicago, IL 60637 USA; [Cheshire, J.; Nakato, Y.; Precup, N.; Pryke, C.; Singari, B.] Univ Minnesota, Minnesota Inst Astrophys, Minneapolis, MN 55455 USA; [Connors, J.; Denison, E., V; Hilton, G. C.; Hubmayr, J.; Reintsema, C. D.] NIST, Boulder, CO 80305 USA; [Crumrine, M.; Hall, G.; Lau, K.; Pryke, C.; Willmert, J.] Univ Minnesota, Sch Phys &amp; Astron, Minneapolis, MN 55455 USA; [Duband, L.; Prouve, T.] Commissariat Energie Atom, Serv Basses Temp, F-38054 Grenoble, France; [Filippini, J. P.; Lennox, A.; Umilta, C.] Univ Illinois, Dept Phys, Urbana, IL 61801 USA; [Filippini, J. P.] Univ Illinois, Dept Astron, Urbana, IL 61801 USA; [Connors, J.; Kovac, J. M.; St Germaine, T.] Harvard Univ, Dept Phys, Cambridge, MA 02138 USA; [Namikawa, T.] Univ Tokyo, Kavli Inst Phys &amp; Math Universe WPI, UTIAS, Kashiwa, Chiba 2778583, Japan; [Racine, B.] Aix Marseille Univ, CPPM, CNRS IN2P3, F-13288 Marseille, France; [Vieregg, A. G.] Univ Chicago, Enrico Fermi Inst, Dept Phys, Chicago, IL 60637 USA</t>
  </si>
  <si>
    <t>California Institute of Technology; Cardiff University; Stanford University; United States Department of Energy (DOE); SLAC National Accelerator Laboratory; University of British Columbia; Smithsonian Institution; California Institute of Technology; University System of Ohio; University of Cincinnati; Stanford University; National Aeronautics &amp; Space Administration (NASA); NASA Jet Propulsion Laboratory (JPL); University of Chicago; University of Minnesota System; University of Minnesota Twin Cities; National Institute of Standards &amp; Technology (NIST) - USA; University of Minnesota System; University of Minnesota Twin Cities; Communaute Universite Grenoble Alpes; Universite Grenoble Alpes (UGA); CEA; University of Illinois System; University of Illinois Urbana-Champaign; University of Illinois System; University of Illinois Urbana-Champaign; Harvard University; University of Tokyo; Centre National de la Recherche Scientifique (CNRS); CNRS - National Institute of Nuclear and Particle Physics (IN2P3); Aix-Marseille Universite; University of Chicago</t>
  </si>
  <si>
    <t>Soliman, A (corresponding author), CALTECH, Dept Engn &amp; Appl Sci, Pasadena, CA 91125 USA.</t>
  </si>
  <si>
    <t>asoliman@caltech.edu</t>
  </si>
  <si>
    <t>Moncelsi, Lorenzo/AAU-1009-2020; Chen, Shuo/JEO-6350-2023; sun, huan/JEO-7152-2023; Zeng, Lingzhen/V-4602-2019; Nguyen, H.T/AAG-1974-2021; Nguyễn, Hương/JUV-6128-2023</t>
  </si>
  <si>
    <t>Moncelsi, Lorenzo/0000-0002-4242-3015; Zeng, Lingzhen/0000-0001-6924-9072; Nguyen, H.T/0000-0001-5580-2877; Salatino, Maria/0000-0003-4006-1134; Cheshire, James/0000-0002-1630-7854; Kovac, John/0009-0003-5432-7180; Halal, George/0000-0003-2221-3018; Lau, King/0000-0002-6445-2407; Namikawa, Toshiya/0000-0003-3070-9240; Irwin, Kent/0000-0002-2998-9743; Tucker, Carole/0000-0002-1851-3918; Ahmed, Zeeshan/0000-0002-9957-448X</t>
  </si>
  <si>
    <t>National Science Foundation [0742818, 0742592, 1044978, 1110087, 1145172, 1145143, 1145248, 1639040, 1638957, 1638978, 1638970, 1726917, 1313010, 1313062, 1313158, 1313287, 0960243, 1836010, 1056465, 1255358]; Keck Foundation; JPL Research and Technology Development Fund; NASA [06-ARPA2060040, 10-SAT10-0017, 12-SAT12-0031, 14-SAT14-0009, 16-SAT16-0002, 18-SAT18-0017]; Gordon and Betty Moore Foundation at Caltech; Canada Foundation for Innovation grant; FAS Science Division Research Computing Group at Harvard University; Department of Energy [DE-AC02-76SF00515]; Direct For Mathematical &amp; Physical Scien; Division Of Astronomical Sciences [1836010, 1255358] Funding Source: National Science Foundation; Direct For Mathematical &amp; Physical Scien; Division Of Astronomical Sciences [1056465] Funding Source: National Science Foundation</t>
  </si>
  <si>
    <t>National Science Foundation(National Science Foundation (NSF)); Keck Foundation(W.M. Keck Foundation); JPL Research and Technology Development Fund; NASA(National Aeronautics &amp; Space Administration (NASA)); Gordon and Betty Moore Foundation at Caltech(Gordon and Betty Moore Foundation); Canada Foundation for Innovation grant(Canada Foundation for Innovation); FAS Science Division Research Computing Group at Harvard University; Department of Energy(United States Department of Energy (DOE)); Direct For Mathematical &amp; Physical Scien; Division Of Astronomical Sciences(National Science Foundation (NSF)NSF - Directorate for Mathematical &amp; Physical Sciences (MPS)); Direct For Mathematical &amp; Physical Scien; Division Of Astronomical Sciences(National Science Foundation (NSF)NSF - Directorate for Mathematical &amp; Physical Sciences (MPS))</t>
  </si>
  <si>
    <t>10.1117/12.2628058</t>
  </si>
  <si>
    <t>WOS:000864182000039</t>
  </si>
  <si>
    <t>Colgan, W; Henriksen, HJ; Bennike, O; Riberio, S; Keiding, M; Seidenfaden, IK; Graversgaard, M; Busck, AG; Fruergaard, M; Knudsen, MH; Hopper, J; Sonnenborg, T; Skjerbæk, MR; Bjork, AA; Steffen, H; Tarasov, L; Nerem, RS; Kjeldsen, KK</t>
  </si>
  <si>
    <t>Colgan, William; Henriksen, Hans Jorgen; Bennike, Ole; Riberio, Sofia; Keiding, Marie; Seidenfaden, Ida Karlsson; Graversgaard, Morten; Busck, Anne Gravsholt; Fruergaard, Mikkel; Knudsen, Michael Helt; Hopper, John; Sonnenborg, Torben; Skjerbaek, Maria Rebekka; Bjork, Anders Anker; Steffen, Holger; Tarasov, Lev; Nerem, R. Steven; Kjeldsen, Kristian K.</t>
  </si>
  <si>
    <t>Sea-level rise in Denmark: paleo context, recent projections and policy implications</t>
  </si>
  <si>
    <t>GEUS BULLETIN</t>
  </si>
  <si>
    <t>projection; Denmark; coast; sea level; climate scenario</t>
  </si>
  <si>
    <t>ICE-SHEET; ANTARCTICA; COLLAPSE; THWAITES; SYSTEM</t>
  </si>
  <si>
    <t>We present the most recent Intergovernmental Panel on Climate Change Sixth Assessment Report (AR6) sea-level projections for four Danish cities (Aarhus, Copenhagen, Esbjerg and Hirtshals) under the Shared Socioeconomic Pathway (SSP) family of climate scenarios. These sea-level changes pro-jected over the next century are up to an order of magnitude larger than those observed over the previous century. At these cities, year 2150 sea-level changes of between 29 and 55 cm are projected under the very low emissions scenario (SSP1-1.9), whilst changes of between 99 and 123 cm are projected under the very high emissions scenario (SSP5-8.5). These differences highlight the potentially significant impact of remaining opportunities for climate change mitigation. Due to this increase in mean sea level, the mean recurrence time between historically extreme events is expected to decrease. Under the very high emissions scenario, the historical 100-year storm flood event will become a 1-to 5-year event at most Danish harbours by 2100. There is considerable uncertainty associated with these sea-level projections, primarily driven by uncertainty in the future evolution of the Antarctic ice sheet and future sterodynamic changes in ocean volume. The AR6 characterises collapse of the West Antarctic ice sheet as a low-probability but high-impact event that could cause several metres of sea-level rise around Denmark by 2150. In climate adaptation policy, the scientific landscape is shifting fast. There has been a tremendous proliferation of diverse sea-level projections in recent years, with the most relevant planning target for Denmark increas-ing c. 50 cm in the past two decades. Translating sea-level rise projections into planning targets requires value judgments about acceptable sea-level risk that depend on local geography, planning timeline and climate pathway. This highlights the need for an overarching national sea-level adap-tation plan to ensure municipal plans conform to risk and action standards.</t>
  </si>
  <si>
    <t>[Colgan, William; Henriksen, Hans Jorgen; Riberio, Sofia; Keiding, Marie; Seidenfaden, Ida Karlsson; Hopper, John; Sonnenborg, Torben; Skjerbaek, Maria Rebekka; Kjeldsen, Kristian K.] Geol Survey Denmark &amp; Greenland GEUS, Copenhagen, Denmark; [Bennike, Ole] Geol Survey Denmark &amp; Greenland GEUS, Aarhus, Denmark; [Graversgaard, Morten; Fruergaard, Mikkel] Aarhus Univ, Aarhus, Denmark; [Busck, Anne Gravsholt; Knudsen, Michael Helt; Bjork, Anders Anker] Univ Copenhagen, Copenhagen, Denmark; [Steffen, Holger] Lantmateriet, Gavle, Sweden; [Tarasov, Lev] Mem Univ Newfoundland, St John, NL, Canada; [Nerem, R. Steven] Univ Colorado, Boulder, CO 80309 USA</t>
  </si>
  <si>
    <t>Geological Survey Of Denmark &amp; Greenland; Geological Survey Of Denmark &amp; Greenland; Aarhus University; University of Copenhagen; Memorial University Newfoundland; University of Colorado System; University of Colorado Boulder</t>
  </si>
  <si>
    <t>Colgan, W (corresponding author), Geol Survey Denmark &amp; Greenland GEUS, Copenhagen, Denmark.</t>
  </si>
  <si>
    <t>wic@geus.dk</t>
  </si>
  <si>
    <t>Kjeldsen, Kristian Kjellerup/A-9592-2013; Hopper, John Robert/B-1710-2010; Colgan, William/ITU-7055-2023; Seidenfaden, Ida Karlsson/H-3750-2018; Steffen, Holger/B-7782-2008; Sonnenborg, Torben O/P-1959-2017; Ribeiro, Sofia/AAZ-2782-2021; Fruergaard, Mikkel/I-7623-2012; Busck, Anne Gravsholt/P-1688-2014</t>
  </si>
  <si>
    <t>Hopper, John Robert/0000-0003-3188-7583; Colgan, William/0000-0001-6334-1660; Seidenfaden, Ida Karlsson/0000-0002-7033-1337; Steffen, Holger/0000-0001-6682-6209; Ribeiro, Sofia/0000-0003-0672-9161; Graversgaard, Morten/0000-0001-7636-4335; Henriksen, Hans Jorgen/0000-0003-4821-5310; Fruergaard, Mikkel/0000-0002-8575-157X; Keiding, Marie/0000-0002-2933-0199; Busck, Anne Gravsholt/0000-0002-7328-795X</t>
  </si>
  <si>
    <t>Geocenter Denmark project 'Sea-level rise and coastal flooding in Denmark: past, future, and policy'; Geocenter partners at the Geological Survey of Denmark and Greenland; Department of Geoscience at Aarhus University; Department of Geosciences and Natural Resource Management at the University of Copenhagen</t>
  </si>
  <si>
    <t>This work is supported by the Geocenter Denmark project 'Sea-level rise and coastal flooding in Denmark: past, future, and policy', with Geocenter partners at the Geological Survey of Denmark and Greenland, the Department of Geoscience at Aarhus University and the Department of Geosciences and Natural Resource Management at the University of Copenhagen.</t>
  </si>
  <si>
    <t>GEOLOGICAL SURVEY DENMARK &amp; GREENLAND</t>
  </si>
  <si>
    <t>COPENHAGEN K</t>
  </si>
  <si>
    <t>OSTER VOLDGADE 10, COPENHAGEN K, DK-1350, DENMARK</t>
  </si>
  <si>
    <t>2597-2154</t>
  </si>
  <si>
    <t>GEUS B</t>
  </si>
  <si>
    <t>GEUS Bull.</t>
  </si>
  <si>
    <t>10.34194/geusb.v49.8315</t>
  </si>
  <si>
    <t>5R6XR</t>
  </si>
  <si>
    <t>WOS:000874651600001</t>
  </si>
  <si>
    <t>dos Santos, RF; Kim, BSM; Trevizani, TH; de Oliveira, RU; Maly, M; Ramos, RB; Figueira, RCL; de Mahiques, MM</t>
  </si>
  <si>
    <t>dos Santos, Rosangela Felicio; Kim, Bianca Sung Mi; Trevizani, Tailisi Hoppe; de Oliveira, Rodrigo Udenal; Maly, Mascimiliano; Ramos, Raissa Basti; Figueira, Rubens Cesar Lopes; de Mahiques, Michel Michaelovitch</t>
  </si>
  <si>
    <t>Sedimentation in the adjacencies of a southwestern Atlantic giant carbonate ridge</t>
  </si>
  <si>
    <t>Descriptors; Carbonate mound; Sedimentation; SW Atlantic; Continental slope</t>
  </si>
  <si>
    <t>WESTERN BOUNDARY CURRENT; WATER CORAL BANKS; DEEP-SEA CORALS; SANTOS BASIN; CONTINENTAL-MARGIN; GROWTH HISTORY; PORCUPINE SEABIGHT; NORTHEAST ATLANTIC; CHALLENGER MOUND; PROPELLER MOUND</t>
  </si>
  <si>
    <t>Although carbonate mounds have been investigated for 100 years, few studies focus on the giant variety. The Alpha Crucis Carbonate Ridge (ACCR), a-17 x 12-km ring-shaped ridge formed by hundreds of mounded structures, located between the 300 and 800-m isobaths and reaching a maximum height of 340 meters above the adjacent seafloor, is the first giant carbonate mounded feature described for the SW Atlantic margin. This study provides the first multiproxy approach to investigate sediments covering the ACCR and its adjacencies. Most of the area is located under the Intermediate Western Boundary Current (IWBC) flow, which carries the nutrient-rich Antarctic Intermediate Water (AAIW). Radiocarbon aging shows pronounced differences for the shallow layers (MIS3 for the top of the mounds and late Holocene for the adjacencies). Grain size data indicate the prevalence of sandy fractions on top of the mounds and muddy sediments in the adjacent areas. Fe/Ca and Ti/Ca proxies allowed for identifying mainly biogenic sedimentation in the area. However, the input of allochthonous terrigenous sediment is necessary for mound buildup, and values of Fe and Ti collected on the top of the mounds are significant. End -Members distributions and metal concentrations also allowed for recognition of distinct sources of sediment. Nd and Ln(Fe/K) indicated two primary terrigenous sources, the Precambrian rocks of the Brazilian shield (Cabo Frio end-member) and the multiple lithologies drained by the Rio de la Plata basin. Redox condition proxies indicated that the area is submitted to oxic conditions, probably reflecting the action of the IWBC. This work provides the first insight into an integrated grain-size and geochemical characterization of the Alpha Crucis Carbonate Ridge (southwestern Atlantic margin).</t>
  </si>
  <si>
    <t>[dos Santos, Rosangela Felicio; Kim, Bianca Sung Mi; Trevizani, Tailisi Hoppe; de Oliveira, Rodrigo Udenal; Maly, Mascimiliano; Ramos, Raissa Basti; Figueira, Rubens Cesar Lopes; de Mahiques, Michel Michaelovitch] Univ Sao Paulo, Inst Oceanog, Praca Oceanog 191, BR-05508120 Sao Paulo, SP, Brazil; [de Mahiques, Michel Michaelovitch] Univ Sao Paulo, Inst Energia &amp; Ambiente, Av Prof Luciano Gualberto 1289, BR-05508900 Sao Paulo, SP, Brazil</t>
  </si>
  <si>
    <t>de Mahiques, MM (corresponding author), Univ Sao Paulo, Inst Oceanog, Praca Oceanog 191, BR-05508120 Sao Paulo, SP, Brazil.;de Mahiques, MM (corresponding author), Univ Sao Paulo, Inst Energia &amp; Ambiente, Av Prof Luciano Gualberto 1289, BR-05508900 Sao Paulo, SP, Brazil.</t>
  </si>
  <si>
    <t>mahiques@usp.br</t>
  </si>
  <si>
    <t>Kim, Bianca Sung Mi/I-5253-2015; Santos, Rosangela/KAM-4633-2024; Figueira, Rubens/AAC-1045-2022; Trevizani, T Hoppe/P-1841-2018</t>
  </si>
  <si>
    <t>Kim, Bianca Sung Mi/0000-0003-2186-3764; Figueira, Rubens/0000-0001-8945-4540; Trevizani, T Hoppe/0000-0002-6057-5434; Maly, Mascimiliano/0000-0002-9541-4454; Mahiques, Michel/0000-0002-5249-5610; Felicio dos Santos, Rosangela/0000-0003-2141-6606; RAMOS, RAISSA/0000-0002-7652-2249</t>
  </si>
  <si>
    <t>Sao Paulo Science Foundation; Shell Brasil; ANP through the R&amp;D levy regulation; National Council of Scientific and Technological Development (CNPq); [300962/2018-5]; [2010/06147-5 and 2014/08266-2]</t>
  </si>
  <si>
    <t>Sao Paulo Science Foundation; Shell Brasil; ANP through the R&amp;D levy regulation; National Council of Scientific and Technological Development (CNPq)(Conselho Nacional de Desenvolvimento Cientifico e Tecnologico (CNPQ)); ;</t>
  </si>
  <si>
    <t>Thanks are due to the crew and research groups of R/V Alpha Crucis during cruises Mudbelts II and BIOIL I. We acknowledge Mr. Edilson Faria and Dr. Samara Cazzolli y Goya for helping in the laboratory analyses. The Sao Paulo Science Foundation partially funded this work (FAPESP) through grants 2010/06147-5 and 2014/08266-2. The authors gratefully acknowledge the support of Shell Brasil through the BIOIL project at the Oceanographic Institute of the University of Sao Paulo and the strategic importance of the support given by ANP through the R &amp; D levy regulation. MMdeM acknowledges the National Council of Scientific and Technological Development (CNPq) for grant 300962/2018-5. Thanks are also due to three anonymous reviewers and to the Editor -in-Chief, who contributed significantly to improving the manuscript.</t>
  </si>
  <si>
    <t>e22034</t>
  </si>
  <si>
    <t>10.1590/2675-2824070.21109rfds</t>
  </si>
  <si>
    <t>5M7PU</t>
  </si>
  <si>
    <t>WOS:000871290300001</t>
  </si>
  <si>
    <t>Nomura, D; Ikawa, H; Kawaguchi, Y; Kanna, N; Kawakami, T; Nosaka, Y; Umezawa, S; Tozawa, M; Horikawa, T; Sahashi, R; Noshiro, T; Kaba, I; Ozaki, M; Kondo, F; Ono, K; Yabe, IS; Son, EY; Toyoda, T; Kameyama, S; Wang, CQ; Obata, H; Ooki, A; Ueno, H; Kasai, A</t>
  </si>
  <si>
    <t>Nomura, Daiki; Ikawa, Hiroki; Kawaguchi, Yusuke; Kanna, Naoya; Kawakami, Tatsuya; Nosaka, Yuichi; Umezawa, Sachi; Tozawa, Manami; Horikawa, Takahito; Sahashi, Reishi; Noshiro, Taichi; Kaba, Ibuki; Ozaki, Makoto; Kondo, Fumiyoshi; Ono, Keisuke; Yabe, Itsuka S.; Son, Eun Yae; Toyoda, Takahiro; Kameyama, Sohiko; Wang, Changqing; Obata, Hajime; Ooki, Atsushi; Ueno, Hiromichi; Kasai, Akihide</t>
  </si>
  <si>
    <t>Atmosphere-sea ice-ocean interaction study in Saroma-ko Lagoon, Hokkaido, Japan 2021</t>
  </si>
  <si>
    <t>BULLETIN OF GLACIOLOGICAL RESEARCH</t>
  </si>
  <si>
    <t>Sea ice; Air-sea ice gas flux; Sea ice-ocean interaction; Intercomparison; Test and training for polar oceans; Sea of Okhotsk</t>
  </si>
  <si>
    <t>PATH EDDY COVARIANCE; ENVIRONMENTAL DNA; CO2 FLUX; IRON; FE(II); TRANSPORT; OXIDATION; SINK</t>
  </si>
  <si>
    <t>An atmosphere-sea ice-ocean interaction study was conducted at the Saroma-ko Lagoon, Hokkaido, Japan from 27 February to 9 March 2021. Air-sea ice CO2 flux measurements were conducted by eddy covariance and chamber methods together with meteorological observations. Sea ice cores were collected to understand the interaction between the atmosphere and under-ice water with respect to fluxes of heat and biogeochemical components. Physical and biogeochemical parameters such as temperature, salinity, ice structure. environmental DNA, and concentrations of gases, nutrients, and trace metals were measured. Under-ice water properties were monitored to quantify heat budgets and interactions with sea ice biogeochemical properties. Incubation experiments with ice algae were conducted. Equipment such as air sea ice CO2/CH4 flux chambers, an eddy covariance system, a trace metal analyzer, and a pump and sampler for environmental DNA were tested and compared to prepare for future Arctic and Antarctic expeditions. In addition. movies and pictures were taken under the auspices of the educational program of Hokkaido University (LASBOS) to enhance educational programs in ocean science. The field campaign activities provided useful information for inter-comparison research and future studies of sea ice in polar oceans.</t>
  </si>
  <si>
    <t>[Nomura, Daiki] Hokkaido Univ, Field Sci Ctr Northern Biosphere, Hakodate, Hokkaido, Japan; [Nomura, Daiki; Kawakami, Tatsuya; Ooki, Atsushi; Ueno, Hiromichi; Kasai, Akihide] Hokkaido Univ, Fac Fisheries Sci, Hakodate, Hokkaido, Japan; [Nomura, Daiki; Ooki, Atsushi; Ueno, Hiromichi] Hokkaido Univ, Arctic Res Ctr, Sapporo, Hokkaido, Japan; [Ikawa, Hiroki] NARO, Hokkaido Agr Res Ctr, Sapporo, Hokkaido, Japan; [Kawaguchi, Yusuke; Kanna, Naoya; Yabe, Itsuka S.; Son, Eun Yae; Obata, Hajime] Univ Tokyo, Atmosphere &amp; Ocean Res Inst, Tokyo, Japan; [Nosaka, Yuichi] Tokai Univ, Sch Biol Sci, Sapporo, Hokkaido, Japan; [Umezawa, Sachi; Tozawa, Manami; Horikawa, Takahito; Sahashi, Reishi; Ozaki, Makoto] Hokkaido Univ, Grad Sch Fisheries Sci, Hakodate, Hokkaido, Japan; [Noshiro, Taichi; Kaba, Ibuki] Hokkaido Univ, Sch Fisheries Sci, Hakodate, Hokkaido, Japan; [Kondo, Fumiyoshi] Japan Coast Guard Acad, Kure, Hiroshima, Japan; [Ono, Keisuke] NARO, Inst Agroenvironm Sci, Tsukuba, Ibaraki, Japan; [Toyoda, Takahiro] Japan Meteorol Agcy, Meteorol Res Inst, Tsukuba, Ibaraki, Japan; [Kameyama, Sohiko; Wang, Changqing] Hokkaido Univ, Fac Environm Earth Sci, Sapporo, Hokkaido, Japan</t>
  </si>
  <si>
    <t>Hokkaido University; Hokkaido University; Hokkaido University; National Agriculture &amp; Food Research Organization - Japan; University of Tokyo; Tokai University; Hokkaido University; Hokkaido University; National Agriculture &amp; Food Research Organization - Japan; Japan Meteorological Agency; Meteorological Research Institute - Japan; Hokkaido University</t>
  </si>
  <si>
    <t>Nomura, D (corresponding author), Hokkaido Univ, Field Sci Ctr Northern Biosphere, Hakodate, Hokkaido, Japan.;Nomura, D (corresponding author), Hokkaido Univ, Fac Fisheries Sci, Hakodate, Hokkaido, Japan.;Nomura, D (corresponding author), Hokkaido Univ, Arctic Res Ctr, Sapporo, Hokkaido, Japan.</t>
  </si>
  <si>
    <t>daiki.nomura@fish.hokudai.ac.jp</t>
  </si>
  <si>
    <t>Ueno, Hiromichi/JMB-9305-2023</t>
  </si>
  <si>
    <t>Tozawa, Manami/0000-0002-9278-2753</t>
  </si>
  <si>
    <t>Japan Society for the Promotion of Science [17H04715, 17K00534, 18H03745, 18KK0292, 18F18794, 20K19949, 20J01213, 20K12142]; Grant for Joint Research Program of the Institute of Low Temperature Science, Hokkaido University, Research Institute for Oceanochemistry Foundation; Japan Arctic Research Network Center; Arctic Challenge for Sustainability II (ArCS II); National Institute of Polar Research (NIPR) through General Collaboration Project [3-22]; Grants-in-Aid for Scientific Research [20K19949, 21H04935, 20K12142, 20H04345, 22K19838] Funding Source: KAKEN</t>
  </si>
  <si>
    <t>Japan Society for the Promotion of Science(Ministry of Education, Culture, Sports, Science and Technology, Japan (MEXT)Japan Society for the Promotion of Science); Grant for Joint Research Program of the Institute of Low Temperature Science, Hokkaido University, Research Institute for Oceanochemistry Foundation; Japan Arctic Research Network Center; Arctic Challenge for Sustainability II (ArCS II); National Institute of Polar Research (NIPR) through General Collaboration Project; Grants-in-Aid for Scientific Research(Ministry of Education, Culture, Sports, Science and Technology, Japan (MEXT)Japan Society for the Promotion of ScienceGrants-in-Aid for Scientific Research (KAKENHI))</t>
  </si>
  <si>
    <t>We would like to express our heartfelt thanks to the Saroma Research Center of Aquaculture, Napal Kitami, Tomonori Tanikawa, Nozomu Ohkawara (Meteorological Research Institute, Japan Meteorological Agency), Takenobu Toyota (Institute of Low Temperature Science, Hokkaido University), and Ryosuke Makabe (National Institute of Polar Research) for their support in the field/lab works and advice for the data analysis. This work was supported by the Japan Society for the Promotion of Science (grants 17H04715, 17K00534, 18H03745, 18KK0292, 18F18794, 20K19949, 20J01213, and 20K12142) and by the Grant for Joint Research Program of the Institute of Low Temperature Science, Hokkaido University, Research Institute for Oceanochemistry Foundation, the Japan Arctic Research Network Center, the Arctic Challenge for Sustainability II (ArCS II), and National Institute of Polar Research (NIPR) through General Collaboration Project (no. 3-22). The English in this manuscript was carefully edited by two nativeEnglish-speaking professional editors, both with extensive research editing experience. This paper is a contribution to the SCOR Working Group 152-Measuring Essential Climate Variables in Sea Ice (ECV-Ice), Biogeochemical Exchange Processes at Sea-Ice Interfaces (BEPSII), MOSAiC, and LASBOS.</t>
  </si>
  <si>
    <t>NIHON SEPPYO GAKKAI-JAPANESE SOC SNOW &amp; ICE</t>
  </si>
  <si>
    <t>358-5 YAMABUKI-CHO, SHINJUKU-KU, TOKYO, 162-0801, JAPAN</t>
  </si>
  <si>
    <t>1345-3807</t>
  </si>
  <si>
    <t>1884-8044</t>
  </si>
  <si>
    <t>BULL GLACIOL RES</t>
  </si>
  <si>
    <t>Bull. Glaciol. Res.</t>
  </si>
  <si>
    <t>10.5331/bgr.21R02</t>
  </si>
  <si>
    <t>4Y9IW</t>
  </si>
  <si>
    <t>WOS:000861835400001</t>
  </si>
  <si>
    <t>Luo, K; Tang, XY; Liu, SX; Guo, JX; Greenbaum, JS; Li, L; Sun, B</t>
  </si>
  <si>
    <t>Luo, Kun; Tang, Xueyuan; Liu, Sixin; Guo, Jingxue; Greenbaum, Jamin S.; Li, Lin; Sun, Bo</t>
  </si>
  <si>
    <t>Deep Radiostratigraphy Constraints Support the Presence of Persistent Wind Scouring Behavior for More Than 100 Ka in the East Antarctic Ice Sheet</t>
  </si>
  <si>
    <t>Ice; Antarctica; Airborne radar; Ocean temperature; Surface topography; Sea surface; Stacking; Age-depth relationship; Dome A; persistent wind scour; radiostratigraphy</t>
  </si>
  <si>
    <t>SURFACE MASS-BALANCE; UNCONFORMABLE STRATIGRAPHY; CLIMATE RECORD; DOME; PART; VARIABILITY; REFLECTORS; TOPOGRAPHY; CHRONOLOGY; CONTINUITY</t>
  </si>
  <si>
    <t>The characterization of unconformities in wind-scoured areas of the Antarctic ice sheet (AIS) is important for the accurate estimation of Antarctic mass balance and can provide constraints on climate models. Here, we apply radar data collected by the Chinese National Antarctic Research Expedition in the vicinity of the Dome A region in East Antarctica to trace six isochronous internal reflecting horizons. We identify 39 unconformities and map englacial stratigraphy 500 m below the ice surface through cross validation among the data from several austral summer campaigns using different ice-penetrating radars. By estimating erosion time of buried unconformities using a 1-D ice-flow model along local ice flowlines, we identify persistent wind-scoured zones on the scale of 10000 years. We identify the earliest truncated climatic record through interpretation of the radar images and find that erosional activity can be dated back to approximately 100000 years before present; all of the persistent wind scouring behaviors we present here began during the last interglacial-last glacial (128-10 ka B.P.). High-resolution records, such as this that reveal englacial unconformities and englacial structural characteristics associated with erosion, contribute to improved understanding of climate variability and ice sheet dynamics during the late Pleistocene.</t>
  </si>
  <si>
    <t>[Luo, Kun; Liu, Sixin] Jilin Univ, Coll Geoexplorat Sci &amp; Technol, Changchun 130026, Peoples R China; [Tang, Xueyuan; Guo, Jingxue; Li, Lin; Sun, Bo] Polar Res Inst China, Key Lab Polar Sci, Minist Nat Resources MNR, Shanghai 200136, Peoples R China; [Greenbaum, Jamin S.] Univ Calif San Diego, Scripps Inst Oceanog, La Jolla, CA 92093 USA</t>
  </si>
  <si>
    <t>Jilin University; Ministry of Natural Resources of the People's Republic of China; Polar Research Institute of China; University of California System; University of California San Diego; Scripps Institution of Oceanography</t>
  </si>
  <si>
    <t>Liu, SX (corresponding author), Jilin Univ, Coll Geoexplorat Sci &amp; Technol, Changchun 130026, Peoples R China.;Tang, XY (corresponding author), Polar Res Inst China, Key Lab Polar Sci, Minist Nat Resources MNR, Shanghai 200136, Peoples R China.</t>
  </si>
  <si>
    <t>luolain17@mails.jlu.edu.cn; tangxueyuan@pric.org.cn; liusixin@jlu.edu.cn; guojingxue@pric.org.cn; jsgreenbaum@ucsd.edu; lilin@pric.org.cn; sunbo@pric.ixg.cn</t>
  </si>
  <si>
    <t>sun, bo/JFA-9978-2023; Luo, Kun/HNQ-1811-2023</t>
  </si>
  <si>
    <t>Luo, Kun/0000-0002-1879-9100; Tang, Xueyuan/0000-0002-6226-4891</t>
  </si>
  <si>
    <t>National Natural Science Foundation of China [41941006, 41876230, 4227625, 41941004]; National Key Research and Development Program of China [2019YFC1509102]; NSF; United States National Science Foundation's Office of Polar Programs (OPP) [OPP-2114454]</t>
  </si>
  <si>
    <t>National Natural Science Foundation of China(National Natural Science Foundation of China (NSFC)); National Key Research and Development Program of China; NSF(National Science Foundation (NSF)); United States National Science Foundation's Office of Polar Programs (OPP)</t>
  </si>
  <si>
    <t>This work was supported in part by the National Natural Science Foundation of China through the Special Project of Polar Basic Science Frontier; in part by the National Natural Science Foundation of China under Grant 41941006, Grant 41876230, Grant 4227625, and Grant 41941004; and in part by the National Key Research and Development Program of China under Grant 2019YFC1509102. The work of Jamin S. Greenbaum was supported by NSF, the United States National Science Foundation's Office of Polar Programs (OPP), under Grant OPP-2114454.</t>
  </si>
  <si>
    <t>10.1109/TGRS.2022.3209543</t>
  </si>
  <si>
    <t>5L3UF</t>
  </si>
  <si>
    <t>WOS:000870339900003</t>
  </si>
  <si>
    <t>Hunt, J; Lucas, D; Laforet, P; Coulange, M; Auffray, JP; Dehours, E</t>
  </si>
  <si>
    <t>Hunt, Jennifer; Lucas, David; Laforet, Paul; Coulange, Mathieu; Auffray, Jean-Pierre; Dehours, Emilie</t>
  </si>
  <si>
    <t>Medical treatment of seafarers in the Southern Indian Ocean-interaction between the French Telemedical Maritime Assistance Service (TMAS) and the medical bases of the French Southern and Antarctic Lands (TAAF)</t>
  </si>
  <si>
    <t>INTERNATIONAL MARITIME HEALTH</t>
  </si>
  <si>
    <t>French Telemedical Maritime Assistance Service (TMAS); teleconsultation; maritime; Indian Ocean; French Southern and Antarctic Lands (TAAF)</t>
  </si>
  <si>
    <t>Background: The waters surrounding the French Southern Lands are a fishing zone, accessible only by sailing for several days in a region where weather conditions are often difficult. The scientific bases of the region have medical staff whose services can be called upon if seafarers require assessment and rapid medical treatment. We conducted an epidemiological study of the maritime teleconsultations carried out by the French Telemedical Maritime Assistance Service (TMAS), where patients navigating in the Southern Indian Ocean zone were advised to disembark on the medical bases in the French Southern Lands, between 2015 and 2020, to receive medical treatment.Materials and methods: We extracted data from all of the maritime records from 1 January 2015 to 31 December 2020 relating to patients who attended a maritime teleconsultation with a French TMAS doctor in the Southern Indian Ocean zone and who had been redirected to the medical bases in the French Southern Lands. Data were collected on the patients' age, gender, nationality, rank, type of vessel, teleconsultation diagnosis, patient management on board and in the French Southern Lands medical bases, as well as the medical outcome. We carried out a descriptive data analysis. Results: French TMAS doctors managed 11,908 cases including 76 in the Southern Indian Ocean zone (0.6%). Nineteen (25%) patients were redirected to the French Southern Lands over the study period. Eighteen patients were men with an average age of 45 +/- 10 years. Eighteen patients were on board a trawler and 11 of them were sailors. Nine patients were treated for a trauma-related condition, 8 for a medical condition and 2 for a surgical disease. Eleven (58%) patients were evacuated to Reunion Island and 8 (42%) patients received medical treatment and were able to re-embark aboard their vessel.Conclusions: Relatively few patients are redirected to the French Southern Lands for medical assistance, but referrals occur on a regular basis. The presence of these medical bases is unusual in a maritime setting, but they can be a valuable asset when maritime medical assistance is required in this region. The type of condition encountered , the patient profile, were typical of the fishing community. The presence of these bases , communication between the various stakeholders delivering maritime medical assistance provided these patients with optimal care despite their isolated location.</t>
  </si>
  <si>
    <t>[Hunt, Jennifer; Dehours, Emilie] CHU Toulouse, Ctr Consultat Med Maritimes, French TMAS, Toulouse, France; [Lucas, David; Coulange, Mathieu; Auffray, Jean-Pierre] French Soc Maritime Med, Soc Francaise Med Maritime, Brest, France; [Laforet, Paul] French Polar Inst Med Serv, Serv Med TAAF IPEV, Paris, France; [Dehours, Emilie] CHU Toulouse, Ctr Consultat Med Maritimes, SAMU 31, Pavillon Lareng,Pl Dr Bayla,TSA 40031, F-31059 Toulouse 9, France</t>
  </si>
  <si>
    <t>CHU de Toulouse; Universite de Toulouse; Universite Toulouse III - Paul Sabatier; CHU de Toulouse</t>
  </si>
  <si>
    <t>Dehours, E (corresponding author), CHU Toulouse, Ctr Consultat Med Maritimes, SAMU 31, Pavillon Lareng,Pl Dr Bayla,TSA 40031, F-31059 Toulouse 9, France.</t>
  </si>
  <si>
    <t>dehours.e@chu-toulouse.fr</t>
  </si>
  <si>
    <t>VIA MEDICA</t>
  </si>
  <si>
    <t>GDANSK</t>
  </si>
  <si>
    <t>UL SWIETOKRZYSKA 73, 80-180 GDANSK, POLAND</t>
  </si>
  <si>
    <t>1641-9251</t>
  </si>
  <si>
    <t>2081-3252</t>
  </si>
  <si>
    <t>INT MARIT HEALTH</t>
  </si>
  <si>
    <t>Int. Marit. Health</t>
  </si>
  <si>
    <t>10.5603/IMH.2022.0024</t>
  </si>
  <si>
    <t>Public, Environmental &amp; Occupational Health</t>
  </si>
  <si>
    <t>5M3YF</t>
  </si>
  <si>
    <t>WOS:000871034300001</t>
  </si>
  <si>
    <t>Zou, SY; Pan, HB; Zou, ZR; Zhang, YJ; Wu, S</t>
  </si>
  <si>
    <t>Hinz, S; Feitosa, RQ; Weinmann, M; Jutzi, B</t>
  </si>
  <si>
    <t>Zou, Siyuan; Pan, Hongbo; Zou, Zhengrong; Zhang, Yongjun; Wu, Shuang</t>
  </si>
  <si>
    <t>ICESAT-2 LASER ALTIMETRY DATA-GUIDED HIGH-ACCURACY POSITIONING OF SATELLITE STEREO IMAGES</t>
  </si>
  <si>
    <t>XXIV ISPRS CONGRESS: IMAGING TODAY, FORESEEING TOMORROW, COMMISSION I</t>
  </si>
  <si>
    <t>ISPRS Annals of the Photogrammetry, Remote Sensing and Spatial Information Sciences</t>
  </si>
  <si>
    <t>24th ISPRS Congress on Imaging Today, Foreseeing Tomorrow</t>
  </si>
  <si>
    <t>JUN 06-11, 2022</t>
  </si>
  <si>
    <t>Nice, FRANCE</t>
  </si>
  <si>
    <t>ICESat-2; Laser Altimetry Data; Satellite Stereo Images; Combined Adjustment; Data Integration</t>
  </si>
  <si>
    <t>TANDEM-X; ADJUSTMENT; REGISTRATION; MODEL</t>
  </si>
  <si>
    <t>Positioning accuracy is a key indicator that restricts the accuracy of satellite image mapping. Laser altimetry acquires surface height in decimeters or higher accuracy, providing high-accuracy topographic information for satellite photogrammetry. This study proposes a four-step high-accuracy positioning method called laser altimetry data-guided stereo images positioning (LGSP): photon outlier removal, digital surface model (DSM) generation by a variant of the tube-shape semi-global matching (tSGM), fast point cloud alignment, and DSM and rational function model (RFM) refming. First, outliers of the laser altimetry data are filtered out via confidence selection and open access DSM constraints. Second, the DSM around high-accuracy photons is generated via the variant of tSGM. Third, fast point cloud alignment is performed to align the DSM with laser altimetry data. Finally, we propose a highresolution stereo model refinement method based on alignment parameters. Experiments on two satellite stereo datasets with different loads, resolutions, and topographies show that LGSP improved the planimetry accuracy of satellite stereo images after adding laser altimetry data. What's more, LGSP significantly improved the height accuracy of satellite images. Specifically, LGSP reduced the height errors from the original 5.99 m to 1.00 m for the Ziyuan-3 stereo dataset and from the original 20.39 m to 0.83 m for the Gaofen-7 stereo dataset, and slightly outperformed bundle adjustment in which four ground control points were deployed around the four corners of the stereo images. RFM refming based on alignment parameters has been made publicly available at https://mega.nz/file/EFQASJ6A#BKjoupHVshylQR4w CxCid9BDtgO8bhy-_aY-c_ri-Inl-0.</t>
  </si>
  <si>
    <t>[Zou, Siyuan; Zhang, Yongjun] Wuhan Univ, Sch Remote Sensing &amp; Informat Engn, Wuhan 430079, Peoples R China; [Zou, Siyuan; Pan, Hongbo; Zou, Zhengrong] Cent South Univ, Sch Geosci &amp; Info Phys, 932 Lunan Lu, Changsha 410083, Peoples R China; [Wu, Shuang] Wuhan Univ, Chinese Antarctic Ctr Surveying &amp; Mapping, Wuhan 430079, Peoples R China</t>
  </si>
  <si>
    <t>Wuhan University; Central South University; Wuhan University</t>
  </si>
  <si>
    <t>Pan, HB (corresponding author), Cent South Univ, Sch Geosci &amp; Info Phys, 932 Lunan Lu, Changsha 410083, Peoples R China.</t>
  </si>
  <si>
    <t>zousiyuan3s@163.com; hongbopan@csu.edu.cn; zrzou@csu.edu.cn; zhangyj@whu.edu.cn; liuxy0319@whu.edu.cn</t>
  </si>
  <si>
    <t>National Natural Science Foundation of China (NSFC) project [41971418]; Gaofen Satellite Remote Sensing Surveying and Mapping Application Demonstration System (Phase II) of China [42-Y30B049001-19/21]</t>
  </si>
  <si>
    <t>National Natural Science Foundation of China (NSFC) project(National Natural Science Foundation of China (NSFC)); Gaofen Satellite Remote Sensing Surveying and Mapping Application Demonstration System (Phase II) of China</t>
  </si>
  <si>
    <t>We would like to thank the editors and the anonymous reviewers for their comments and contributions. This study was supported by the National Natural Science Foundation of China (NSFC) project (No. 41971418) and the Gaofen Satellite Remote Sensing Surveying and Mapping Application Demonstration System (Phase II) of China (No. 42-Y30B049001-19/21).</t>
  </si>
  <si>
    <t>BAHNHOFSALLE 1E, GOTTINGEN, 37081, GERMANY</t>
  </si>
  <si>
    <t>2194-9042</t>
  </si>
  <si>
    <t>2194-9050</t>
  </si>
  <si>
    <t>ISPRS ANN PHOTO REM</t>
  </si>
  <si>
    <t>5-1</t>
  </si>
  <si>
    <t>10.5194/isprs-annals-V-1-2022-41-2022</t>
  </si>
  <si>
    <t>Geography, Physical; Remote Sensing; Imaging Science &amp; Photographic Technology</t>
  </si>
  <si>
    <t>Physical Geography; Remote Sensing; Imaging Science &amp; Photographic Technology</t>
  </si>
  <si>
    <t>BU0EM</t>
  </si>
  <si>
    <t>WOS:000867698700005</t>
  </si>
  <si>
    <t>Wolf, PJ; Hamilton, F</t>
  </si>
  <si>
    <t>Reese, LA</t>
  </si>
  <si>
    <t>Wolf, Peter J.; Hamilton, Francis</t>
  </si>
  <si>
    <t>The management of free-roaming cats in US cities An increasingly important public policy issue</t>
  </si>
  <si>
    <t>ANIMALS IN THE CITY</t>
  </si>
  <si>
    <t>Global Urban Studies</t>
  </si>
  <si>
    <t>ANTARCTIC MARION ISLAND; TRAP-NEUTER-RETURN; FERAL CATS; ANIMAL SHELTERS; FELIS-CATUS; DOMESTIC CATS; ERADICATION; IMPACT; SIZE; POPULATIONS</t>
  </si>
  <si>
    <t>[Wolf, Peter J.] Best Friends Anim Soc, Res &amp; Policy Analyst, Salt Lake City, UT 84106 USA; [Wolf, Peter J.] Arizona State Univ, Design Sch, Tempe, AZ 85287 USA; [Hamilton, Francis] Eckerd Coll, Management, St Petersburg, FL 33733 USA</t>
  </si>
  <si>
    <t>Arizona State University; Arizona State University-Tempe</t>
  </si>
  <si>
    <t>Wolf, PJ (corresponding author), Best Friends Anim Soc, Res &amp; Policy Analyst, Salt Lake City, UT 84106 USA.;Wolf, PJ (corresponding author), Arizona State Univ, Design Sch, Tempe, AZ 85287 USA.</t>
  </si>
  <si>
    <t>ROUTLEDGE</t>
  </si>
  <si>
    <t>2 PARK SQ, MILTON PARK, ABINGDON OX14 4RN, OXFORD, ENGLAND</t>
  </si>
  <si>
    <t>978-1-032-11185-8; 978-0-429-26442-9; 978-0-367-20959-9</t>
  </si>
  <si>
    <t>GLOB URB STUD</t>
  </si>
  <si>
    <t>10.4324/9780429264429-15</t>
  </si>
  <si>
    <t>10.4324/9780429264429</t>
  </si>
  <si>
    <t>Regional &amp; Urban Planning; Social Sciences, Interdisciplinary</t>
  </si>
  <si>
    <t>Public Administration; Social Sciences - Other Topics</t>
  </si>
  <si>
    <t>BT9UG</t>
  </si>
  <si>
    <t>WOS:000864365200012</t>
  </si>
  <si>
    <t>García-Cegarra, AM</t>
  </si>
  <si>
    <t>Garcia-Cegarra, Ana M.</t>
  </si>
  <si>
    <t>Evidence of Type A-Like Killer Whales (Orcinus orca) Predating on Marine Mammals Along the Atacama Desert Coast, Chile</t>
  </si>
  <si>
    <t>killer whales; Orcinus orca; diet; Southeast Pacific; sea lions; dusky dolphins; fin whales; Chile</t>
  </si>
  <si>
    <t>SPERM-WHALES; TOOTHFISH; SOUTHERN; FISHERY; ATTACKS; POPULATIONS; DIVERGENCE; STRATEGIES; INSIGHTS; PREY</t>
  </si>
  <si>
    <t>Killer whales (Orcinus orca) are marine apex predators distributed across the world's oceans. In the last 40 years, researchers have increasingly differentiated killer whales into ecotypes based on genetics, morphology, behaviour, acoustic repertoire, habitat, and trophic ecology. While killer whale ecotypes in the Northern Hemisphere are well studied, the recognition of distinct killer whale forms in the Southern Hemisphere is mainly limited to Antarctic waters. Although present in less studied regions, such as along the Atacama Desert coast in the Southeast Pacific Ocean, limited information is available regarding their biology or trophic ecology. Herein, multiple lines of evidence are presented for killer whale predation on marine mammals in northern Chile. Using information from systematic boat-based surveys, whale-watching tour surveys, and reports from fishermen/citizen scientists, 19 killer whale sightings are reported along the coast of northern Chile (from the Arica and Parinacota region in the north to the Atacama region in the south). Killer whales were photo-identified as corresponding to the Southern Hemisphere Type A-like ecotype according to their dorsal fin shape and white eye patch. One killer whale pod, which included two males, one female, one juvenile, and one calf, was resighted six times from 2016 to 2021 in northern Chile and was observed hunting South American sea lions (Otaria flavescens), dusky dolphins (Lagenorhynchus obscurus), and long-beaked common dolphins (Delphinus cf. capensis). Killer whales were observed taking advantage of large aggregations of sea lions associated with the offshore purse-seine fishery. Adult killer whales used the hulls of fishing vessels to prevent sea lions from escaping. Photo-identification analysis of a fin whale (Balaenoptera physalus) catalogue from Mejillones Peninsula showed that 2.6% of all identified whales had apparent rake marks from killer whale teeth on their dorsal fins. These data show that Type A-like killer whales in northern Chile prey on several species of marine mammals.</t>
  </si>
  <si>
    <t>[Garcia-Cegarra, Ana M.] Ctr Invest Fauna Marina &amp; Avistamiento Cetaceos C, Jesus Tejada 621, Mejillones, Chile; [Garcia-Cegarra, Ana M.] Univ Antofagasta, Fac Ciencias Mar &amp; Recursos Biol, Inst Ciencias Nat Alexander von Humboldt, Campus Coloso S-N, Antofagasta, Chile</t>
  </si>
  <si>
    <t>Universidad de Antofagasta</t>
  </si>
  <si>
    <t>García-Cegarra, AM (corresponding author), Ctr Invest Fauna Marina &amp; Avistamiento Cetaceos C, Jesus Tejada 621, Mejillones, Chile.;García-Cegarra, AM (corresponding author), Univ Antofagasta, Fac Ciencias Mar &amp; Recursos Biol, Inst Ciencias Nat Alexander von Humboldt, Campus Coloso S-N, Antofagasta, Chile.</t>
  </si>
  <si>
    <t>albatracu@gmail.com</t>
  </si>
  <si>
    <t>Porpoise Conservation Society; ANID FONDECYT [3210483]</t>
  </si>
  <si>
    <t>Porpoise Conservation Society; ANID FONDECYT</t>
  </si>
  <si>
    <t>I warmly thank Luis Gonz?lez from Turismos Orca for providing pictures and sightings? posi-tions of killer whales in Cha?aral de Aceituno. Thanks to Owen Polo for creating the kernel den-sity map. Thanks to the fishermen from Mejillones who provided photos and sightings? positions of killer whales predating on sea lions through CIFAMAC NGO social media. I thank Ignacio Leyton for their drone videos during the Menacho pod encounter in Mejillones Bay. I warmly thank Dr. Chris Harrod for proofreading the English and the content of the manuscript. I warmly thank Dr. Koen Van Waerebeek for his revision of this man-uscript, suggestions to improve it, and analysis of the Type A-like Southern Hemisphere killer whale ecotype. Systematic boat-based surveys were par-tially funded by Porpoise Conservation Society. AG was funded under the ANID FONDECYT Postdoctoral Fellow (3210483) . Thank you to the two anonymous reviewers for their comments to improve this article.</t>
  </si>
  <si>
    <t>10.1578/AM.48.5.2022.436</t>
  </si>
  <si>
    <t>4X0IY</t>
  </si>
  <si>
    <t>WOS:000860537300005</t>
  </si>
  <si>
    <t>Dransfield, G; Mékarnia, D; Triaud, AHMJ; Guillot, T; Abe, L; García, LJ; Timmermans, M; Crouzet, N; Schmider, FX; Agabi, A; Suarez, O; Bendjoya, P; Guenther, MN; Lai, O; Martin, B; Stee, P</t>
  </si>
  <si>
    <t>Adler, DS; Seaman, RL; Benn, CR</t>
  </si>
  <si>
    <t>Dransfield, Georgina; Mekarnia, Djamel; Triaud, Amaury H. M. J.; Guillot, Tristan; Abe, Lyu; Garcia, Lionel J.; Timmermans, Mathilde; Crouzet, Nicolas; Schmider, Francois-Xavier; Agabi, Abdelkarim; Suarez, Olga; Bendjoya, Philippe; Guenther, Maximilian N.; Lai, Olivier; Martin, Bruno; Stee, Philippe</t>
  </si>
  <si>
    <t>Observation Scheduling and Automatic Data Reduction for the Antarctic telescope, ASTEP</t>
  </si>
  <si>
    <t>OBSERVATORY OPERATIONS: STRATEGIES, PROCESSES, AND SYSTEMS IX</t>
  </si>
  <si>
    <t>Conference on Observatory Operations - Strategies, Processes, and Systems IX Part of SPIE Astronomical Telescopes and Instrumentation Conference</t>
  </si>
  <si>
    <t>Exoplanets; Transit; TTV; Antarctica; TESS; ExoFOP; Photometry</t>
  </si>
  <si>
    <t>The possibility to observe transiting exoplanets from Dome C in Antarctica provides immense benefits: stable weather conditions, limited atmospheric turbulence, and a night that lasts almost three months due to the austral winter. However, this site also presents significant limitations, such as limited access for maintenance and internet speeds of only a few KB/s. This latter factor means that the approximately 6TB of data collected annually must be processed on site automatically, with only final data products being sent once a day to Europe. In this context, we present the current state of operations of ASTEP+, a 40 cm optical telescope located at Concordia Station in Antarctica. Following a successful summer campaign, ASTEP+ has begun the 2022 observing season with a brand-new two-colour photometer with increased sensitivity. A new Python data analysis pipeline installed on a dedicated server in Concordia will significantly improve the precision of the extracted photometry, enabling us to get higher signal-to-noise transit detections. The new pipeline additionally incorporates automatic transit modelling to reduce the amount of manual post-processing required. It also handles the automatic daily transfer of the photometric lightcurves and control data to Europe. Additionally, we present the Python and web-based systems used for selection and scheduling of transit observations; these systems have wide applicability for the scheduling of other astronomical observations with strong time constraints. We also review the type of science that ASTEP+ will be conducting and analyse how unique ASTEP+ is to exoplanet transit research.</t>
  </si>
  <si>
    <t>[Dransfield, Georgina; Triaud, Amaury H. M. J.] Univ Birmingham, Sch Phys &amp; Astron, Birmingham B15 2TT, W Midlands, England; [Mekarnia, Djamel; Guillot, Tristan; Abe, Lyu; Schmider, Francois-Xavier; Agabi, Abdelkarim; Suarez, Olga; Bendjoya, Philippe; Lai, Olivier; Stee, Philippe] Univ Cote dAzur, Observ Cote dAzur, CNRS, Lagrange Lab, Nice, France; [Garcia, Lionel J.; Timmermans, Mathilde] Univ Liege, Astrobiol Res Unit, 19C Allee 6 Aout, B-4000 Liege, Belgium; [Crouzet, Nicolas] Leiden Univ, Leiden Observ, Postbus 9513, NL-2300 RA Leiden, Netherlands; [Crouzet, Nicolas; Guenther, Maximilian N.; Martin, Bruno] European Space Agcy ESA, European Space Res &amp; Technol Ctr ESTEC, Keplerlaan 1, NL-2201 AZ Noordwijk, Netherlands</t>
  </si>
  <si>
    <t>University of Birmingham; Universite Cote d'Azur; Observatoire de la Cote d'Azur; Centre National de la Recherche Scientifique (CNRS); University of Liege; Leiden University; Leiden University - Excl LUMC; European Space Agency</t>
  </si>
  <si>
    <t>Dransfield, G (corresponding author), Univ Birmingham, Sch Phys &amp; Astron, Birmingham B15 2TT, W Midlands, England.</t>
  </si>
  <si>
    <t>gxg831@bham.ac.uk</t>
  </si>
  <si>
    <t>Triaud, Amaury/AAT-5603-2021; Schmider, François-Xavier/C-5435-2012</t>
  </si>
  <si>
    <t>Triaud, Amaury/0000-0002-5510-8751; Schmider, Francois-Xavier/0000-0003-3914-3546; Guillot, Tristan/0000-0002-7188-8428; STEE, Philippe/0000-0001-8220-0636; Garcia, Lionel/0000-0002-4296-2246; Bendjoya, Philippe/0000-0002-4278-1437; Crouzet, Nicolas/0000-0001-7866-8738; Dransfield, Georgina/0000-0002-3937-630X</t>
  </si>
  <si>
    <t>European Union [803193/BEBOP]; Science and Technology Facilities Council (STFC) [ST/S00193X/1]; European Space Agency (ESA) through the Science Faculty of the European Space Research and Technology Centre (ESTEC); IPEV; PNRA; INSU; ESA through the Science Faculty of the European Space Research and Technology Centre (ESTEC); University of Birmingham; laboratoire Lagrange [CNRS UMR 7293]; Universite Cote d'Azur through Idex UCAJEDI [ANR-15-IDEX-01]; French Community of Belgium; European Space Agency (ESA)</t>
  </si>
  <si>
    <t>European Union(European Union (EU)); Science and Technology Facilities Council (STFC)(UK Research &amp; Innovation (UKRI)Science &amp; Technology Facilities Council (STFC)Science and Technology Development Fund (STDF)); European Space Agency (ESA) through the Science Faculty of the European Space Research and Technology Centre (ESTEC); IPEV; PNRA; INSU(Centre National de la Recherche Scientifique (CNRS)); ESA through the Science Faculty of the European Space Research and Technology Centre (ESTEC); University of Birmingham; laboratoire Lagrange; Universite Cote d'Azur through Idex UCAJEDI; French Community of Belgium; European Space Agency (ESA)(European Space Agency)</t>
  </si>
  <si>
    <t>This research is in part funded by the European Union's Horizon 2020 research and innovation programme (grants agreements n. 803193/BEBOP), and from the Science and Technology Facilities Council (STFC; grant n. ST/S00193X/1). We acknowledge support from the European Space Agency (ESA) through the Science Faculty of the European Space Research and Technology Centre (ESTEC). ASTEP and ASTEP+ have benefited from the support of the French and Italian polar agencies IPEV and PNRA, and from INSU, ESA through the Science Faculty of the European Space Research and Technology Centre (ESTEC), the University of Birmingham, the laboratoire Lagrange (CNRS UMR 7293) and the Universite Cote d'Azur through Idex UCAJEDI (ANR-15IDEX-01). This publication benefits from the support of the French Community of Belgium in the context of the FRIA Doctoral Grant awarded to Mathilde Timmermans and Lionel J. Garcia. MNG acknowledges support from the European Space Agency (ESA) as an ESA Research Fellow.</t>
  </si>
  <si>
    <t>978-1-5106-5354-2; 978-1-5106-5353-5</t>
  </si>
  <si>
    <t>121861F</t>
  </si>
  <si>
    <t>10.1117/12.2629920</t>
  </si>
  <si>
    <t>Engineering, Aerospace; Astronomy &amp; Astrophysics; Instruments &amp; Instrumentation; Optics</t>
  </si>
  <si>
    <t>Engineering; Astronomy &amp; Astrophysics; Instruments &amp; Instrumentation; Optics</t>
  </si>
  <si>
    <t>BT9VS</t>
  </si>
  <si>
    <t>WOS:000865467900039</t>
  </si>
  <si>
    <t>Menna, F; Nocerino, E; Malek, S; Remondino, F; Schiaparelli, S</t>
  </si>
  <si>
    <t>Yilmaz, A; Wegner, JD; Qin, R; Remondino, F; Fuse, T; Toschi, I</t>
  </si>
  <si>
    <t>Menna, F.; Nocerino, E.; Malek, S.; Remondino, F.; Schiaparelli, S.</t>
  </si>
  <si>
    <t>A COMBINED APPROACH FOR LONG-TERM MONITORING OF BENTHOS IN ANTARCTICA WITH UNDERWATER PHOTOGRAMMETRY AND IMAGE UNDERSTANDING</t>
  </si>
  <si>
    <t>XXIV ISPRS CONGRESS IMAGING TODAY, FORESEEING TOMORROW, COMMISSION II</t>
  </si>
  <si>
    <t>International Archives of the Photogrammetry, Remote Sensing and Spatial Information Sciences</t>
  </si>
  <si>
    <t>Underwater photogrammetry; change detection; long-term monitoring; antarctica; image segmentation; CNN</t>
  </si>
  <si>
    <t>Long-term monitoring projects are becoming more than ever crucial in assessing the effects of climate change on marine communities, especially in Antarctica, where these changes are expected to be particularly dramatic. Detailed studies of the Antarctic benthos are in fact particularly important for a better understanding of benthos dynamics and potential climate-driven shifts. Here, due to the extreme fragility of benthic communities, non-destructive techniques represent the best solution in long-term monitoring programs. In this paper we report new results from 2017, 2018, 2019 photogrammetric campaigns within the Italian National Antarctic Research Program (PNRA). A new protocol of data acquisition and multi-temporal processing that provides co-registered 3D point clouds between the three years without control points nor direct georeferencing methods is presented. This is achieved by adding a level of image understanding leveraging semantic segmentation with convolutional neural network (CNN) of the benthic features. Slow growing (estimated less than a mm per year) organisms, such as Corallinales (Rhodophyta algae), represent a natural stable pattern, leveraged to automatically orient in the same reference system the photogrammetric surveys of different epochs. This approach is also proved to be effective in improving the orientation of adjacent strips acquired within the same campaign. Within the paper an in depth analysis of the achieved results shows the effectiveness of the implemented procedure.</t>
  </si>
  <si>
    <t>[Menna, F.; Malek, S.; Remondino, F.] Bruno Kessler Fdn FBK, 3D Opt Metrol 3DOM Unit, Trento, Italy; [Nocerino, E.] Univ Sassari, Dipartimento Sci Umanist &amp; Sociali, Sassari, Italy; [Schiaparelli, S.] Univ Genoa, DISTAV, Genoa, Italy; [Schiaparelli, S.] Italian Natl Antarctic Museum MNA, Sect Genoa, Genoa, Italy</t>
  </si>
  <si>
    <t>Fondazione Bruno Kessler; University of Sassari; University of Genoa</t>
  </si>
  <si>
    <t>Menna, F (corresponding author), Bruno Kessler Fdn FBK, 3D Opt Metrol 3DOM Unit, Trento, Italy.</t>
  </si>
  <si>
    <t>fmenna@fbk.eu; enocerino@uniss.it; smalek@fbk.eu; remondino@fbk.eu; stefano.schiaparelli@unige.it</t>
  </si>
  <si>
    <t>Remondino, Fabio/C-5503-2018; MALEK, SALIM/K-8962-2012; Nocerino, Erica/KEE-6544-2024</t>
  </si>
  <si>
    <t>Remondino, Fabio/0000-0001-6097-5342; Nocerino, Erica/0000-0003-3511-4967; malek, salim/0000-0002-7168-8952</t>
  </si>
  <si>
    <t>project Ross Sea Benthic Monitoring Program: new non-destructive and machine-learning approaches for the analysis of benthos patterns (RosS-BMP) [PNRA18_00263]</t>
  </si>
  <si>
    <t>project Ross Sea Benthic Monitoring Program: new non-destructive and machine-learning approaches for the analysis of benthos patterns (RosS-BMP)</t>
  </si>
  <si>
    <t>This study has been partially supported by the project Ross Sea Benthic Monitoring Program: new non-destructive and machine-learning approaches for the analysis of benthos patterns (RosS-BMP,_PNRA18_00263). The authors are grateful to the New Zealand and Korean teams for their collaboration and precious contribution in the survey data acquisition. This paper is an Italian contribution to the CCAMLR CONSERVATION MEASURE 91-05 (2016) for the Ross Sea region Marine Protected Area, specifically, addressing the priorities of Annex 91-05/C.</t>
  </si>
  <si>
    <t>1682-1750</t>
  </si>
  <si>
    <t>2194-9034</t>
  </si>
  <si>
    <t>INT ARCH PHOTOGRAMM</t>
  </si>
  <si>
    <t>43-B2</t>
  </si>
  <si>
    <t>10.5194/isprs-archives-XLIII-B2-2022-935-2022</t>
  </si>
  <si>
    <t>BT8VT</t>
  </si>
  <si>
    <t>WOS:000855635300126</t>
  </si>
  <si>
    <t>Mytrokhyn, OV; Gavryliv, LI; Bakhmutov, VG</t>
  </si>
  <si>
    <t>Mytrokhyn, O. V.; Gavryliv, L. I.; Bakhmutov, V. G.</t>
  </si>
  <si>
    <t>PETROLOGY OF CENOZOIC DYKES ON THE ARGENTINE ISLANDS (WILHELM ARCHIPELAGO, WEST ANTARCTICA)</t>
  </si>
  <si>
    <t>MINERALOGICAL JOURNAL-UKRAINE</t>
  </si>
  <si>
    <t>Antarctic; petrology; dykes</t>
  </si>
  <si>
    <t>Dyke swarms that intrude Paleogene granitoids of the Argentine Islands near the Ukrainian Antarctic Station Akademik Vernadsky were studied. The field relations and mineralogical, petrographical and geochemical properties of the dykes allow their relative geological age and the geodynamic conditions to be clarified. The magmatic activity in the study area did not cease, at least until the end of the Miocene when the processes of orogenic uplift led to the erosive exposure of the Paleogene granitoids of the Barchans-Forge Massif. Tectonic exhumation of the latter was accompanied by the intrusion of dykes of different compositions at different depths. Cenozoic basalt and diabase dykes are the most common. Most are subvolcanic fractured intrusions formed after the complete exhumation of the host granitoids, which ended by the Miocene (11 Ma). The basaltic dykes are probably one of the youngest representatives of magmatism in the region. They have an intermediate position between high-LILE tholeiites and the calc-alkaline series. However, the nature of contamination of the basaltic dykes by crustal rocks requires additional research. Cenozoic microdiorites dykes are rarer than basaltic ones. They are hypabyssal fractured intrusions formed during the tectonic exhumation of the Barchans-Forge granitoids between the beginning of the Paleocene and the end of the Miocene (61-11 Ma). The microdiorites belong to the orogenic calc-alkaline series and they could be related to subduction processes. The discovery of only one dacite dyke indicates the rarity of acid magmatism during the Cenozoic period. It occurs as a fractured intrusion and formed after the exhumation of the host granitoids. The dacite dyke belongs to the calc-alkaline series, which, along with other compositional properties, suggests that dacite and microdiorite dykes are comagmatic.</t>
  </si>
  <si>
    <t>[Mytrokhyn, O. V.] Kyiv Taras Shevchenko Natl Univ, Educ Sci Inst, Inst Geol, 90 Vasylkivska Str, UA-03022 Kiev, Ukraine; [Gavryliv, L. I.] Comenius Univ, Fac Nat Sci, 3278-6 Ilkovicova Karlova Ves, Bratislava 84104, Slovakia; [Bakhmutov, V. G.] NAS Ukraine, Dept SI Subbotin Inst Geophys, 32 Acad Palladin Ave, UA-03142 Kiev, Ukraine</t>
  </si>
  <si>
    <t>National Academy of Sciences Ukraine; Institute of Geological Sciences, National Academy of Sciences of Ukraine; Ministry of Education &amp; Science of Ukraine; Taras Shevchenko National University of Kyiv; Banking University; Comenius University Bratislava; National Academy of Sciences Ukraine</t>
  </si>
  <si>
    <t>Mytrokhyn, OV (corresponding author), Kyiv Taras Shevchenko Natl Univ, Educ Sci Inst, Inst Geol, 90 Vasylkivska Str, UA-03022 Kiev, Ukraine.</t>
  </si>
  <si>
    <t>mitrokhin.a.v@ukr.net; liubomyr.gavryliv@uniba.sk; bakhmutovvg@gmail.com</t>
  </si>
  <si>
    <t>Mytrokhyn, Oleksandr/0000-0001-6269-0092; Bakhmutov, Vladimir/0000-0003-3804-9953</t>
  </si>
  <si>
    <t>M P SEMENENKO INST GEOCHEMISTRY, MINERALOGY &amp; ORE FORMATION OF NAS UKRAINE</t>
  </si>
  <si>
    <t>34, AKAD PALLADIN AVE, 142, KYIV, 03142, UKRAINE</t>
  </si>
  <si>
    <t>2519-2396</t>
  </si>
  <si>
    <t>2519-447X</t>
  </si>
  <si>
    <t>MINER J-UKRAINE</t>
  </si>
  <si>
    <t>Miner. J.-Ukraine</t>
  </si>
  <si>
    <t>10.15407/mineraljournal.44.03.067</t>
  </si>
  <si>
    <t>Mineralogy</t>
  </si>
  <si>
    <t>5K7PU</t>
  </si>
  <si>
    <t>WOS:000869914900001</t>
  </si>
  <si>
    <t>Hawkins, JD; Brennan, PV; Nicholls, KW; Lok, LB</t>
  </si>
  <si>
    <t>Hawkins, Jonathan D.; Brennan, Paul V.; Nicholls, Keith W.; Lok, Lai Bun</t>
  </si>
  <si>
    <t>Design of an HF-VHF Ice Penetrating Synthetic Aperture Radar</t>
  </si>
  <si>
    <t>2022 IEEE/MTT-S INTERNATIONAL MICROWAVE SYMPOSIUM (IMS 2022)</t>
  </si>
  <si>
    <t>IEEE MTT-S International Microwave Symposium</t>
  </si>
  <si>
    <t>IEEE/MTT-S International Microwave Symposium (IMS)</t>
  </si>
  <si>
    <t>JUN 19-24, 2022</t>
  </si>
  <si>
    <t>Denver, CO</t>
  </si>
  <si>
    <t>ice-penetrating radar; FMCW radar; dipole antenna</t>
  </si>
  <si>
    <t>The design of an HF-VHF frequency modulated continuous wave radar intended for use with an autonomous rover in the polar regions is presented. The RF front-end, antenna design and deramped filter for the radar are described and validated using laboratory measurements and an outdoor field measurement.</t>
  </si>
  <si>
    <t>[Hawkins, Jonathan D.; Brennan, Paul V.; Lok, Lai Bun] UCL, Dept Elect &amp; Elect Engn, London, England; [Nicholls, Keith W.] British Antarctic Survey, Cambridge, England</t>
  </si>
  <si>
    <t>University of London; University College London; UK Research &amp; Innovation (UKRI); Natural Environment Research Council (NERC); NERC British Antarctic Survey</t>
  </si>
  <si>
    <t>Hawkins, JD (corresponding author), UCL, Dept Elect &amp; Elect Engn, London, England.</t>
  </si>
  <si>
    <t>jonathan.hawkins.17@ucl.ac.uk</t>
  </si>
  <si>
    <t>Hawkins, Jonathan/ACM-6983-2022</t>
  </si>
  <si>
    <t>Royal Society Research Fellows Enhancement Award [RGF\EA\180173]; NERC [NE/I000623/1, NE/S006761/1, NE/J005630/1, NE/L013444/1] Funding Source: UKRI</t>
  </si>
  <si>
    <t>Royal Society Research Fellows Enhancement Award(Royal Society); NERC(UK Research &amp; Innovation (UKRI)Natural Environment Research Council (NERC))</t>
  </si>
  <si>
    <t>This work is supported by the Royal Society Research Fellows Enhancement Award RGF\EA\180173. The authors thank Dr Chin-Pang Liu for his kind loan of test and measurement equipment.</t>
  </si>
  <si>
    <t>0149-645X</t>
  </si>
  <si>
    <t>2576-7216</t>
  </si>
  <si>
    <t>978-1-6654-9613-1</t>
  </si>
  <si>
    <t>IEEE MTT S INT MICR</t>
  </si>
  <si>
    <t>10.1109/IMS37962.2022.9865374</t>
  </si>
  <si>
    <t>Engineering, Electrical &amp; Electronic; Telecommunications</t>
  </si>
  <si>
    <t>Engineering; Telecommunications</t>
  </si>
  <si>
    <t>BT9MO</t>
  </si>
  <si>
    <t>WOS:000862782300057</t>
  </si>
  <si>
    <t>Loebel, E; Scheinert, M; Horwath, M; Heidler, K; Christmann, J; Phan, LD; Humbert, A; Zhu, XX</t>
  </si>
  <si>
    <t>Loebel, Erik; Scheinert, Mirko; Horwath, Martin; Heidler, Konrad; Christmann, Julia; Phan, Long Duc; Humbert, Angelika; Zhu, Xiao Xiang</t>
  </si>
  <si>
    <t>Extracting Glacier Calving Fronts by Deep Learning: The Benefit of Multispectral, Topographic, and Textural Input Features</t>
  </si>
  <si>
    <t>Remote sensing; Feature extraction; Earth; Ice; Artificial satellites; Reflectivity; Optical surface waves; Deep learning; feature importance; glacier front; Greenland; optical data</t>
  </si>
  <si>
    <t>LEVEL COOCCURRENCE MATRIX; GREENLAND; ICE; SAR</t>
  </si>
  <si>
    <t>An accurate parameterization of glacier calving is essential for understanding glacier dynamics and constraining ice-sheet models. The increasing availability and quality of remote sensing imagery open the prospect of a continuous and precise mapping of relevant parameters, such as calving front locations. However, it also calls for automated and scalable analysis strategies. Deep neural networks provide powerful tools for processing large quantities of remote sensing data. In this contribution, we assess the benefit of diverse input data for calving front extraction. In particular, we focus on Landsat-8 imagery supplementing single-band inputs with multispectral data, topography, and textural information. We assess the benefit of these three datasets using a dropped-variable approach. The associated reference dataset comprises 728 manually delineated calving front positions of 23 Greenland and two Antarctic outlet glaciers from 2013 to 2021. Resulting feature importance emphasizes both the potential integrating additional input information as well as the significance of their thoughtful selection. We advocate utilizing multispectral features as their integration leads generally to more accurate predictions compared with conventional single-band inputs. This is especially prevalent for challenging ice melange and illumination conditions. In contrast, the application of both textural and topographic inputs cannot be recommended without reservation, since they may lead to model overfitting. The results of this assessment are not only relevant for advancing automated calving front extraction but also for a wider range of glaciology-related land surface classification tasks using deep neural networks.</t>
  </si>
  <si>
    <t>[Loebel, Erik; Scheinert, Mirko; Horwath, Martin; Heidler, Konrad; Zhu, Xiao Xiang] German Aerosp Ctr, Remote Sensing Technol Inst, D-82234 Wessling, Germany; [Loebel, Erik; Scheinert, Mirko; Horwath, Martin; Heidler, Konrad; Zhu, Xiao Xiang] Tech Univ Munich, Data Sci Earth Observ, D-80333 Munich, Germany; [Christmann, Julia; Phan, Long Duc; Humbert, Angelika] Helmholtz Zentrum Polar Meeresforsch, Alfred Wegener Inst, Sekt Glaziol, D-27568 Bremerhaven, Germany; [Christmann, Julia] Tech Univ Kaiserslautern, Lehrstuhl Tech Mech, D-67653 Kaiserslautern, Germany; [Humbert, Angelika] Univ Bremen, Fachbereich Geowissensch, D-28359 Bremen, Germany</t>
  </si>
  <si>
    <t>Helmholtz Association; German Aerospace Centre (DLR); Technical University of Munich; Helmholtz Association; Alfred Wegener Institute, Helmholtz Centre for Polar &amp; Marine Research; University of Kaiserslautern; University of Bremen</t>
  </si>
  <si>
    <t>Loebel, E (corresponding author), German Aerosp Ctr, Remote Sensing Technol Inst, D-82234 Wessling, Germany.</t>
  </si>
  <si>
    <t>erik.loebel@tu-dresden.de</t>
  </si>
  <si>
    <t>Zhu, Xiao Xiang/E-3728-2013; Heidler, Konrad/AAM-1779-2021; Loebel, Erik/JEF-5068-2023</t>
  </si>
  <si>
    <t>Heidler, Konrad/0000-0001-8226-0727; Loebel, Erik/0000-0001-9874-9295; Zhu, Xiao Xiang/0000-0001-5530-3613; Phan, Long Duc/0000-0002-4947-1116; Humbert, Angelika/0000-0002-0244-8760; Scheinert, Mirko/0000-0002-0892-8941; Christmann, Julia/0000-0002-5044-1192</t>
  </si>
  <si>
    <t>Helmholtz Association through the Helmholtz Information and Data Science Incubator Project Artificial Intelligence for Cold Regions, (AI-CORE) [ZT-I-0016]</t>
  </si>
  <si>
    <t>Helmholtz Association through the Helmholtz Information and Data Science Incubator Project Artificial Intelligence for Cold Regions, (AI-CORE)</t>
  </si>
  <si>
    <t>This work was supported by the Helmholtz Association through the Helmholtz Information and Data Science Incubator Project Artificial Intelligence for Cold Regions, (AI-CORE) under Grant ZT-I-0016.</t>
  </si>
  <si>
    <t>10.1109/TGRS.2022.3208454</t>
  </si>
  <si>
    <t>5D7CP</t>
  </si>
  <si>
    <t>WOS:000865095100011</t>
  </si>
  <si>
    <t>Interbartolo, M; O'Neill, W; Bannon, M; Howard, R; Montoya, B; Litaker, HL; Black, J</t>
  </si>
  <si>
    <t>Interbartolo, Michael (Tuna), III; O'Neill, William; Bannon, Molly; Howard, Robert; Montoya, Brett; Litaker, Harry L., Jr.; Black, Jackie</t>
  </si>
  <si>
    <t>The Lunar Lab Initiative</t>
  </si>
  <si>
    <t>2022 IEEE AEROSPACE CONFERENCE (AERO)</t>
  </si>
  <si>
    <t>IEEE Aerospace Conference Proceedings</t>
  </si>
  <si>
    <t>IEEE Aerospace Conference (AERO)</t>
  </si>
  <si>
    <t>MAR 05-12, 2022</t>
  </si>
  <si>
    <t>Big Sky, MT</t>
  </si>
  <si>
    <t>Analogous to terrestrial Antarctic basecamps at our south pole, space exploration outposts will be a combination of habitation and science-focused assets. The Artemis Exploration Roadmap endeavors to establish a sustained human presence on the lunar South Pole starting in 2028. Within the planned Artemis Base Camp, most efforts to date have focused on the habitation assets or a mixture of science and habitation assets. With the recent advent of commercial lunar landing capabilities, the trade space can be further expanded to include dedicated science-focused assets that ensure adequate science capability. To that end, the Forge, an innovation team created at the Johnson Space Center (JSC), explored alternative ways to increase the science capabilities within the basecamp. The Forge is designed to produce innovative solutions in a short timeframe while using structured brainstorming and facilitation to drive these results. As a pilot study for the Forge, a multi-disciplinary team investigated a lunar lab module to augment the lunar surface plans for Artemis. This formulation study evaluated the scientific and operational considerations for this dedicated crew space that would increase the capabilities of lunar surface science operations. The trade space evaluated lander delivery options, module structural designs, science instrument outfitting, and lab operations to maximize lunar science objectives. The lab operations options explored a stand-alone facility, as well as a facility integrated into a larger lunar surface complex, while evaluating crew usage and habitability considerations. The resulting alternatives were evaluated by the Forge team with a set of metrics to determine their originality, feasibility, and science performance, and thereby provide a recommendation to the lunar architecture planning team. Lessons learned from the lunar lab study were compiled to improve the process and tools for future Forge studies. Forward work, open issues, and challenges to further refine the design of the various science-focused asset options were also documented. By providing a robust science capability at humanity's furthest outpost, NASA can plan for a sustained human lunar presence once the initial lunar surface access capability is well established.</t>
  </si>
  <si>
    <t>[Interbartolo, Michael (Tuna), III; O'Neill, William; Bannon, Molly; Howard, Robert; Montoya, Brett; Litaker, Harry L., Jr.; Black, Jackie] 2101 NASA Pkwy, Houston, TX 77058 USA</t>
  </si>
  <si>
    <t>Interbartolo, M (corresponding author), 2101 NASA Pkwy, Houston, TX 77058 USA.</t>
  </si>
  <si>
    <t>Michael.a.interbartolo@nasa.gov; bill.j.oneill@nasa.gov; molly.bannon@nasa.gov; robert.l.howard@nasa.gov; brett.d.montoya-1@nasa.gov; harry.l.litaker@nasa.gov; jacquelyne.l.black@nasa.gov</t>
  </si>
  <si>
    <t>Johnson Space Center</t>
  </si>
  <si>
    <t>The engineering visualizations were produced by Brad Reynolds of Analytical Mechanics Associates, Inc.; This work was sponsored primarily by the Johnson Space Center's Engineering Directorate with support from many other Directorates at JSC. There are many people in leadership that helped make the effort successful, including the folks from the Lunar Architecture Team. The Forge the Lunar Lab team were critical to executing a successful study and demonstrating the Forge capability on a technical design problem.; Finally, we appreciate the time and information shared with us by JPL's Innovation Foundry (Randii Wessen, Kelley Case, Steve Matousek) and GRC's Compass Lab (Steve Oleson and Betsy Turnbull). Without their willingness to share some of their best practices and lessons learned, we would not be where we are at today.</t>
  </si>
  <si>
    <t>1095-323X</t>
  </si>
  <si>
    <t>978-1-6654-3760-8</t>
  </si>
  <si>
    <t>AEROSP CONF PROC</t>
  </si>
  <si>
    <t>10.1109/AERO53065.2022.9843294</t>
  </si>
  <si>
    <t>Engineering, Aerospace</t>
  </si>
  <si>
    <t>BT8WB</t>
  </si>
  <si>
    <t>WOS:000855669500081</t>
  </si>
  <si>
    <t>Kovalenko, P; Serga, S; Einor, D; Gorobchyshyn, V; Trokhymets, V; Protsenko, O; Kozeretska, I</t>
  </si>
  <si>
    <t>Kovalenko, Pavlo; Serga, Svitlana; Einor, Daniel; Gorobchyshyn, Volodymyr; Trokhymets, Vladlen; Protsenko, Oleksandra; Kozeretska, Iryna</t>
  </si>
  <si>
    <t>Unsupervised learning for detection of possible sexual dimorphism in larvae of Belgica antarctica Jacobs (Diptera, Chironomidae)</t>
  </si>
  <si>
    <t>Antarctic midge; polar insect; sexual dimorphism; Antarctic Peninsula; head capsule; morphometry</t>
  </si>
  <si>
    <t>SIZE DIMORPHISM; LIFE-HISTORY; MIDGE; VARIABILITY; PHYSIOLOGY; INSECTS</t>
  </si>
  <si>
    <t>Belgica antarctica is one of the two native chironomid species of the Antarctic Penin-sula. In this species, adult males and females are considerably different, yet the question of larval sex differences in morphometric parameters remains unanswered. In this paper, we analyze five morphometric parameters: head capsule length, head capsule width, mandible width, mandible length, mentum length of 140 fourth-instar larvae of B. ant-arctica from seven study plots in the south of Petermann Island, Wilhelm Archipelago, Antarctic Peninsula. To infer possible sexual dimorphism, we use the methods of unsupervised analysis (PCA and hierarchical clusterization). Our results suggest that the selected morphometric features of width and length are highly intercorrelated and cannot differentiate sex in the sampled larvae of B. antarctica.</t>
  </si>
  <si>
    <t>[Kovalenko, Pavlo; Gorobchyshyn, Volodymyr] Natl Acad Sci Ukraine, Inst Evolutionary Ecol, Lebedeva Str 37, Kiev, Ukraine; [Serga, Svitlana; Gorobchyshyn, Volodymyr; Trokhymets, Vladlen; Protsenko, Oleksandra] Taras Shevchenko Natl Univ Kyiv, Volodymyrska Str 64-1, Kiev, Ukraine; [Serga, Svitlana; Protsenko, Oleksandra; Kozeretska, Iryna] Natl Antarctic Sci Ctr Ukraine, Taras Shevchenko B 16, Kiev, Ukraine; [Einor, Daniel] Univ South Carolina, Bull Str 945, Columbia, SC 29208 USA</t>
  </si>
  <si>
    <t>National Academy of Sciences Ukraine; Ministry of Education &amp; Science of Ukraine; Taras Shevchenko National University of Kyiv; Ministry of Education &amp; Science of Ukraine; State Institution National Antarctic Scientific Center; University of South Carolina System; University of South Carolina Columbia</t>
  </si>
  <si>
    <t>Kovalenko, P (corresponding author), Natl Acad Sci Ukraine, Inst Evolutionary Ecol, Lebedeva Str 37, Kiev, Ukraine.</t>
  </si>
  <si>
    <t>ilovebiofack@gmail.com</t>
  </si>
  <si>
    <t>Kovalenko, Pavlo Andriiovych/AAZ-5679-2021; Kozeretska, Iryna A/F-1383-2010; Gorobchyshyn, Volodymyr/AAZ-8624-2021</t>
  </si>
  <si>
    <t>Kovalenko, Pavlo Andriiovych/0000-0002-9533-3080; Gorobchyshyn, Volodymyr/0000-0003-1896-5110; Trokhymets, Vladlen/0000-0001-6367-1897</t>
  </si>
  <si>
    <t>10.5817/CPR2022-1-1</t>
  </si>
  <si>
    <t>4Z4GT</t>
  </si>
  <si>
    <t>WOS:000862170100001</t>
  </si>
  <si>
    <t>Matejka, M; Láska, K</t>
  </si>
  <si>
    <t>Matejka, Michael; Laska, Kamil</t>
  </si>
  <si>
    <t>Impact of the selected boundary layer schemes and enhanced horizontal resolution on the Weather Research and Forecasting model performance on James Ross Island, Antarctic Peninsula</t>
  </si>
  <si>
    <t>polar meteorology; numerical simulation; WRF model; air temperature; snow cover; wind speed; Antarctic Peninsula</t>
  </si>
  <si>
    <t>WRF; ICE; SIMULATIONS; TURBULENCE; GLACIERS; BALANCE</t>
  </si>
  <si>
    <t>The output of the various Weather Research and Forecasting (WRF) model configura-tions was compared with ground-based observations in the northern part of James Ross Island, Antarctic Peninsula. In this region, a network of automatic weather stations de-ployed at ice-free sites (as well as small glaciers) is operated by the Czech Antarctic Research Programme. Data from these stations provide a unique opportunity to evaluate the WRF model in a complex terrain of James Ross Island. The model was forced by the ERA5 reanalysis data and the University of Bremen sea ice data. The model con-figurations include a novel Three-Dimensional Scale-Adaptive Turbulent Kinetic Energy (3D TKE) planetary boundary layer scheme and a more traditional Quasi-Normal Scale Elimination (QNSE) scheme. Impact of model horizontal resolution was evaluated by running simulations in both 700 m and 300 m. The validation period, 25 May 2019 to 12 June 2019, was selected to cover different stratification regimes of air temperature and a significant snowfall event. Air temperature was simulated well except for strong low-level inversions. These inversions occurred in 44% of all cases and contributed to a higher mean bias (2.0-2.9 degrees C) at low-elevation sites than at high altitude sites (0.2- 0.6 degrees C). The selection of the 3D TKE scheme led to improvement at low-elevation sites; at high altitude sites, the differences between model configurations were rather small. The best performance in wind speed simulation was achieved with the combination of the 3D TKE scheme and 300 m model resolution. The most important improvement was decrease of bias at a coastal Mendel Station from 3.5 m center dot s-1 with the QNSE scheme on the 700 m grid to 1.2 m center dot s-1 with the 3D TKE scheme on the 300 m grid. The WRF model was also proven to simulate a large snowfall event with a good correspondence with the observed snow height.</t>
  </si>
  <si>
    <t>[Matejka, Michael; Laska, Kamil] Masaryk Univ, Fac Sci, Dept Geog, Kotlarska 2, Brno 61137, Czech Republic</t>
  </si>
  <si>
    <t>Masaryk University Brno</t>
  </si>
  <si>
    <t>Matejka, M (corresponding author), Masaryk Univ, Fac Sci, Dept Geog, Kotlarska 2, Brno 61137, Czech Republic.</t>
  </si>
  <si>
    <t>matejkamichael@mail.muni.cz; laska@sci.muni.cz</t>
  </si>
  <si>
    <t>Matějka, Michael/AAX-2290-2021; Laska, Kamil/L-7875-2013</t>
  </si>
  <si>
    <t>Matějka, Michael/0000-0003-1108-7474; Laska, Kamil/0000-0002-5199-9737</t>
  </si>
  <si>
    <t>Czech Science Foundation [MUNI/A/1393/2021]; Czech Antarctic Research Programme - Ministry of Education, Youth and Sports of the Czech Republic; Ministry of Education, Youth and Sports of the Czech Republic; Masaryk University; [GC20-20240S]</t>
  </si>
  <si>
    <t>Czech Science Foundation(Grant Agency of the Czech Republic); Czech Antarctic Research Programme - Ministry of Education, Youth and Sports of the Czech Republic; Ministry of Education, Youth and Sports of the Czech Republic(Ministry of Education, Youth &amp; Sports - Czech Republic); Masaryk University;</t>
  </si>
  <si>
    <t>This work was supported by the Czech Science Foundation (Project GC20-20240S) ; the Czech Antarctic Research Programme 2022 (VAN 2022) , funded by the Ministry of Education, Youth and Sports of the Czech Republic and a project of Masaryk University (MUNI/A/1393/2021) .</t>
  </si>
  <si>
    <t>10.5817/CPR2022-1-2</t>
  </si>
  <si>
    <t>WOS:000862170100002</t>
  </si>
  <si>
    <t>Puhovkin, A; Bezsmertna, O; Parnikoza, I</t>
  </si>
  <si>
    <t>Puhovkin, Anton; Bezsmertna, Oleksandra; Parnikoza, Ivan</t>
  </si>
  <si>
    <t>Interspecific differences in desiccation tolerance of selected Antarctic lichens: Analysis of photosystem II effectivity and quenching mechanisms</t>
  </si>
  <si>
    <t>chlorophyll fluorescence; drought stress; James Ross Island; Nelson Island; primary photosynthetic processes</t>
  </si>
  <si>
    <t>CHLOROPHYLL-A FLUORESCENCE; LIGHT STRESS; PHOTOSYNTHETIC PROCESSES; UMBILICARIA-ANTARCTICA; MOSS; PHOTOPROTECTION; TEMPERATURE; DISSIPATION; SENSITIVITY; RESPONSES</t>
  </si>
  <si>
    <t>Lichens can survive and cope with unsufficient water supply resulting in low in-trathalline relative water content. Under such conditions, photosynthesis is negatively affected by different degree of dehydration. In our study, fully hydrated samples of Xanthoria elegans, Umbilicaria decussata and Usnea aurantiaco-atra were light -accli-mated and during following desiccation from a fully hydrated to dry state, steady-state chlorophyll fluorescence (FS), effective quantum yield of photochemical processes in PSII (CYRILLIC CAPITAL LETTER EFPSII), and nonphotochemical quenching (qN) were measured in response to decreasing relative water content (RWC). The three experimental lichen species showed a high desiccation tolerance. The desiccation-induced decrease in CYRILLIC CAPITAL LETTER EFPSII was found in X. elegans, U. decussata and U. aurantiaco-atra, at the RWC values below 30%. This is well comparable to the evidence reached in other Arctic / Antarctic lichen species. Inter -specific differences in desiccation tolerance of these selected Antarctic lichens, based on the analysis of photosystem II effectivity and quenching mechanisms, were described and discussed.</t>
  </si>
  <si>
    <t>[Puhovkin, Anton] Masaryk Univ, Fac Sci, Dept Expt Biol, Kamenice 5,Bldg A13-119, Brno 62500, Czech Republic; [Puhovkin, Anton] Natl Acad Sci Ukraine, Inst Problems Cryobiol &amp; Cryomedicine, 23 Pereyaslavska, UA-61016 Kharkiv, Ukraine; [Bezsmertna, Oleksandra] Taras Shevchenko Natl Univ Kyiv, Volodymyrska Str 64-13, UA-01601 Kiev, Ukraine; [Parnikoza, Ivan] Minist Educ &amp; Sci Ukraine, Natl Antarctic Sci Ctr, Taras Shevchenko Blvd 16, UA-01601 Kiev, Ukraine; [Parnikoza, Ivan] Natl Acad Sci Ukraine, Inst Mol Biol &amp; Genet, Zabolotnogo Str 150, UA-03143 Kiev, Ukraine</t>
  </si>
  <si>
    <t>Masaryk University Brno; National Academy of Sciences Ukraine; Ministry of Education &amp; Science of Ukraine; Taras Shevchenko National University of Kyiv; Ministry of Education &amp; Science of Ukraine; State Institution National Antarctic Scientific Center; National Academy of Sciences Ukraine; Institute of Molecular Biology &amp; Genetics of NASU</t>
  </si>
  <si>
    <t>Puhovkin, A (corresponding author), Masaryk Univ, Fac Sci, Dept Expt Biol, Kamenice 5,Bldg A13-119, Brno 62500, Czech Republic.;Puhovkin, A (corresponding author), Natl Acad Sci Ukraine, Inst Problems Cryobiol &amp; Cryomedicine, 23 Pereyaslavska, UA-61016 Kharkiv, Ukraine.</t>
  </si>
  <si>
    <t>antonpuhovkin@gmail.com</t>
  </si>
  <si>
    <t>Puhovkin, Anton/ABA-5895-2021; Parnikoza, Ivan/I-2398-2016</t>
  </si>
  <si>
    <t>Puhovkin, Anton/0000-0003-4765-8849;</t>
  </si>
  <si>
    <t>10.5817/CPR2022-1-3</t>
  </si>
  <si>
    <t>WOS:000862170100003</t>
  </si>
  <si>
    <t>Golubev, S</t>
  </si>
  <si>
    <t>Golubev, Sergey</t>
  </si>
  <si>
    <t>Analysis of the attempts to breed seabirds in uninhabited territories of the Haswell archipelago and Adams Island (East Antarctica)</t>
  </si>
  <si>
    <t>Mirny; new breeding sites; occupation; birds</t>
  </si>
  <si>
    <t>PYGOSCELIS-ADELIAE; LAND; COLONIZATION; COLONIES; STATION; RECORDS; CENSUS; MAWSON</t>
  </si>
  <si>
    <t>Data on new breeding sites of seabirds in Antarctica allow a better understanding of spa-tial species distribution, correct population estimates, and the processes occurring in populations and ecosystems. The aim of the work is to compile and analyze knowledge about the spatial distribution of breeding seabird populations and attempts to breed in new, previously uninhabited territories. Ground-based observations and population counts were conducted at the Haswell archipelago (Queen Mary Land, Davis Sea) by several observers from 1912 to 2016. The total area studied was 12 km2. An aerial cen-sus of penguins on Adams Island was conducted in 2011. Based on this census, it might be stated that 6 out of 9 breeding species of seabirds have made attempts to develop new breeding sites. Regular breeding of birds within the archipelago is established on 8 islands. Emperor Penguins (Aptenodytes forsteri), Snow Petrels (Pagodroma nivea) and South Polar Skuas (Stercorarius maccormicki) showed no change in spatial distribution. Adelie Penguins (Pygoscelis adeliae), Southern Fulmars (Fulmarus glacialoides), Cape Petrels (Daption capense) and mixed pairs of Brown Skua (Stercorarius antarcticus) x South Polar Skua bred in new sites (6 islands and 1 nunatak). New likely breeding sites have been recorded for the Southern Fulmar, Cape Petrel and Wilson's Storm Petrel (Oceanites oceanicus). An unsuccessful breeding attempt in a previously uninhabited territory has been observed in the Antarctic Petrel (Thalassoica antarctica). New breed-ing sites for seabirds may result from the avoidance of predation by South Polar Skuas. Changes in local meteorological conditions could be a factor contributing to the breeding attempts by seabirds in the territories previously uninhabited by them. The increase in South Polar Skuas populations, invasion of Brown Skuas on the Haswell Islands, increased breeding attempts and occupation of new breeding sites by Adelie Penguins and tube-nosed seabirds in the early 21st century are evidence of changes in ecological conditions in the local ecosystem.</t>
  </si>
  <si>
    <t>[Golubev, Sergey] Russian Acad Sci, Papanin Inst Biol Inland Waters, St Petersburg 152742, Russia</t>
  </si>
  <si>
    <t>Papanin Institute for Biology of Inland Waters; Russian Academy of Sciences</t>
  </si>
  <si>
    <t>Golubev, S (corresponding author), Russian Acad Sci, Papanin Inst Biol Inland Waters, St Petersburg 152742, Russia.</t>
  </si>
  <si>
    <t>gol_arctic@mail.ru</t>
  </si>
  <si>
    <t>Golubev, Sergey/AAY-1262-2021</t>
  </si>
  <si>
    <t>10.5817/CPR2022-1-4</t>
  </si>
  <si>
    <t>WOS:000862170100004</t>
  </si>
  <si>
    <t>Chattova, B; Zotov, A; Parnikoza, I</t>
  </si>
  <si>
    <t>Chattova, Barbora; Zotov, Andrii; Parnikoza, Ivan</t>
  </si>
  <si>
    <t>Moss inhabiting diatoms of Galindez Island, Argentine Islands (the maritime Antarctica) exhibit low diversity and pronounced differentiation</t>
  </si>
  <si>
    <t>Antarctic region; Bacillariophyceae; diatoms; ecology; mosses</t>
  </si>
  <si>
    <t>LA POSSESSION CROZET; FRESH-WATER; EXPERIMENTAL DESICCATION; BENTHIC DIATOMS; COMMUNITIES; TOLERANCE; REVISION; BACILLARIOPHYCEAE; SUBANTARCTICA; TEMPERATURE</t>
  </si>
  <si>
    <t>The moss-inhabiting diatom flora has been surveyed for the first time on the Galindez Island, Argentine Islands, the maritime Antarctica. Altogether, 23 diatom taxa belonging to 9 genera were identified. Diatom taxa distribution exhibited considerable variability across the samples and lower species richness compared to the communities surveyed in other Antarctic regions studied earlier -South Shetland Islands and James Ross Island. A pronounced single-species dominance was revealed by the analysis of moss-inhabiting diatom communities' structure at the majority of moss substrates. The allocation of cer-tain diatom species to the particular moss substrates was detected alongside their com-plete absence in some samples. The reasons for such moss-inhabiting diatom communi-ties' variability should be further investigated in follow-up studies.</t>
  </si>
  <si>
    <t>[Chattova, Barbora] Masaryk Univ, Fac Sci, Dept Bot &amp; Zool, Kotlarska 2, Brno 61137, Czech Republic; [Zotov, Andrii; Parnikoza, Ivan] Minist Educ &amp; Sci Ukraine, Natl Antarctic Sci Ctr, Shevchenko Ave 16, UA-01601 Kiev, Ukraine; [Zotov, Andrii] Natl Acad Sci Ukraine, Inst Marine Biol, Pushkinska St 37, UA-65125 Odesa, Ukraine; [Parnikoza, Ivan] NAS Ukraine, Inst Mol Biol &amp; Genet, Zabolotnogo Str 150, UA-03143 Kiev, Ukraine</t>
  </si>
  <si>
    <t>Masaryk University Brno; Ministry of Education &amp; Science of Ukraine; State Institution National Antarctic Scientific Center; National Academy of Sciences Ukraine; National Academy of Sciences Ukraine; Institute of Molecular Biology &amp; Genetics of NASU</t>
  </si>
  <si>
    <t>Chattova, B (corresponding author), Masaryk Univ, Fac Sci, Dept Bot &amp; Zool, Kotlarska 2, Brno 61137, Czech Republic.</t>
  </si>
  <si>
    <t>barbora.chattova@gmail.com</t>
  </si>
  <si>
    <t>Parnikoza, Ivan/I-2398-2016; Zotov, Andrii/KFT-2756-2024</t>
  </si>
  <si>
    <t>Turkish Antarctic Program; ITU Polar Research scientific infrastructure; Ministry of Industry and Technology; Czech Antarctic Research Programme</t>
  </si>
  <si>
    <t>The authors would like to thank the Turkish Antarctic Program, ITU Polar Research scientific infrastructure and the crew of the Betanzos ship for their support. This study was carried under the auspices of the Presidency of Turkish Republic, supported by the Ministry of Industry and Technology, and coordinated by Istanbul Technical University (ITU) Polar Research Center (PolReC) . Furthermore, the authors would like to thank to the Czech Antarctic Research Programme and its crew for provided data and support.</t>
  </si>
  <si>
    <t>10.5817/CPR2022-1-5</t>
  </si>
  <si>
    <t>WOS:000862170100005</t>
  </si>
  <si>
    <t>Canora, DD; Guasch, LL; Zuazo, RS</t>
  </si>
  <si>
    <t>Canora, Diana Darriba; Guasch, Laura Llorens; Zuazo, Rebeca Sicilia</t>
  </si>
  <si>
    <t>Species-specific responses of Antarctic terrestrial microalgae to salinity stress. Comparative study in Klebsormidium sp. and Stigeoclonium sp</t>
  </si>
  <si>
    <t>chlorophyll fluorescence; microalgae; quantum yield; OJIP; salt stress; PSII inhibition; Klebsormidium sp; Stigeoclonium sp</t>
  </si>
  <si>
    <t>JAMES-ROSS-ISLAND; PHOTOSYSTEM-II; SALT STRESS; CHLAMYDOMONAS-REINHARDTII; CHLOROPHYLL FLUORESCENCE; PHOTOSYNTHESIS; STREPTOPHYTA; STRAINS; PHOTOINHIBITION; DEFICIENCY</t>
  </si>
  <si>
    <t>We studied the changes in PSII photochemical processes in the cells of Antarctic algae Klebsormidium sp. and Stigeoclonium sp. exposed to salinity stress (0 - 3M NaCl) for 3 h. Salinity stress induced a decrease in the potential (FV/FM) and effective quantum yield of PSII electron transport (PSII). Salinity stress induced a decrease in vitality index (Rfd, relative decrease of chlorophyll fluorescence). Analyses of the polyphasic fast chlorophyll fluorescence transients (OJIP) showed that with the increase in salt concentration, the chlorophyll fluorescence signals recorded at the phases J, I, and P declined, and the transient flattened with increaseing NaCl concentration reaching close to zero ChlF values at salt concentration of 3 M NaCl after 180 min. exposition. Klebsormidium sp. was found more salinity stress resistant than Stigeoclonium sp.</t>
  </si>
  <si>
    <t>[Canora, Diana Darriba] Univ Girona, Fac Sci, Campus Montilivi, Girona 17003, Spain; [Guasch, Laura Llorens] Univ Girona, Dept Environm Sci, Campus Montilivi, Girona 17003, Spain; [Zuazo, Rebeca Sicilia] Univ Salamanca, Plaza Fray Luis Leon 1-8, Salamanca 37008, Spain</t>
  </si>
  <si>
    <t>Universitat de Girona; Universitat de Girona; University of Salamanca</t>
  </si>
  <si>
    <t>Guasch, LL (corresponding author), Univ Girona, Dept Environm Sci, Campus Montilivi, Girona 17003, Spain.</t>
  </si>
  <si>
    <t>laura.llorens@udg.edu</t>
  </si>
  <si>
    <t>Llorens, Laura/L-8732-2014</t>
  </si>
  <si>
    <t>Czech Ministry of Education, Youth, and Sports; [LM2015078]</t>
  </si>
  <si>
    <t>Czech Ministry of Education, Youth, and Sports(Ministry of Education, Youth &amp; Sports - Czech Republic);</t>
  </si>
  <si>
    <t>The authors acknowledge the infrastructure provided by the Czech Ministry of Education, Youth, and Sports within the project LM2015078-Czech Polar Research Infrastructure (CzechPolar2) .</t>
  </si>
  <si>
    <t>10.5817/CPR2022-1-7</t>
  </si>
  <si>
    <t>WOS:000862170100007</t>
  </si>
  <si>
    <t>Váczi, P; Barták, M</t>
  </si>
  <si>
    <t>Vaczi, Peter; Bartak, Milos</t>
  </si>
  <si>
    <t>Multispectral aerial monitoring of a patchy vegetation oasis composed of different vegetation classes. UAV-based study exploiting spectral reflectance indices</t>
  </si>
  <si>
    <t>remote sensing; UAV; James Ross Island; vegetation mapping; spectral reflectance; functional substrate types</t>
  </si>
  <si>
    <t>LEAF CHLOROPHYLL CONTENT</t>
  </si>
  <si>
    <t>The study brings data on monitoring of spectral refectance signatures of different com-ponents of Antarctic terrestrial vegetation by using a high-resolution multispectral im-ages. The aim of the study was to compare several spots of a vegetation oasis by mapping vegetation cover using an UAV approach. This study provides data on vege-tation distribution within a long-term research plot (LTRP) located at the northern coast of James Ross Island (Antarctica). Apart from normalized difference vegetation index (NDVI), 10 spectral reflectance indices (NDVI, NDVIRed-edge, RGBVI, NGRDI, ExG, TGI MSR, MSRRed-edge, Clgreen, ClRed-edge, GLI) were evaluated for different spots representing vegetation classes dominated by different Antarctic autotrophs. The UAV application and spectral reflectance indices proved their capability to detect and map small-area vegetated patches (with the smallest area of 10 cm2) dominated by different Antarctic autotrophs, and identify their classes (moss / lichens / biological soil crusts / microbio-logical mats / stream bottom microbiological mats). The methods used in our study re-vealed sufficiently high resolution of particular vegetation-covered surfaces and the spectral indices provided important indicators for environmental characteristics of the long-term research plot at the James Ross Island, Antarctica.</t>
  </si>
  <si>
    <t>[Vaczi, Peter; Bartak, Milos] Masaryk Univ, Fac Sci, Dept Expt Biol, Lab Photosynthet Proc, Kamenice 5, Brno 62500, Czech Republic</t>
  </si>
  <si>
    <t>Váczi, P (corresponding author), Masaryk Univ, Fac Sci, Dept Expt Biol, Lab Photosynthet Proc, Kamenice 5, Brno 62500, Czech Republic.</t>
  </si>
  <si>
    <t>vaczi@sci.muni.cz</t>
  </si>
  <si>
    <t>Barták, Miloš/F-4714-2019</t>
  </si>
  <si>
    <t>Czech Ministry of Education, Youth, and Sports; CzechPolar2 [LM2018140]; program Projects of Large Research, Development and Innovations Infrastructures; ECOPOLARIS project [LM2015078]; [CZ.02.1.01/0.0/0.0/16_013/0001708]</t>
  </si>
  <si>
    <t>Czech Ministry of Education, Youth, and Sports(Ministry of Education, Youth &amp; Sports - Czech Republic); CzechPolar2; program Projects of Large Research, Development and Innovations Infrastructures; ECOPOLARIS project;</t>
  </si>
  <si>
    <t>The study reported in this paper was supported by the ECOPOLARIS project (CZ.02.1.01/0.0/0.0/16_013/0001708) provided by the Czech Ministry of Education, Youth, and Sports. The authors are grateful to the CzechPolar2 (LM2015078) for the possibility to use labora-tory infrastructure. Computational resources were supplied by the project e-Infrastruktura CZ (e-INFRA LM2018140) provided within the program Projects of Large Research, Development and Innovations Infrastructures.</t>
  </si>
  <si>
    <t>10.5817/CPR2022-1-10</t>
  </si>
  <si>
    <t>WOS:000862170100010</t>
  </si>
  <si>
    <t>Golubaev, AV; Gorbanev, YM; Shulga, OV; Andreev, OA; Bushuev, FI; Vidmachenko, AP; Hrudynin, BO; Zhilyaev, BE; Kaliuzhnyi, MP; Kozak, PM; Kulichenko, MO; Malynovskyi, YV; Mozgova, AM; Savchuk, SG; Steklov, AF; Sumaruk, YP; Yankiv-Vitkovska, LM</t>
  </si>
  <si>
    <t>Golubaev, A. V.; Gorbanev, Yu. M.; Shulga, O. V.; Andreev, O. A.; Bushuev, F. I.; Vidmachenko, A. P.; Hrudynin, B. O.; Zhilyaev, B. E.; Kaliuzhnyi, M. P.; Kozak, P. M.; Kulichenko, M. O.; Malynovskyi, Ye. V.; Mozgova, A. M.; Savchuk, S. G.; Steklov, A. F.; Sumaruk, Yu P.; Yankiv-Vitkovska, L. M.</t>
  </si>
  <si>
    <t>CREATION OF UKRAINIAN METEOR OBSERVATION NETWORK: INSTRUMENTS, METHODS FOR PROCESSING, OBSERVATION POSSIBILITIES</t>
  </si>
  <si>
    <t>SPACE SCIENCE AND TECHNOLOGY-KOSMICNA NAUKA I TEHNOLOGIA</t>
  </si>
  <si>
    <t>meteor; meteor stream; observation network; optical video observations; passive radio observations; meteor catalogues</t>
  </si>
  <si>
    <t>TV OBSERVATIONS; PHOTOMETRY</t>
  </si>
  <si>
    <t>The development of meteor astronomy in modern Ukraine is considered. The specificity of meteor observation methods re-quires, first of all, the organization of a network of corresponding observation points. To achieve this goal, it is proposed to combine the scientific and technical capabilities of participating organizations in the form of the Ukrainian Meteor Observation Network (UMON). UMON is a set of two or more permanent observation stations located on the territory of Ukraine, which have the hardware and software for basic and one-sided observations of meteors in different wavelength ranges and conduct such observations. UMON aims to solve important problems of meteor research, structure and evolution of meteor streams and showers, the interaction of meteoroids with the Earth's atmosphere and their chemical composition. The scientific and technical products of UMON stations are the results of high-precision basic or one-sided observations of meteors in different wavelength ranges, as well as of fundamental and applied scientific and technical research.</t>
  </si>
  <si>
    <t>[Golubaev, A. V.] Kharkov Natl Univ, Inst Astron V N, 4 Svobody Sq, UA-61022 Kharkiv, Ukraine; [Gorbanev, Yu. M.] Odesa Natl I I Mechnikov Univ, Res Inst, Astron Observ, 1v Marazliyivska Str, UA-65014 Odesa, Ukraine; [Shulga, O. V.; Bushuev, F. I.; Kaliuzhnyi, M. P.; Kulichenko, M. O.] Mykolaiv Astron Observ, Res Inst, 1 Observatorna Str, UA-54030 Mykolaiv, Ukraine; [Andreev, O. A.; Malynovskyi, Ye. V.] Rivne Minor Acad Sci, Southch Age Y, 17 Simon Petliura Str, UA-33013 Rivne, Ukraine; [Vidmachenko, A. P.; Zhilyaev, B. E.; Steklov, A. F.] Main Astron Observ Natl Acad Sci Ukraine, 27 Akad Zabolotny St, UA-03143 Kiev, Ukraine; [Hrudynin, B. O.] Oleksandr Dovzhenko Hlukhiv Natl Pedag Univ, 24 Kyivo-Moscovska Str, UA-41400 Hlukhiv, Ukraine; [Kozak, P. M.; Mozgova, A. M.] Taras Shevchenko Natl Univ Kyiv, Astron Observ, 3 Observatorna Str, UA-04053 Kiev, Ukraine; [Savchuk, S. G.; Yankiv-Vitkovska, L. M.] Lviv Polytech Natl Univ, 12 Stepan Bandera Str, UA-79013 Lvov, Ukraine; [Sumaruk, Yu P.] Subbotin Natl Acad Sci Ukraine, Inst Geophys SI, 32 Palladin Ave, UA-03142 Kiev, Ukraine; [Sumaruk, Yu P.] Natl Antarctic Sci Ctr Ukraine, 16 Taras Shevchenko Blvd, UA-01601 Kiev, Ukraine</t>
  </si>
  <si>
    <t>Ministry of Education &amp; Science of Ukraine; VN Karazin Kharkiv National University; V.O. Sukhomlynskyi Mykolaiv National University; Ministry of Education &amp; Science of Ukraine; Mykolaiv Astronomical Observatory; National Academy of Sciences Ukraine; Main Astronomical Observatory of NASU; Ministry of Education &amp; Science of Ukraine; Oleksandr Dovzhenko Hlukhiv National Pedagogical University; Ministry of Education &amp; Science of Ukraine; Taras Shevchenko National University of Kyiv; Ministry of Education &amp; Science of Ukraine; Lviv Polytechnic National University; Ministry of Education &amp; Science of Ukraine; State Institution National Antarctic Scientific Center</t>
  </si>
  <si>
    <t>Golubaev, AV (corresponding author), Kharkov Natl Univ, Inst Astron V N, 4 Svobody Sq, UA-61022 Kharkiv, Ukraine.</t>
  </si>
  <si>
    <t>Alexandr_sky1@ukr.net; nikalyuzhny@ukr.net; shulga-av@ukr.net; oa_andreev@ukr.net; felix.bushuev@ukr.net; vida@mao.kiev.ua; b.hrudynin@ukr.net; zhilyaev@mao.kiev.ua; nikalyuzhny@ukr.net; kpm@knu.ua; niiko4kulichenko@gmail.com; malinovskyyeugeniy@gmail.com; alenamozgova@ukr.net; ssavchuk@polynet.lviv.ua; stec36@i.ua; yurisumaruk@gmail.com; luba_y@ukr.net</t>
  </si>
  <si>
    <t>Golubaev, Alexander A.V./F-3149-2019; Mozgova, Alona/ABB-3247-2021; Kozak, Pavlo/B-5290-2017; Savchuk, Stepan/ADW-6990-2022; Vidmachenko, Anatoliy P./GXZ-8748-2022; Vidmachenko, Anatoliy P/R-4459-2017</t>
  </si>
  <si>
    <t>Mozgova, Alona/0000-0002-8490-4327; Kozak, Pavlo/0000-0001-8357-8446; Savchuk, Stepan/0000-0002-2475-9666; Vidmachenko, Anatoliy P./0000-0002-0523-5234; Vidmachenko, Anatoliy P/0000-0002-0523-5234; Sumaruk, Yuri/0000-0002-5232-2592</t>
  </si>
  <si>
    <t>PUBLISHING HOUSE AKADEMPERIODYKA</t>
  </si>
  <si>
    <t>PUBLISHING HOUSE AKADEMPERIODYKA, KYIV, 00000, UKRAINE</t>
  </si>
  <si>
    <t>1561-8889</t>
  </si>
  <si>
    <t>2518-1459</t>
  </si>
  <si>
    <t>SPACE SCI TECHNOL</t>
  </si>
  <si>
    <t>Space Sci. Technol.</t>
  </si>
  <si>
    <t>10.15407/knit2022.04.039</t>
  </si>
  <si>
    <t>5B4FO</t>
  </si>
  <si>
    <t>WOS:000863526600004</t>
  </si>
  <si>
    <t>Pysarenko, LA; Krakovska, SV</t>
  </si>
  <si>
    <t>Pysarenko, L. A.; Krakovska, S., V</t>
  </si>
  <si>
    <t>The influence of partial deforestation on moisture regime: sums of precipitation and total soil moisture content for the territory of Ukraine based on data of numerical experiment LUMIP</t>
  </si>
  <si>
    <t>GEOFIZICHESKIY ZHURNAL-GEOPHYSICAL JOURNAL</t>
  </si>
  <si>
    <t>Ukrainian</t>
  </si>
  <si>
    <t>LUMIP; deforestation; sums of precipitation; sums or the fraction of pre-cipitation intercepted by the canopy; total soil moisture content</t>
  </si>
  <si>
    <t>and Sciences of Ukraine, Kyiv, Ukraine The paper is dedicated to the impact of partial deforestation on sums of precipitation and part/fraction or sums of precipitation intercepted by the canopy; total soil moisture content under condition of minimal anthropogenic influence for the territory of Ukraine. In this work used data from the Land Use Model Intercomparison Project (LUMIP), which is based on Global Climate Models (GCMs). The purpose of LUMIP is to reveal patterns of changes of climate characteristics due to gradual global deforestation with a trend ap-proximately 1 % every year and its replacement on grass or pastures for period 1850 &amp; mdash;1899. This time span is considered as the pre-industrial. The next period, 1900-1929 is without changes in forest cover. For estimation of impacts of partial deforestation the methods of anomalies over the first 20-year period (1850 - 1869) was used with further application of 5-year running mean of climatic characteristics to smooth their interannual variability. Coefficients of linear correlation between running mean anomalies of specific character-istic and the percentage of forest cover in grid cells with averaging over latitudinal zones, linear trends and differences were estimated. Overally estimations have shown that the global partial deforestation doesn't impact directly on of monthly total precipitation in the middle latitudes, particularly, in Ukraine. But gradual forest reduction decreases part or fraction of precipitation intercepted by the canopy in both cold and warm seasons with average trend up to -2,6....-1,5 %/10 years in latitudinal zones in specific grids, where forest cover was reduced. The maximal decline was up to -14.5 % in grids as the difference between the 50-year period of partial deforesta-tion and the next 30-year period. Such an effect will causemore precipitation reaching the ground and most likely will influence surface runoff. Found, that it causes the increase in total soil moisture content with trend 0.1 - 4.9 %/10 years depending on month and climate model, but with most significant changes during summer and autumn seasons. Thus, the analysis of LUMIP data for Ukraine has revealed that the partial deforestation caused the decrease of fraction part/fraction of precipitation intercepted by the canopy. Most GCMs demonstrated that this reduction provoked the increase of total soil moisture content and also can cause changes in hydrological regime and provoke higher flood frequency and other related hydrometeorological hazards in the forest part of Ukraine.</t>
  </si>
  <si>
    <t>[Pysarenko, L. A.; Krakovska, S., V] Natl Acad Sci Ukraine, Ukrainian Hydrometeorol Inst State Emergency Serv, Kiev, Ukraine; [Krakovska, S., V] Minist Educ &amp; Sci Ukraine, State Inst Natl Antarctic Sci Ctr, Kiev, Ukraine</t>
  </si>
  <si>
    <t>National Academy of Sciences Ukraine; Ukrainian Hydrometeorological Institute of the State Emergency Service of Ukraine &amp; National Academy of Sciences of Ukraine; Ministry of Education &amp; Science of Ukraine; State Institution National Antarctic Scientific Center</t>
  </si>
  <si>
    <t>Pysarenko, LA (corresponding author), Natl Acad Sci Ukraine, Ukrainian Hydrometeorol Inst State Emergency Serv, Kiev, Ukraine.</t>
  </si>
  <si>
    <t>Pysarenko, Larysa/HNR-9335-2023</t>
  </si>
  <si>
    <t>Pysarenko, Larysa/0000-0002-2885-0213</t>
  </si>
  <si>
    <t>S I SUBBOTIN INST GEOPHYSICS NATL ACAD</t>
  </si>
  <si>
    <t>KIEV</t>
  </si>
  <si>
    <t>PR PALLADINA 32, KIEV, 252142, UKRAINE</t>
  </si>
  <si>
    <t>0203-3100</t>
  </si>
  <si>
    <t>2524-1052</t>
  </si>
  <si>
    <t>GEOFIZ ZHURNAL</t>
  </si>
  <si>
    <t>Geofiz. Zhurnal</t>
  </si>
  <si>
    <t>10.24028/gj.v44i4.264844</t>
  </si>
  <si>
    <t>4Z6VA</t>
  </si>
  <si>
    <t>WOS:000862342400006</t>
  </si>
  <si>
    <t>Gorbachova, L; Khrystiuk, B; Shpyg, V; Pishniak, D</t>
  </si>
  <si>
    <t>Gorbachova, L.; Khrystiuk, B.; Shpyg, V.; Pishniak, D.</t>
  </si>
  <si>
    <t>Estimation of tendencies, homogeneity and stationarity of air temperature at the Ukrainian Antarctic ?Akademik Vernadsky? station during 1951-2020</t>
  </si>
  <si>
    <t>air temperature; cyclical fluctuations; stationarity; homogeneity; Antarctica; statistical tests; graphic methods</t>
  </si>
  <si>
    <t>FLUCTUATIONS; FLOODS; TRENDS</t>
  </si>
  <si>
    <t>In this paper results of the complex analysis of surface air temperature tendencies investigations at the Ukrainian Antarctic Akademik Vernadsky station are represented. Antarctica is a region that has a high rate of surface air temperature increase. The Antarctic Peninsula has experienced particularly fast warming, which has the highest temperature rise in the Southern Hemisphere. Therefore, in Antarctica, the study of surface air tem-perature change is important. The Ukrainian Antarctic Akademik Vernadsky station is located on Galindez Island near the Antarctic Peninsula. Investigation of the surface air temperature is especially relevant to the Akademik Vernadsky station, because it has difficult conditions for its formation. The research goal is the estimation of tendencies, homogeneity and stationarity of the annual and mean monthly values of surface air temperature at the Ukrainian Antarctic Akademik Vernadsky station based on a combined approach with the use of several statistical and graphical methods. The use of various statistical methods that differ in characteristics (sensitivity to the law of distribution, autocorrelation, etc.) allows obtaining more reliable estimates. Graphic methods give an opportunity to analyze the tendencies over time and its change periods, the cyclical fluctuations and their characteristics (phases of increase and decrease, their duration, synchronicity, in-phase). Therefore, 4 statistical tests (stan-dard normal Alexandersson test, Buishand test, Pettitt test, von Neumann relation) and 2 graphical methods (mass curve and residual mass curve) were used in the study.At the Ukrainian Antarctic Akademik Vernadsky station, the observation series of the mean annual air temperature are quasi-homogeneous and quasi-stationary, as it has only a cooling phase and a warming phase of long-term cyclical fluctuations, which are also unfinished. The transition from the cooling phase to the warming phase took place in 1982. Tendencies in mean monthly air temperatures are similar to tendencies in mean annual temperatures. The differences are only for some months, namely, for the period from September to December.</t>
  </si>
  <si>
    <t>[Gorbachova, L.; Khrystiuk, B.; Shpyg, V.] Ukrainian Hydrometeorol Inst, Kiev, Ukraine; [Pishniak, D.] Minist Educ &amp; Sci Ukraine, State Inst Natl Antarctic Sci Ctr, Kiev, Ukraine</t>
  </si>
  <si>
    <t>Gorbachova, L (corresponding author), Ukrainian Hydrometeorol Inst, Kiev, Ukraine.</t>
  </si>
  <si>
    <t>Gorbachova, Liudmyla/AAB-9162-2020</t>
  </si>
  <si>
    <t>Gorbachova, Liudmyla/0000-0003-1033-9385</t>
  </si>
  <si>
    <t>Ministry of Education and Science of Ukraine [H/10-2021]</t>
  </si>
  <si>
    <t>Ministry of Education and Science of Ukraine</t>
  </si>
  <si>
    <t>The investigate was conducted within project. H/10-2021 &lt;&lt; Influence of thermal regime on snow cover of the Antarctic Peninsula &gt;&gt; that funded by the State Institution &lt;&lt; National Antarctic Scientific Center &gt;&gt; of the Ministry of Education and Science of Ukraine.</t>
  </si>
  <si>
    <t>10.24028/gj.v44i4.264848</t>
  </si>
  <si>
    <t>WOS:000862342400009</t>
  </si>
  <si>
    <t>Dahle, F; Tanke, J; Wouters, B; Lindenbergh, R</t>
  </si>
  <si>
    <t>Dahle, Felix; Tanke, Julian; Wouters, Bert; Lindenbergh, Roderik</t>
  </si>
  <si>
    <t>SEMANTIC SEGMENTATION OF HISTORICAL PHOTOGRAPHS OF THE ANTARCTICA PENINSULA</t>
  </si>
  <si>
    <t>Semantic Segmentation; Historic images; Cryospheric Images; U-Net; Machine Learning; Antarctica</t>
  </si>
  <si>
    <t>DEEP; CLASSIFICATION</t>
  </si>
  <si>
    <t>A huge archive of historical images of the Antarctica taken by the US Navy between 1940 and 2000 is publicly available. These images have not yet been used for large-scale computer-driven analysis as they were captured with analog cameras. They were only later digitized and contain no semantic information. Most modern deep-learning based semantic segmentation algorithms are trained on modern images and fail on these scanned historical images, due to varying image quality, lack of color information, and most crucially, due to artifacts in both imaging as well as scanning (e.g. Newton's rings). The analysis of such historic data can give a view on Antarctica's glaciers predating modern satellite imagery and provide a unique insight into the long-term impact of changing climate conditions with essential validation data for climate modelling. An important first step for analysis of such data is the extraction and localization of semantic information, e.g. where in the image is water, rocks, or snow. In this work we present the first deep-learning based method to perform semantic segmentation on historical imagery archives of the Antarctic Peninsula. Our results show that our method can handle very challenging images even after being trained with only a low number of training data and catch the general semantic meaning of a scene. For eight test images we achieve an accuracy of 74%, where the majority of errors can be explained by the classification of ice as snow.</t>
  </si>
  <si>
    <t>[Dahle, Felix; Wouters, Bert; Lindenbergh, Roderik] Delft Univ Technol, Dept Geosci &amp; Remote Sensing, Delft, Netherlands; [Tanke, Julian] Univ Bonn, Dept Informat Syst &amp; Artificial Intelligence, Bonn, Germany; [Wouters, Bert] Univ Utrecht, Inst Marine &amp; Atmospher Res Utrecht, Dept Phys, Utrecht, Netherlands</t>
  </si>
  <si>
    <t>Delft University of Technology; University of Bonn; Utrecht University</t>
  </si>
  <si>
    <t>Dahle, F (corresponding author), Delft Univ Technol, Dept Geosci &amp; Remote Sensing, Delft, Netherlands.</t>
  </si>
  <si>
    <t>F.Dahle@tudelft.nl; tanke@iai.uni-bonn.de</t>
  </si>
  <si>
    <t>Lindenbergh, Roderik/0000-0001-8655-5266; Dahle, Felix/0000-0001-6706-7099</t>
  </si>
  <si>
    <t>NWO-grant [ALWGO.2019.044]</t>
  </si>
  <si>
    <t>NWO-grant</t>
  </si>
  <si>
    <t>This work was funded by NWO-grant ALWGO.2019.044.</t>
  </si>
  <si>
    <t>5-2</t>
  </si>
  <si>
    <t>10.5194/isprs-annals-V-2-2022-237-2022</t>
  </si>
  <si>
    <t>BT8SC</t>
  </si>
  <si>
    <t>WOS:000855196400031</t>
  </si>
  <si>
    <t>Van Wegen, W</t>
  </si>
  <si>
    <t>Van Wegen, Wim</t>
  </si>
  <si>
    <t>INSIGHT INTO SOME INTRIGUING POLAR MAPPING PROJECTS Capturing the Arctic and Antarctic</t>
  </si>
  <si>
    <t>GIM INTERNATIONAL-THE WORLDWIDE MAGAZINE FOR GEOMATICS</t>
  </si>
  <si>
    <t>Capturing and measuring the environment in the Arctic and Antarctic is a particularly challenging job. The area of interest is often covered by a thick blanket of snow and ice, while extreme temperatures can be dangerous for both the surveyor and the equipment, plus strong winds and bright sunshine can further hinder the work. However, it is essential to map these parts of our world as their future is under pressure, not least due to climate change. This article provides an overview of some recent adventurous surveying projects and applications in some of the coldest regions on our planet - from mapping penguins to monitoring icebergs using UAVs, and from mapping the impact of global warming on the Greenland Ice Sheet to creating a digital twin of Antarctica.</t>
  </si>
  <si>
    <t>[Van Wegen, Wim] GIM Int &amp; Hydro Int, Lemmer, Netherlands</t>
  </si>
  <si>
    <t>Van Wegen, W (corresponding author), GIM Int &amp; Hydro Int, Lemmer, Netherlands.</t>
  </si>
  <si>
    <t>wim.van.wegen@geomares.nl</t>
  </si>
  <si>
    <t>REED BUSINESS-GEO</t>
  </si>
  <si>
    <t>LEMMER</t>
  </si>
  <si>
    <t>PO BOX 112, LEMMER, 8530 AC, NETHERLANDS</t>
  </si>
  <si>
    <t>1566-9076</t>
  </si>
  <si>
    <t>GIM INT</t>
  </si>
  <si>
    <t>GIM Int.</t>
  </si>
  <si>
    <t>4U3YG</t>
  </si>
  <si>
    <t>WOS:000858732900008</t>
  </si>
  <si>
    <t>Ge, S; Cheng, Y; Li, R; Cui, H; Yu, Z; Chang, T; Luo, S; Li, Z; Li, G; Zhao, A; Yuan, X; Li, Y; Xia, M; Wang, X; Qiao, G</t>
  </si>
  <si>
    <t>Jiang, J; Shaker, A; Zhang, H</t>
  </si>
  <si>
    <t>Ge, S.; Cheng, Y.; Li, R.; Cui, H.; Yu, Z.; Chang, T.; Luo, S.; Li, Z.; Li, G.; Zhao, A.; Yuan, X.; Li, Y.; Xia, M.; Wang, X.; Qiao, G.</t>
  </si>
  <si>
    <t>ANALYSIS OF OVERESTIMATION IN HISTORICAL ICE FLOW VELOCITY MAPS IN WESTERN PACIFIC OCEAN SECTOR, ANTARCTICA</t>
  </si>
  <si>
    <t>XXIV ISPRS CONGRESS: IMAGING TODAY, FORESEEING TOMORROW, COMMISSION III</t>
  </si>
  <si>
    <t>Adjustment; Overestimation; Historical Ice Velocity; Acceleration; East Antarctica</t>
  </si>
  <si>
    <t>High accuracy reconstruction of historical ice flow velocity fields is crucial in mass balance research of the Antarctic Ice Sheet by utilizing the input-output approach. A historical flow velocity of the Western Pacific Ocean sector region of East Antarctica from 1963 to 1989 was mapped and then corrected for its velocity overestimation. In this study, we analyzed the spatial distribution of the corrected values, and further assessed the relationship between the corrected values and related factors including timespan of image pairs, ice flow velocity, the spatial acceleration of ice flow velocity, and surface slope. The results indicate that the corrected ice flow velocity points are mostly dispersed between a buffer 25 km upstream and a buffer 25 km downstream the grounding line, with the largest mean value emerging in the region between the grounding line and its 25 km downstream. The corrected values exhibit linear correlation with three conditions: 1) when the ice flow velocity range is 0 similar to 1586 m/y, 2) spatial acceleration is 0 similar to 69 (m/y)/km, and 3) the slope is 0 similar to 1.95 degrees and the R-2 is higher than 0.7. However, the correlation between timespan and corrected values is not obvious. The corrected values for the floating region have a greater linear correlation with all three factors than the inland region. Ice flow velocity, spatial acceleration, and surface slope all have an influence on the distribution of the corrected values of the reconstructed historical ice flow velocity maps, and may further affect the assessment of the mass balance of the Antarctic Ice Sheet.</t>
  </si>
  <si>
    <t>[Ge, S.; Cheng, Y.; Li, R.; Cui, H.; Yu, Z.; Chang, T.; Luo, S.; Li, Z.; Li, G.; Zhao, A.; Yuan, X.; Li, Y.; Xia, M.; Wang, X.; Qiao, G.] Tongji Univ, Ctr Spatial Informat Sci &amp; Sustainable Dev Applic, 1239 Siping Rd, Shanghai 200092, Peoples R China; [Ge, S.; Cheng, Y.; Li, R.; Cui, H.; Yu, Z.; Chang, T.; Luo, S.; Li, Z.; Li, G.; Zhao, A.; Yuan, X.; Li, Y.; Xia, M.; Wang, X.; Qiao, G.] Tongji Univ, Coll Surveying &amp; Geoinformat, 1239 Siping Rd, Shanghai, Peoples R China</t>
  </si>
  <si>
    <t>Tongji University; Tongji University</t>
  </si>
  <si>
    <t>Cheng, Y; Li, R; Qiao, G (corresponding author), Tongji Univ, Ctr Spatial Informat Sci &amp; Sustainable Dev Applic, 1239 Siping Rd, Shanghai 200092, Peoples R China.;Cheng, Y; Li, R; Qiao, G (corresponding author), Tongji Univ, Coll Surveying &amp; Geoinformat, 1239 Siping Rd, Shanghai, Peoples R China.</t>
  </si>
  <si>
    <t>geshaocang@tongji.edu.cn; chengyuan_1994@tongji.edu.cn; rli@tongji.edu.cn; haotiancui@tongji.edu.cn; yuzeran@tongji.edu.cn; ctzry@tongji.edu.cn; shulei@tongji.edu.cn; genlee@tongji.edu.cn; liguojunlee@tongji.edu.cn; zhaoaiguo@tongji.edu.cn; 1996yuanxiaohan@tongji.edu.cn; 1710992@tongji.edu.cn; menglianxia@tongji.edu.cn; wxfjj620@tongji.edu.cn; qiaogang@tongji.edu.cn</t>
  </si>
  <si>
    <t>Qiao, Gang/AAU-5717-2020</t>
  </si>
  <si>
    <t>Cheng, Yuan/0000-0003-1336-0331; Li, Rongxing/0000-0001-9837-5115; Chang, Tian/0000-0001-7952-9051</t>
  </si>
  <si>
    <t>National Key Research and Development Program of China [2017YFA0603102]; National Science Foundation of China [41730102, 41771471]; Fundamental Research Funds for the Central Universities</t>
  </si>
  <si>
    <t>National Key Research and Development Program of China; National Science Foundation of China(National Natural Science Foundation of China (NSFC)); Fundamental Research Funds for the Central Universities(Fundamental Research Funds for the Central Universities)</t>
  </si>
  <si>
    <t>This research was supported by the National Key Research and Development Program of China (2017YFA0603102), the National Science Foundation of China (41730102, 41771471), and the Fundamental Research Funds for the Central Universities. We would like to thank the United States Geological Survey (USGS) for providing the Landsat images used in this study.</t>
  </si>
  <si>
    <t>43-B3</t>
  </si>
  <si>
    <t>10.5194/isprs-archives-XLIII-B3-2022-757-2022</t>
  </si>
  <si>
    <t>BT8VW</t>
  </si>
  <si>
    <t>WOS:000855647800105</t>
  </si>
  <si>
    <t>Wang, L; Qiao, G; Florinsky, IV; Popov, S</t>
  </si>
  <si>
    <t>Wang, L.; Qiao, G.; Florinsky, I., V; Popov, S.</t>
  </si>
  <si>
    <t>LANDFAST ICEBERG HEIGHT RETRIEVAL AND EVALUATION BASED ON REMOTE SENSING APPROACHES IN ANTARCTICA</t>
  </si>
  <si>
    <t>Remote sensing; Satellite; Unmanned aerial vehicle (UAV); Iceberg; Height retrieval</t>
  </si>
  <si>
    <t>WEDDELL SEA; SAR IMAGES; ICE; TRACKING; IMPACT; VOLUME; MELT</t>
  </si>
  <si>
    <t>Icebergs are one of the important components of Antarctic ice loss, and their spatial distribution and volume changes have a profound impact on ocean circulation, sea ice formation, freshwater balance and carbon cycle in the Southern Ocean, and ship navigation. Therefore, effective monitoring of icebergs is of great significance. Iceberg height is an important parameter of iceberg volume, and its accurate estimation is crucial to the calculation of iceberg thickness and volume. In this paper, based on optical satellite images, satellite altimetry data and digital surface model (DSM) derived from unmanned aerial vehicle (UAV), the iceberg height retrieval approaches were studied, including shadow based, satellite altimetry based and DSM based methods. Then, the results of different approaches were evaluated and analyzed by taking icebergs in the landfast ice area as an example. Finally, we concluded that all three methods could effectively extract the height information of icebergs. For the shadow-height method with relatively low accuracy, lower sun altitude and higher icebergs would be more conducive to accurate height estimation.</t>
  </si>
  <si>
    <t>[Wang, L.; Qiao, G.] Tongji Univ, Ctr Spatial Informat Sci &amp; Sustainable Dev, 1239 Siping Rd, Shanghai, Peoples R China; [Wang, L.; Qiao, G.] Tongji Univ, Coll Surveying &amp; Geoinformat, 1239 Siping Rd, Shanghai, Peoples R China; [Florinsky, I., V] Russian Acad Sci, Inst Appl Math, Inst Math Problems Biol Keldysh, Pushchino, Russia; [Popov, S.] St Petersburg State Univ, 7-9 Univ Skaya Emb, St Petersburg 199034, Russia; [Popov, S.] Polar Marine Geosurvey Expedit PMGE, 24 Pobedy Str, St Petersburg 198412, Russia</t>
  </si>
  <si>
    <t>Tongji University; Tongji University; Russian Academy of Sciences; Saint Petersburg State University</t>
  </si>
  <si>
    <t>Qiao, G (corresponding author), Tongji Univ, Ctr Spatial Informat Sci &amp; Sustainable Dev, 1239 Siping Rd, Shanghai, Peoples R China.;Qiao, G (corresponding author), Tongji Univ, Coll Surveying &amp; Geoinformat, 1239 Siping Rd, Shanghai, Peoples R China.</t>
  </si>
  <si>
    <t>lijuan_wang@tongji.edu.cn; qiaogang@tongji.edu.cn; iflor@mail.ru; spopov67@yandex.ru</t>
  </si>
  <si>
    <t>Qiao, Gang/AAU-5717-2020; Florinsky, Igor/C-4529-2013</t>
  </si>
  <si>
    <t>Florinsky, Igor/0000-0003-1273-5912</t>
  </si>
  <si>
    <t>Natural Science Foundation of China [42011530088, 41941006, 41771471]; Fundamental Research Funds for the Central Universities</t>
  </si>
  <si>
    <t>Natural Science Foundation of China(National Natural Science Foundation of China (NSFC)); Fundamental Research Funds for the Central Universities(Fundamental Research Funds for the Central Universities)</t>
  </si>
  <si>
    <t>This research was supported by the Natural Science Foundation of China (No. 42011530088, 41941006, 41771471), and the Fundamental Research Funds for the Central Universities.</t>
  </si>
  <si>
    <t>10.5194/isprs-archives-XLIII-B3-2022-785-2022</t>
  </si>
  <si>
    <t>WOS:000855647800109</t>
  </si>
  <si>
    <t>Zhao, A; Cheng, Y; Lv, D; Xia, M; Li, R; An, L; Liu, S; Tian, Y</t>
  </si>
  <si>
    <t>Zhao, A.; Cheng, Y.; Lv, D.; Xia, M.; Li, R.; An, L.; Liu, S.; Tian, Y.</t>
  </si>
  <si>
    <t>BREAK OUT OF A-76 ICEBERG AND RECENT DYNAMIC CHANGES OF ITS ENCOLSURE RIFTS IN RONNE ICE SHELF, ANTARCTICA</t>
  </si>
  <si>
    <t>Ronne Ice Shelf; Iceberg Calving; Rift; Satellite Observation</t>
  </si>
  <si>
    <t>WEDDELL SEA; TRACKING; PROPAGATION; DISTRIBUTIONS; VOLUME</t>
  </si>
  <si>
    <t>Monitoring the stability of the Ronne Ice Shelf, particularly the calving event, is an integral and important part of the study of Antarctic ice sheet mass balance and sea-level rise. This paper presents the results of the analysis of the world's largest iceberg (A-76 iceberg), which was formed during a calving event in the Ronne Ice Shelf (RIS) on May 13, 2020, and subsequently broke into three fragments (A-76A, A-76B, and A-76C icebergs). The iceberg development cycle, up to this point, including its formation, separation and drift, was observed and analyzed. The detailed development process of rifts associated with the detachment of the A-76 iceberg in front of RIS before calving was analyzed using remote sensing data from multiple sources (ERS, RADARSAT-1, ALOS PALSAR, Landsat-7, and Landsat-8). In addition, based on a total of 66 Sentinel-1 A/B Synthetic Aperture Radar (SAR) images acquired between May 13, 2021 and March 11, 2022, a multi-scale segmentation approach was applied to continuously track the drift path of A-76 icebergs, A-76A, A-76B, and A-76C. We calculated the average drift velocity of these icebergs and found that A-76C iceberg drifted the fastest, followed by A-76A, and A-76B, from May 30, 2021, to March 11, 2022. Future tracking of other iceberg parameters, such as area, thickness, freeboard, and volume, could help assess the melting rates of the icebergs.</t>
  </si>
  <si>
    <t>[Zhao, A.; Cheng, Y.; Lv, D.; Xia, M.; Li, R.; An, L.; Liu, S.; Tian, Y.] Tongji Univ, Coll Surveying &amp; Geoinformat, 1239 Siping Rd, Shanghai, Peoples R China; [Zhao, A.; Cheng, Y.; Lv, D.; Xia, M.; Li, R.; An, L.; Liu, S.; Tian, Y.] Tongji Univ, Ctr Spatial Informat Sci &amp; Sustainable Dev Applic, 1239 Siping Rd, Shanghai, Peoples R China</t>
  </si>
  <si>
    <t>Cheng, Y; Li, R; An, L (corresponding author), Tongji Univ, Coll Surveying &amp; Geoinformat, 1239 Siping Rd, Shanghai, Peoples R China.;Cheng, Y; Li, R; An, L (corresponding author), Tongji Univ, Ctr Spatial Informat Sci &amp; Sustainable Dev Applic, 1239 Siping Rd, Shanghai, Peoples R China.</t>
  </si>
  <si>
    <t>zhaoaiguo@tongji.edu.cn; chengyuan_1994@tongji.edu.cn; lvda@tongji.edu.cn; menglianxia@tongji.edu.cn; ronli282@hotmail.com; anlu2021@tongji.edu.cn; liusjtj@tongji.edu.cn; tianyixiang@tongji.edu.cn</t>
  </si>
  <si>
    <t>Li, Rongxing/0000-0001-9837-5115; Cheng, Yuan/0000-0003-1336-0331</t>
  </si>
  <si>
    <t>National Science Foundation of China [41730102]</t>
  </si>
  <si>
    <t>National Science Foundation of China(National Natural Science Foundation of China (NSFC))</t>
  </si>
  <si>
    <t>This study was supported by the National Science Foundation of China (41730102). We greatly acknowledge the use of imagery from ESA (available via https://search.asf.alaska.edu), USGS (available via https://earthexplorer.usgs.gov/).</t>
  </si>
  <si>
    <t>10.5194/isprs-archives-XLIII-B3-2022-805-2022</t>
  </si>
  <si>
    <t>WOS:000855647800112</t>
  </si>
  <si>
    <t>Xu, B; Lang, SN; Cui, XB; Li, L; Liu, XJ; Guo, JX; Sun, B</t>
  </si>
  <si>
    <t>Xu, Ben; Lang, Shinan; Cui, Xiangbin; Li, Lin; Liu, Xiaojun; Guo, Jingxue; Sun, Bo</t>
  </si>
  <si>
    <t>Focused Synthetic Aperture Radar Processing of Ice-Sounding Data Collected Over East Antarctic Ice Sheet via Spatial-Correlation-Based Algorithm Using Fast Back Projection</t>
  </si>
  <si>
    <t>Correlation; Ice; Radar imaging; Radar; Synthetic aperture radar; Apertures; Time-domain analysis; Fast back projection (FBP); imaging of ice-sounding data; spatial-correlation-based</t>
  </si>
  <si>
    <t>FAST BACKPROJECTION ALGORITHM; WEST ANTARCTICA; PERFORMANCE; ISFT</t>
  </si>
  <si>
    <t>The spatial correlation of ice-sounding data can be used to trace internal isochronic layers and synchronize the age-depth relationship between different ice core sites, which is difficult using existing imaging methods. In this study, we propose a new algorithm to address the opportunity that applying spatial correlation to ice-sheet imaging offers. The algorithm is a spatial-correlation-based ice-sounding imaging method using fast back projection (FBP) that successfully improves the spatial correlation of imaging results with high efficiency. We give the specific steps to implement the algorithm and apply it to simulate both point targets and ice-sounding radar data to demonstrate its validity in imaging ice sheets. Furthermore, compared with two previous methods, the proposed algorithm improves the spatial correlation without degrading the ability of signal-to-noise ratio (SNR) improvement and processing efficiency.</t>
  </si>
  <si>
    <t>[Xu, Ben; Cui, Xiangbin; Li, Lin; Guo, Jingxue; Sun, Bo] Polar Res Inst China, Shanghai 200136, Peoples R China; [Xu, Ben; Lang, Shinan] Beijing Univ Technol, Fac Informat Technol, Beijing 100124, Peoples R China; [Cui, Xiangbin] Zhejiang Univ, Technol &amp; Equipment Engn Ctr Polar Observat, Zhoushan 316000, Peoples R China; [Liu, Xiaojun] Chinese Acad Sci, Key Lab Electromagnet Radiat &amp; Sensing Technol, Beijing 100190, Peoples R China; [Liu, Xiaojun] Chinese Acad Sci AIRCAS, Aerosp Informat Res Inst, Beijing 100190, Peoples R China</t>
  </si>
  <si>
    <t>Polar Research Institute of China; Beijing University of Technology; Zhejiang University; Chinese Academy of Sciences; Chinese Academy of Sciences; Aerospace Information Research Institute, CAS</t>
  </si>
  <si>
    <t>Cui, XB (corresponding author), Polar Res Inst China, Shanghai 200136, Peoples R China.</t>
  </si>
  <si>
    <t>xuben@emails.bjut.edu.cn; langshinan@gmail.com; cuixiangbin@pric.org.cn; lilin@pric.org.cn; lxjdr@mail.ie.ac.cn; guojingxue@pric.org.cn; sunbo@pric.org.cn</t>
  </si>
  <si>
    <t>sun, bo/JFA-9978-2023</t>
  </si>
  <si>
    <t>Xu, Ben/0000-0002-0637-1262</t>
  </si>
  <si>
    <t>National Natural Science Foundation of China [41941005, 41941006, 41606219, 41776186]; Shanghai Science and Technology Development Funds [21ZR1469700]; National Key Research and Development Program of China [2019YFC1509102]; Scientific Research Project of Beijing Educational Committee [KM201910005027]; International Research Cooperation Seed Fund of Beijing University of Technology; Rixin Foundation of Beijing University of Technology</t>
  </si>
  <si>
    <t>National Natural Science Foundation of China(National Natural Science Foundation of China (NSFC)); Shanghai Science and Technology Development Funds; National Key Research and Development Program of China; Scientific Research Project of Beijing Educational Committee; International Research Cooperation Seed Fund of Beijing University of Technology; Rixin Foundation of Beijing University of Technology</t>
  </si>
  <si>
    <t>This work was supported in part by the National Natural Science Foundation of China under Grant 41941005, Grant 41941006, Grant 41606219, and Grant 41776186; in part by the Shanghai Science and Technology Development Funds under Grant 21ZR1469700; in part by the National Key Research and Development Program of China under Grant 2019YFC1509102; in part by the Scientific Research Project of Beijing Educational Committee under Grant KM201910005027; in part by the International Research Cooperation Seed Fund of Beijing University of Technology; and in part by the Rixin Foundation of Beijing University of Technology.</t>
  </si>
  <si>
    <t>10.1109/TGRS.2022.3198432</t>
  </si>
  <si>
    <t>3Z1DJ</t>
  </si>
  <si>
    <t>WOS:000844159700013</t>
  </si>
  <si>
    <t>Dechev, H; Pashova, L; Alexandrov, B; Lyubenova, S</t>
  </si>
  <si>
    <t>Bandrova, T; Konecny, M; Marinova, S</t>
  </si>
  <si>
    <t>Dechev, Hristo; Pashova, Lyubka; Alexandrov, Borislav; Lyubenova, Stiliana</t>
  </si>
  <si>
    <t>DEVELOPMENT OF A WEB-BASED INFORMATION SYSTEM FOR POLAR RESEARCH CONDUCTED IN THE REGION OF THE BULGARIANANTARCTIC BASE ST. KLIMENT OHRIDSKI, LIVINGSTON ISLAND</t>
  </si>
  <si>
    <t>8TH INTERNATIONAL CONFERENCE ON CARTOGRAPHY AND GIS, VOL. 2</t>
  </si>
  <si>
    <t>International Conference on Cartography and GIS</t>
  </si>
  <si>
    <t>8th International Conference on Cartography and GIS</t>
  </si>
  <si>
    <t>JUN 14-19, 2021</t>
  </si>
  <si>
    <t>Nessebar, BULGARIA</t>
  </si>
  <si>
    <t>Integrated Information Environment; web portal; interdisciplinary research; Antarctica; Livingston Island; BAB St. Kliment Ohridski</t>
  </si>
  <si>
    <t>The article presents a test version of the Integrated Information Environment for Polar Research (IIEPR), developed under the Bulgarian Antarctic Institute's Polar Research - 2018 project. IIEPR is a web-based information system in Bulgarian designed to consolidate structured data from all polar expeditions conducted at BAB. It combines several components: i) a database of research projects implemented during the Bulgarian Antarctic expeditions, results, published articles and participation in conferences; (ii) a database of geological surveys, soil and vegetation cover, geochemistry and geodetic measurements; iii) developed software modules that ensure the integration of components and functionality of the web-based platform. The database is implemented with PostgreSQL, spatial data is entered with PostGIS geometry, and information is published with the Map server. All software products used are of the general public license type. In addition, a relatively independent module of the GIS interface of the web-based system of IIEPR has been developed, which is available at http://anta.nat.bg and is available after registration.</t>
  </si>
  <si>
    <t>[Dechev, Hristo; Alexandrov, Borislav; Lyubenova, Stiliana] Univ Architecture Civil Engn &amp; Geodesy, Fac Geodesy, Chr Smirnenski Blvd 1, Sofia 1046, Bulgaria; [Pashova, Lyubka] Bulgarian Acad Sci NIGGG BAS, Natl Inst Geophys Geodesy &amp; Geog, Dept Geodesy, Acad G Bonchev Str,Bock 3, Sofia 1113, Bulgaria</t>
  </si>
  <si>
    <t>University of Architecture &amp; Civil Engineering - Bulgaria; Bulgarian Academy of Sciences</t>
  </si>
  <si>
    <t>Dechev, H (corresponding author), Univ Architecture Civil Engn &amp; Geodesy, Fac Geodesy, Chr Smirnenski Blvd 1, Sofia 1046, Bulgaria.</t>
  </si>
  <si>
    <t>hristo.m.dechev@gmail.com; lpashova.niggg@gmail.com; alekb_fgs@uacg.bg; stelalyubenova@gmail.com</t>
  </si>
  <si>
    <t>Pashova, Lyubka/E-9896-2011</t>
  </si>
  <si>
    <t>Pashova, Lyubka/0000-0002-8058-9905</t>
  </si>
  <si>
    <t>BULGARIAN CARTOGRAPHIC ASSOC</t>
  </si>
  <si>
    <t>1, CHR SMIRNENSKI BLVD, SOFIA, 1046, BULGARIA</t>
  </si>
  <si>
    <t>1314-0604</t>
  </si>
  <si>
    <t>INT CONF CARTOGR GIS</t>
  </si>
  <si>
    <t>Geography; Geography, Physical</t>
  </si>
  <si>
    <t>Conference Proceedings Citation Index - Science (CPCI-S); Conference Proceedings Citation Index - Social Science &amp; Humanities (CPCI-SSH)</t>
  </si>
  <si>
    <t>Geography; Physical Geography</t>
  </si>
  <si>
    <t>BT8GW</t>
  </si>
  <si>
    <t>WOS:000853259700010</t>
  </si>
  <si>
    <t>Atanasova-Zlatareva, M; Nikolov, H</t>
  </si>
  <si>
    <t>Atanasova-Zlatareva, Mila; Nikolov, Hristo</t>
  </si>
  <si>
    <t>CREATION OF GLACIERS VELOCITY MAPS IN LIVINGSTON ISLAND USING SENTINEL-1 DATA</t>
  </si>
  <si>
    <t>glaciers velocity; Livingston Island; SAR</t>
  </si>
  <si>
    <t>Livingston Island is an Antarctic island in the Southern Ocean, part of the South Shetlands Archipelago. The Bulgarian base St. Kliment Ohridski is located on the Hurd Peninsula some 130 m from the shores of the inner bay Emona. In this study we use data from the Sentinel-1 satellite constellation to produce velocity maps, covering few key outlet glaciers. During this research used were Sentinel-1 data in GRD format with HH polarisation. We followed the processing workflow described by international scientific community to derive ice velocity maps from pairs of SAR images using the SNAP software. In this paper are presented results for glaciers found in Livingston Island and the ice velocity extracted along the two flow line transects/longitudinal and transverse profiles. This study provides a first demonstration by authors of the operational radar satellites capacity to map and thus providing frequent and timely monitoring of the ice sheet flow as well as to monitor the dynamic evolution of the glaciers around the Bulgarian base St. Kliment Ohridski</t>
  </si>
  <si>
    <t>[Atanasova-Zlatareva, Mila] Bulgarian Acad Sci, Natl Inst Geophys Geodesy &amp; Geog NIGGG, Acad Georgi Bonchev Str,Bl 3, Sofia 1113, Bulgaria; [Nikolov, Hristo] Bulgarian Acad Sci, Space Res &amp; Technol Inst SRTI, Acad Georgi Bonchev Str,Bl 1, Sofia 1113, Bulgaria</t>
  </si>
  <si>
    <t>Atanasova-Zlatareva, M (corresponding author), Bulgarian Acad Sci, Natl Inst Geophys Geodesy &amp; Geog NIGGG, Acad Georgi Bonchev Str,Bl 3, Sofia 1113, Bulgaria.</t>
  </si>
  <si>
    <t>mila_at_zl@abv.bg; hristo@stil.bas.bg</t>
  </si>
  <si>
    <t>Atanasova-Zlatareva, Mila Stoyanova/ADG-0579-2022</t>
  </si>
  <si>
    <t>Atanasova-Zlatareva, Mila Stoyanova/0000-0002-3105-3266</t>
  </si>
  <si>
    <t>National Centre for Polar Studies of Bulgaria [70-25-70/03.08.2021 SU]</t>
  </si>
  <si>
    <t>National Centre for Polar Studies of Bulgaria</t>
  </si>
  <si>
    <t>The scientific results in the paper are part of the work in the project Complex geophysical study of the glaciers in the area of the South Bay on Livingston Island 70-25-70/03.08.2021 SU Kl. Ohridski funded by National Centre for Polar Studies of Bulgaria.</t>
  </si>
  <si>
    <t>WOS:000853259700022</t>
  </si>
  <si>
    <t>Bracci, A; Baldini, L; Roberto, N; Adirosi, E; Montopoli, M; Scarchilli, C; Grigioni, P; Ciardini, V; Levizzani, V; Porcù, F</t>
  </si>
  <si>
    <t>Bracci, Alessandro; Baldini, Luca; Roberto, Nicoletta; Adirosi, Elisa; Montopoli, Mario; Scarchilli, Claudio; Grigioni, Paolo; Ciardini, Virginia; Levizzani, Vincenzo; Porcu, Federico</t>
  </si>
  <si>
    <t>Evidence of sublimation in the vertical profiles of radar reflectivity and its impact on snowfall estimation at the ground at Mario Zucchelli Antarctic Station</t>
  </si>
  <si>
    <t>2022 3RD URSI ATLANTIC AND ASIA PACIFIC RADIO SCIENCE MEETING (AT-AP-RASC)</t>
  </si>
  <si>
    <t>3rd URSI Atlantic and Asia Pacific Radio Science Meeting (AT-AP-RASC)</t>
  </si>
  <si>
    <t>MAY 29-JUN 03, 2022</t>
  </si>
  <si>
    <t>SPAIN</t>
  </si>
  <si>
    <t>PRECIPITATION</t>
  </si>
  <si>
    <t>Snow is the main positive component of surface mass balance in Antarctica. Therefore, accurate snow measurements of snowfall play a crucial role in characterizing the Antarctic ice sheet's variability and its impact on the sea-level rise. The remote sensing of precipitation and in situ measurements are, in general, challenging tasks and even more difficult in an environment like Antarctica. Radar profilers are increasingly used in Antarctic research stations to highlight snowfall processes through vertical reflectivity profiles and improve the quantitative precipitation estimation, also exploiting the synergy with surface measurements. This work summarizes the field campaign experience at the Italian Antarctic station Mario Zucchelli, analyzing the vertical profiles of reflectivity collected by a Micro Rain Radar (MRR), set with a vertical resolution of 35 m and a temporal resolution of 1 min. Such an MRR set up allowed us to use a trustworthy range gate just 105 m above the ground, thus avoiding contamination of clutter. Factors influencing the behavior of vertical profiles are analyzed, emphasizing the sublimation process and its implications on surface snowfall estimation at the ground.</t>
  </si>
  <si>
    <t>[Bracci, Alessandro; Baldini, Luca; Roberto, Nicoletta; Adirosi, Elisa; Montopoli, Mario] Natl Res Council Italy, Inst Atmospher Sci &amp; Climate CNR ISAC, I-00133 Rome, Italy; [Bracci, Alessandro; Porcu, Federico] Univ Bologna, Dept Phys &amp; Astron Augusto Righi, I-40126 Bologna, Italy; [Scarchilli, Claudio; Grigioni, Paolo; Ciardini, Virginia] ENEA, Lab Measurements &amp; Observat Environm &amp; Climate, I-00123 Rome, Italy; [Levizzani, Vincenzo] Natl Res Council Italy, Inst Atmospher Sci &amp; Climate CNR ISAC, I-40129 Bologna, Italy</t>
  </si>
  <si>
    <t>Consiglio Nazionale delle Ricerche (CNR); Istituto di Scienze dell'Atmosfera e del Clima (ISAC-CNR); University of Bologna; Italian National Agency New Technical Energy &amp; Sustainable Economics Development; Consiglio Nazionale delle Ricerche (CNR); Istituto di Scienze dell'Atmosfera e del Clima (ISAC-CNR)</t>
  </si>
  <si>
    <t>Bracci, A (corresponding author), Natl Res Council Italy, Inst Atmospher Sci &amp; Climate CNR ISAC, I-00133 Rome, Italy.;Bracci, A (corresponding author), Univ Bologna, Dept Phys &amp; Astron Augusto Righi, I-40126 Bologna, Italy.</t>
  </si>
  <si>
    <t>adirosi, elisa/Q-5226-2018; Bracci, Alessandro/HGU-6017-2022</t>
  </si>
  <si>
    <t>adirosi, elisa/0000-0001-9500-5004;</t>
  </si>
  <si>
    <t>Italian National Antarctic Program (PNRA); Doctoral Programme in Geophysics of the University of Bologna</t>
  </si>
  <si>
    <t>This work has been carried out in the framework of the APP (Antarctic Precipitation Properties), MALOX (MAss LOst in wind fluX) and IAMCO (Italian Antarctic Meteo-Climatological Observatory) projects funded by the Italian National Antarctic Program (PNRA) and contributes to the Year of Polar Prediction (YOPP), a flagship activity of the Polar Prediction Project (PPP), initiated by the World Weather Research Programme (WWRP) of WMO. The Antarctic Technical Unit of ENEA and PNRA are acknowledged for the logistic support. A.B. and F.P. acknowledge the support of the Doctoral Programme in Geophysics of the University of Bologna.</t>
  </si>
  <si>
    <t>978-9-4639-6805-8</t>
  </si>
  <si>
    <t>Engineering, Electrical &amp; Electronic; Remote Sensing; Optics; Telecommunications</t>
  </si>
  <si>
    <t>Engineering; Remote Sensing; Optics; Telecommunications</t>
  </si>
  <si>
    <t>BT7GU</t>
  </si>
  <si>
    <t>WOS:000848420400103</t>
  </si>
  <si>
    <t>Multi-Frequency Microwave Radiometry for Retrieving Antarctic Firn Subsurface Temperatures</t>
  </si>
  <si>
    <t>This paper discusses the retrieval of Antarctic firn subsurface temperatures as a function of depth via multifrequency microwave radiometer measurements focusing on the Concordia station. To demonstrate the feasibility of the retrieval, we investigated the correlation between the brightness temperatures measured by the GPM (Global precipitation Measurement) constellation radiometers at various frequencies and the subsurface temperatures of the Antarctic firn at various depths near the Concordia station.</t>
  </si>
  <si>
    <t>Aksoy, Mustafa/0000-0001-5452-1862</t>
  </si>
  <si>
    <t>This material is based on the work supported by the National Science Foundation under Grant no.1844793.</t>
  </si>
  <si>
    <t>WOS:000848420400052</t>
  </si>
  <si>
    <t>Hao, T; Cui, HT; Hai, G; Qiao, G; Li, HW; He, YQ; Li, RX</t>
  </si>
  <si>
    <t>Hao, Tong; Cui, Haotian; Hai, Gang; Qiao, Gang; Li, Hongwei; He, Youquan; Li, Rongxing</t>
  </si>
  <si>
    <t>Impact of Slopes on ICESat-2 Elevation Accuracy Along the CHINARE Route in East Antarctica</t>
  </si>
  <si>
    <t>Global navigation satellite system; Antarctica; Surface topography; Sea surface; Photonics; Surface treatment; Surface emitting lasers; Elevation; ICESat-2; satellite laser altimetry; surface slope</t>
  </si>
  <si>
    <t>RADAR ALTIMETRY; ICE; LASER; VALIDATION; ATMOSPHERE; PRECISION; OCEAN</t>
  </si>
  <si>
    <t>As the follow-on study to the assessment of ICESat-2 ice surface elevations, we assessed how they are influenced by the surface slopes, which are derived from the ICESat-2 elevations of the received photons and available in the land-ice surface heights product (ATL06), by using coordinated GNSS observations along a 520 km long traverse of the 36th CHINese Antarctic Research Expedition (CHINARE) route in East Antarctica. We further analyzed the impact of the slopes on the ICESat-2 elevation accuracy, which is important for the studies of the local ice flow dynamics, mass balance, and Antarctic contribution to sea level rise. We found that the along-track surface slopes in the ICESat-2 ATL06 data have a high overall agreement of 0.18 degrees +/- 0.16 degrees (1 sigma) and a correlation of 0.66 (R-2) with the GNSS slopes. Furthermore, two waveform related corrections, first-photon, and transmit-pulse shape bias corrections, were able to adjust on average a combined elevation bias of similar to 1.0 cm. Finally, we found a high linear dependency of elevation errors on slopes, i.e., similar to 6.2 cm per 1 degrees slope (R-2 = 0.57, slope &lt;0.7 degrees). Although significantly smaller than those in ICESat elevation data, these slope-induced elevation errors in ICESat-2 ATL06 data should be carefully considered for studies using high precision elevations, such as the mass balance estimation in sloped areas in Antarctica.</t>
  </si>
  <si>
    <t>[Hao, Tong; Cui, Haotian; Hai, Gang; Qiao, Gang; Li, Hongwei; He, Youquan; Li, Rongxing] Tongji Univ, Ctr Spatial Informat Sci &amp; Sustainable Dev &amp; Appl, Shanghai 200092, Peoples R China; [Hao, Tong; Cui, Haotian; Hai, Gang; Qiao, Gang; Li, Hongwei; He, Youquan; Li, Rongxing] Tongji Univ, Coll Surveying &amp; Geoinformat, Shanghai 200092, Peoples R China</t>
  </si>
  <si>
    <t>Cui, HT; Qiao, G; Li, RX (corresponding author), Tongji Univ, Ctr Spatial Informat Sci &amp; Sustainable Dev &amp; Appl, Shanghai 200092, Peoples R China.</t>
  </si>
  <si>
    <t>tonghao@tongji.edu.cn; haotiancui@tongji.edu.cn; ganghai@tongji.edu.cn; qiaogang@tongji.edu.cn; lihy@tongji.edu.cn; 1911211@tongji.edu.cn; rli@tongji.edu.cn</t>
  </si>
  <si>
    <t>He, YouQuan/JGM-3476-2023; Li, Hong-Wei/HRC-9990-2023; Qiao, Gang/AAU-5717-2020</t>
  </si>
  <si>
    <t>He, Youquan/0000-0001-6357-8000; Hao, Tong/0000-0003-0177-6006; Hai, Gang/0000-0002-8622-6128; Li, Rongxing/0000-0001-9837-5115</t>
  </si>
  <si>
    <t>National Natural Science Foundation of China [41730102, 41771471]</t>
  </si>
  <si>
    <t>This work was supported by the National Natural Science Foundation of China under Grant 41730102 and Grant 41771471.</t>
  </si>
  <si>
    <t>10.1109/JSTARS.2022.3189042</t>
  </si>
  <si>
    <t>4D0WK</t>
  </si>
  <si>
    <t>WOS:000846865100011</t>
  </si>
  <si>
    <t>Ban, W; Zheng, NS; Yu, KG; Zhang, KF; Liu, JX</t>
  </si>
  <si>
    <t>Ban, Wei; Zheng, Nanshan; Yu, Kegen; Zhang, Kefei; Liu, Jinxiang</t>
  </si>
  <si>
    <t>Sea Surface Green Algae Density Estimation Using Ship-Borne GEO-Satellite Reflection Observations</t>
  </si>
  <si>
    <t>IEEE GEOSCIENCE AND REMOTE SENSING LETTERS</t>
  </si>
  <si>
    <t>Algae; Green products; Dielectric constant; Satellites; Surface roughness; Rough surfaces; Reflection; Enteromorpha prolifera monitoring; geostationary Earth orbit (GEO) satellite; global navigation satellite systems-reflectometry (GNSS-R); green algae; mixture dielectric constant</t>
  </si>
  <si>
    <t>DISPERSION</t>
  </si>
  <si>
    <t>In recent years, global navigation satellite systems-reflectometry (GNSS-R) technology has been increasingly considered for applications in sea surface monitoring. This article presents a new method to retrieve the density of sea surface green algae by using the reflected signals of geostationary Earth orbit (GEO) satellites collected by shipborne receiver. Because GEO satellites are stationary relative to a fixed receiver on the Earth's surface, the reflected GEO (GEO-R) satellite signals are not affected by Doppler frequency or elevation angle, which can greatly simplify the modeling of the reflected power and realize continuous green algae monitoring in the same area. Specifically, the influence of green algae on GEO-R power through varying reflection coefficient and roughness was analyzed. Then, an empirical model was established to retrieve the green algae density by using the GEO-R power. Finally, the experimental data collected in Qingdao, Jiaozhou bay, were used to verify the developed models, and the results show that the inversion accuracy of the green algae density model is better than 4%.</t>
  </si>
  <si>
    <t>[Ban, Wei] Wuhan Univ, Chinese Antarctic Ctr Surveying &amp; Mapping, Wuhan 430079, Hubei, Peoples R China; [Zheng, Nanshan; Yu, Kegen; Zhang, Kefei; Liu, Jinxiang] China Univ Min &amp; Technol, Sch Environm Sci &amp; Spatial Informat CESI, Xuzhou 221116, Jiangsu, Peoples R China</t>
  </si>
  <si>
    <t>Wuhan University; China University of Mining &amp; Technology</t>
  </si>
  <si>
    <t>Ban, W (corresponding author), Wuhan Univ, Chinese Antarctic Ctr Surveying &amp; Mapping, Wuhan 430079, Hubei, Peoples R China.</t>
  </si>
  <si>
    <t>banwei@whu.edu.cn; znshcumt@163.com; kegen.yu@cumt.edu.cn; kefei.zhang@rmit.edu.au; liujinxiang@cumt.edu.cn</t>
  </si>
  <si>
    <t>Zhang, Kefei/R-5239-2019</t>
  </si>
  <si>
    <t>Yu, Kegen/0000-0001-7710-3073; Zhang, Kefei/0000-0001-9376-1148</t>
  </si>
  <si>
    <t>National Natural Science Foundation of China [42004015, 42174022, 41974039]; Fundamental Research Funds for the Central Universities [2020QN03]; Natural Science Foundation of Jiangsu Province [BK20190644]</t>
  </si>
  <si>
    <t>National Natural Science Foundation of China(National Natural Science Foundation of China (NSFC)); Fundamental Research Funds for the Central Universities(Fundamental Research Funds for the Central Universities); Natural Science Foundation of Jiangsu Province(Natural Science Foundation of Jiangsu Province)</t>
  </si>
  <si>
    <t>This work was supported in part by the National Natural Science Foundation of China under Grant 42004015, Grant 42174022, and Grant 41974039; in part by the Fundamental Research Funds for the Central Universities under Grant 2020QN03; and in part by the Natural Science Foundation of Jiangsu Province under Grant BK20190644.</t>
  </si>
  <si>
    <t>1545-598X</t>
  </si>
  <si>
    <t>1558-0571</t>
  </si>
  <si>
    <t>IEEE GEOSCI REMOTE S</t>
  </si>
  <si>
    <t>IEEE Geosci. Remote Sens. Lett.</t>
  </si>
  <si>
    <t>10.1109/LGRS.2022.3198253</t>
  </si>
  <si>
    <t>3Z0SG</t>
  </si>
  <si>
    <t>WOS:000844130200007</t>
  </si>
  <si>
    <t>Hokada, T; Adachi, T; Osanai, Y; Nakano, N; Baba, S; Toyoshima, T</t>
  </si>
  <si>
    <t>Hokada, Tomokazu; Adachi, Tatsuro; Osanai, Yasuhito; Nakano, Nobuhiko; Baba, Sotaro; Toyoshima, Tsuyoshi</t>
  </si>
  <si>
    <t>Formation of corundum in direct contact with quartz and biotite in clockwise P-T trajectory from the Sor Rondane Mountains, East Antarctica</t>
  </si>
  <si>
    <t>JOURNAL OF MINERALOGICAL AND PETROLOGICAL SCIENCES</t>
  </si>
  <si>
    <t>Corundum-quartz-biotite; High-T metamorphism; Sor Rondane Mountains; Dronning Maud Land; Antarctica</t>
  </si>
  <si>
    <t>DRONNING MAUD LAND; CONSISTENT THERMODYNAMIC DATA; PLUS QUARTZ; HIGH-TEMPERATURE; COLLISION ZONE; RICH FLUID; ASSEMBLAGE; STABILITY; GRANULITE; STAUROLITE</t>
  </si>
  <si>
    <t>We have found corundum in direct contact with quartz and biotite and as inclusions in garnet in the pelitic gneisses of northern Austkampane in the Northeastern (NE) Terrane of the S??r Rondane Mountains (SRM), East Antarctica. Our samples, which include corundum???bearing gneisses, show petrographic features such as staurolite inclusions in garnet, compositional zoning of orthoamphibole with Al decreasing toward the rims, and late???stage cordierite formation, and these features are characteristic of a clockwise P???T trajectory. The obser-vations are consistent with the proposed regional clockwise P???T evolution of the NE Terrane in the SRM. The corundum and other inclusions observed in the garnet porphyroblasts are interpreted to have formed owing to either staurolite breakdown or metastable crystallization relative to kyanite prior to the peak metamorphism. The close association of biotite and quartz surrounding corundum inclusions suggests fluid??? or melt???related processes. These petrographic features imply that the corundum and quartz (rarely observed in high???grade metamorphic rocks) formed as a result of metastable crystallization during the prograde stage of the clockwise P???T evolution of a continental collision zone.</t>
  </si>
  <si>
    <t>[Hokada, Tomokazu] Natl Inst Polar Res, Tokyo 1908518, Japan; [Hokada, Tomokazu; Adachi, Tatsuro] Grad Univ Adv Studies, Dept Polar Sci, SOKENDAI, Tokyo 1908518, Japan; [Adachi, Tatsuro; Osanai, Yasuhito; Nakano, Nobuhiko] Kyushu Univ, Fac Social &amp; Cultural Studies, Div Earth Sci, Fukuoka 8190395, Japan; [Baba, Sotaro] Univ Ryukyus, Dept Nat Environm, Nishihara, Okinawa 9030213, Japan; [Toyoshima, Tsuyoshi] Niigata Univ, Grad Sch Sci &amp; Technol, Niigata 9502181, Japan</t>
  </si>
  <si>
    <t>Research Organization of Information &amp; Systems (ROIS); National Institute of Polar Research (NIPR) - Japan; Graduate University for Advanced Studies - Japan; Kyushu University; University of the Ryukyus; Niigata University</t>
  </si>
  <si>
    <t>Hokada, T (corresponding author), Natl Inst Polar Res, Tokyo 1908518, Japan.;Hokada, T (corresponding author), Grad Univ Adv Studies, Dept Polar Sci, SOKENDAI, Tokyo 1908518, Japan.</t>
  </si>
  <si>
    <t>hokada@nipr.ac.jp</t>
  </si>
  <si>
    <t>Baba, Sotaro/H-3107-2013; Baba, Sotaro/HGU-7234-2022</t>
  </si>
  <si>
    <t>Baba, Sotaro/0000-0003-2969-9575; Baba, Sotaro/0000-0003-2969-9575</t>
  </si>
  <si>
    <t>National Institute of Polar Research (NIPR) under MEXT; JSPS KAKENHI [JP17H02976, JP21H01182]; National Institute of Polar Research (NIPR) [KP306]; Grants-in-Aid for Scientific Research [22K03780] Funding Source: KAKEN</t>
  </si>
  <si>
    <t>National Institute of Polar Research (NIPR) under MEXT; JSPS KAKENHI(Ministry of Education, Culture, Sports, Science and Technology, Japan (MEXT)Japan Society for the Promotion of ScienceGrants-in-Aid for Scientific Research (KAKENHI)); National Institute of Polar Research (NIPR)(National Institute of Polar Research (NIPR) - Japan); Grants-in-Aid for Scientific Research(Ministry of Education, Culture, Sports, Science and Technology, Japan (MEXT)Japan Society for the Promotion of ScienceGrants-in-Aid for Scientific Research (KAKENHI))</t>
  </si>
  <si>
    <t>This study was part of the Science Program of the Japanese Antarctic Research Expedition (JARE). It was supported by the National Institute of Polar Research (NIPR) under MEXT. We would like to thank all members of the JARE geology group for their fruitful discussions, and the members of the 49th Japanese Antarctic Research Expedition, especially M. Abe, for their support during the field work in Antarctica. Constructive reviews by F. Higashino and T. Ikeda and editorial comments by T. Kawakami improved the manuscript drastically and are gratefully acknowledged. This work was supported by JSPS KAKENHI Grant numbers JP17H02976 and JP21H01182 to TH and by the National Institute of Polar Research (NIPR) through Project Research KP306.</t>
  </si>
  <si>
    <t>JAPAN ASSOC MINERALOGICAL SCIENCES</t>
  </si>
  <si>
    <t>SENDAI</t>
  </si>
  <si>
    <t>C/O GRAD SCH SCIENCES, TOHOKU UNIV, AOBA, SENDAI, 980-8578, JAPAN</t>
  </si>
  <si>
    <t>1345-6296</t>
  </si>
  <si>
    <t>1349-3825</t>
  </si>
  <si>
    <t>J MINER PETROL SCI</t>
  </si>
  <si>
    <t>J. Mineral. Petrol. Sci.</t>
  </si>
  <si>
    <t>10.2465/jmps.220317</t>
  </si>
  <si>
    <t>3X8WH</t>
  </si>
  <si>
    <t>WOS:000843314200001</t>
  </si>
  <si>
    <t>Kang, JM; Cho, SJ; Cho, SE; Bang, T; Do Chae, B; Yi, E; Bae, SM; Na, KS; Jung, J; Kang, SG</t>
  </si>
  <si>
    <t>Kang, Jae Myeong; Cho, Seong-Jin; Cho, Seo-Eun; Bang, Taemo; Do Chae, Byung; Yi, Eojin; Bae, Seung Min; Na, Kyoung-Sae; Jung, Jaehun; Kang, Seung-Gul</t>
  </si>
  <si>
    <t>Mood and Sleep Status and Mental Disorders During Prolonged Winter-Over Residence in Two Korean Antarctic Stations</t>
  </si>
  <si>
    <t>NATURE AND SCIENCE OF SLEEP</t>
  </si>
  <si>
    <t>Antarctic; depression; insomnia; mental illness; sleep; winter-over</t>
  </si>
  <si>
    <t>TERM CHANGES; PATTERNS; RELIABILITY; VALIDATION; VALIDITY; VERSION; INSTRUMENT; SYMPTOMS; BEHAVIOR; INDEX</t>
  </si>
  <si>
    <t>Purpose: Antarctica is a region with extreme climate, characterized by extreme cold and photoperiod. No research has been conducted on the mental health of Korean Antarctic dispatchers. The aim of this study was to investigate the status of mental illness and changes in mood and sleep among Korean crew members staying for a long-term period in the Antarctic station.Methods: From 2017 to 2020, crew members who were dispatched from South Korea to two Antarctic stations for a one-year period participated in this study. The crew were evaluated for mood and sleep status and mental illness through psychological tests and interviews by board-certified psychiatrists once before departure and twice during their stay in Antarctica. The incidence of mental illness was confirmed and changes in sleep and depression were analyzed.Results: A total of 88 participants were included in the final analysis, and 7 of them (8.0%) were diagnosed with mental disorders such as insomnia in early winter. The total Beck Depression Inventory (BDI) score increased significantly in the early winter period, and the total Insomnia Severity Index (ISI) and Pittsburgh Sleep Quality Inventory (PSQI) scores increased in both early and late winter. The difference in changes in mood and sleep symptoms before, during, and after dispatch between the two stations was not significant.Conclusion: This is the first study to investigate the mental illness and mood and sleep status of Korean crews dispatched to Antarctica. In early winter, there were significant increases in mental illness and depressive symptoms, and a worsening of sleep status.</t>
  </si>
  <si>
    <t>[Kang, Jae Myeong; Cho, Seong-Jin; Cho, Seo-Eun; Bae, Seung Min; Na, Kyoung-Sae; Kang, Seung-Gul] Gachon Univ, Coll Med, Gil Med Ctr, Dept Psychiat, 21 Namdong daero 774 beon-gil, Incheon 21565, South Korea; [Bang, Taemo] Gachon Univ Coll Med, Artificial Intelligence &amp; Big Data Convergence Ctr, Gil Med Ctr, Incheon, South Korea; [Do Chae, Byung] Korea Polar Res Inst, Unit Frontier Explorat, Incheon, South Korea; [Yi, Eojin] Yonsei Univ Coll Med, Dept Plast &amp; Reconstruct Surg, Seoul, South Korea; [Jung, Jaehun] Gachon Univ Coll Med, Dept Prevent Med, Incheon, South Korea</t>
  </si>
  <si>
    <t>Gachon University; Korea Polar Research Institute (KOPRI); Yonsei University; Yonsei University Health System</t>
  </si>
  <si>
    <t>Kang, SG (corresponding author), Gachon Univ, Coll Med, Gil Med Ctr, Dept Psychiat, 21 Namdong daero 774 beon-gil, Incheon 21565, South Korea.</t>
  </si>
  <si>
    <t>kangsg@gachon.ac.kr</t>
  </si>
  <si>
    <t>JUNG, JAEHUN/KHE-5939-2024</t>
  </si>
  <si>
    <t>Kang, Seung-Gul/0000-0003-4933-0433; Na, Kyoung-Sae/0000-0002-0148-9827; Yi, Eojin/0000-0002-8252-2704; Bang, Taemo/0000-0002-0497-9936; Cho, Seo-Eun/0000-0002-3991-2192</t>
  </si>
  <si>
    <t>National Research Foundation of Korea (NRF) - Korean government (MSIT) [NRF-2020R1A2C1007527]</t>
  </si>
  <si>
    <t>National Research Foundation of Korea (NRF) - Korean government (MSIT)(National Research Foundation of KoreaMinistry of Science &amp; ICT (MSIT), Republic of Korea)</t>
  </si>
  <si>
    <t>This study was supported by the National Research Foundation of Korea (NRF) grant funded by the Korean government (MSIT; grant number NRF-2020R1A2C1007527) . We would like to express our gratitude to the Korea Polar Research Institute (KOPRI) and Overwintering Teams of the Korean Antarctic Research Stations for their considerable and valued assistance with this study. Jae Myeong Kang and Seong-Jin Cho are co-first authors.</t>
  </si>
  <si>
    <t>1179-1608</t>
  </si>
  <si>
    <t>NAT SCI SLEEP</t>
  </si>
  <si>
    <t>NAT. SCI. SLEEP</t>
  </si>
  <si>
    <t>10.2147/NSS.S370659</t>
  </si>
  <si>
    <t>Clinical Neurology; Neurosciences</t>
  </si>
  <si>
    <t>Neurosciences &amp; Neurology</t>
  </si>
  <si>
    <t>3X3BW</t>
  </si>
  <si>
    <t>WOS:000842916800001</t>
  </si>
  <si>
    <t>Venuti, I; Ceruso, M; D'Angelo, C; Casillo, A; Pepe, T</t>
  </si>
  <si>
    <t>Venuti, Iolanda; Ceruso, Marina; D'Angelo, Caterina; Casillo, Angela; Pepe, Tiziana</t>
  </si>
  <si>
    <t>Antimicrobial activity evaluation of pure compounds obtained from Pseudoalteromonas haloplanktis against Listeria monocytogenes: Preliminary results</t>
  </si>
  <si>
    <t>ITALIAN JOURNAL OF FOOD SAFETY</t>
  </si>
  <si>
    <t>Antimicrobials; Listeria monocytogenes; Pentadecanal; Pseudoalteromonas haloplanktis</t>
  </si>
  <si>
    <t>ANTI-BIOFILM ACTIVITY</t>
  </si>
  <si>
    <t>L. monocytogenes is a foodborne pathogen responsible for a serious disease with a high mortality rate, particularly in vulnerable consumers. Recently, the scientific community has shown increasing attention to the search for new natural molecules with antimicrobial activity, aimed at preventing the spread of foodborne diseases. Extremophilic microorganisms, typical of extreme temperature environments, are a valuable source of these molecules. The present work aimed to study the antibacterial activity of four pure compounds derived from a molecule, the pentadecanal, produced by the Antarctic bacterium Pseudoalteromonas haloplanktis, against two different pathotypes of L. monocytogenes. Growth assays were performed in 96-well polystyrene plates with serial dilutions of the tested compounds at different concentrations (0.6, 0.3, 0.15, 0.07 mg/mL). The plates were incubated at 37 degrees C for 24 h, with a spectrophotometric reading at OD 600 nm. Preliminary results of this study showed that pentadecanal inhibits the growth of L. monocytogenes, with a MIC (Minimum Inhibitory Concentration) of 0.6 mg/mL. Acetal, carboxylic acid, and ester did not demonstrate antibacterial activity at the concentrations tested. These findings suggest the possibility of using pentadecanal as a natural antibacterial to improve safety standards along the food supply chain.</t>
  </si>
  <si>
    <t>[Venuti, Iolanda; Ceruso, Marina; Pepe, Tiziana] Univ Naples Federico II, Dept Vet Med &amp; Anim Prod, Via Federico Delpino 1, I-80137 Naples, Italy; [D'Angelo, Caterina] Univ Naples Federico II, Dept Agr Sci, Naples, Italy; [Casillo, Angela] Univ Naples Federico II, Dept Chem Sci, Naples, Italy</t>
  </si>
  <si>
    <t>University of Naples Federico II; University of Naples Federico II; University of Naples Federico II</t>
  </si>
  <si>
    <t>Ceruso, M (corresponding author), Univ Naples Federico II, Dept Vet Med &amp; Anim Prod, Via Federico Delpino 1, I-80137 Naples, Italy.</t>
  </si>
  <si>
    <t>marina.ceruso@gmail.com</t>
  </si>
  <si>
    <t>D'Angelo, Caterina/0000-0002-0372-7809</t>
  </si>
  <si>
    <t>PAGEPRESS PUBL</t>
  </si>
  <si>
    <t>PAVIA</t>
  </si>
  <si>
    <t>MEDITGROUP, VIA G BELLI, 4, PAVIA, 27100, ITALY</t>
  </si>
  <si>
    <t>2239-7132</t>
  </si>
  <si>
    <t>ITAL J FOOD SAF</t>
  </si>
  <si>
    <t>Ital. J. Food Saf.</t>
  </si>
  <si>
    <t>10.4081/ijfs.2022.10320</t>
  </si>
  <si>
    <t>3V2IK</t>
  </si>
  <si>
    <t>WOS:000841484100004</t>
  </si>
  <si>
    <t>Zabolotskikh, EV; Zhivotovskaya, MA; Balashova, E; Lvova, E; Chapron, B</t>
  </si>
  <si>
    <t>Zabolotskikh, E., V; Zhivotovskaya, M. A.; Balashova, E.; Lvova, E.; Chapron, B.</t>
  </si>
  <si>
    <t>Satellite Passive Microwave Sea Ice Concentration Retrieval Errors over the Russian Arctic Seas</t>
  </si>
  <si>
    <t>2022 PHOTONICS &amp; ELECTROMAGNETICS RESEARCH SYMPOSIUM (PIERS 2022)</t>
  </si>
  <si>
    <t>Photonics and Electromagnetics Research Symposium (PIERS)</t>
  </si>
  <si>
    <t>APR 25-27, 2022</t>
  </si>
  <si>
    <t>Hangzhou, PEOPLES R CHINA</t>
  </si>
  <si>
    <t>PARAMETERS</t>
  </si>
  <si>
    <t>Summer errors of the sea ice concentrations (SICs), retrieved from the Advanced Microwave Scanning Radiometer 2 (AMSR2) measurement data over the Russian Arctic seas, are calculated by comparison of the standard daily SIC products for the summer Arctic months (June, July, August and September) of 2017-2019 with the sea ice data of the Arctic and Antarctic Research Institute (AARI) which are considered as ground truth SIC. The AARI 7-day averaged data for the Barents, Kara, Laptev, East-Siberian and Chukchi Seas are explored since they contain detailed information about SICs. The standard AMSR2 SIC daily products of the University of Bremen (SIC1), the Japan Aerospace Exploration Agency (SIC2) and the EUMETSAT Ocean and Sea Ice Satellite Application Facility (SIC3) are averaged over 7 days and over AARI specified polygons with assigned SIC values for matching.</t>
  </si>
  <si>
    <t>[Zabolotskikh, E., V; Zhivotovskaya, M. A.; Balashova, E.; Lvova, E.; Chapron, B.] Russian State Hydrometeorol Univ, Satellite Oceanog Lab, St Petersburg, Russia; [Chapron, B.] IFREMER, Dept Oceanog &amp; Ecosyst Dynam, Brest, France</t>
  </si>
  <si>
    <t>Russian State Hydrometeorological University; Ifremer</t>
  </si>
  <si>
    <t>Zabolotskikh, EV (corresponding author), Russian State Hydrometeorol Univ, Satellite Oceanog Lab, St Petersburg, Russia.</t>
  </si>
  <si>
    <t>chapron, bertrand/0000-0001-6088-8775</t>
  </si>
  <si>
    <t>Russian Science Foundation [19-17-00236]</t>
  </si>
  <si>
    <t>The work under this project was supported by the Russian Science Foundation through the Project #19-17-00236.</t>
  </si>
  <si>
    <t>978-1-6654-6023-1</t>
  </si>
  <si>
    <t>10.1109/PIERS55526.2022.9793299</t>
  </si>
  <si>
    <t>Engineering, Electrical &amp; Electronic; Optics; Telecommunications</t>
  </si>
  <si>
    <t>Engineering; Optics; Telecommunications</t>
  </si>
  <si>
    <t>BT5EI</t>
  </si>
  <si>
    <t>WOS:000836198500145</t>
  </si>
  <si>
    <t>Wang, Y; Yao, YB; Kong, J; Zhai, CZ; Chen, XX; Shan, LL</t>
  </si>
  <si>
    <t>Wang, Yang; Yao, Yibin; Kong, Jian; Zhai, Changzhi; Chen, Xuanxi; Shan, Lulu</t>
  </si>
  <si>
    <t>Analysis of the 3-D Evolution Characteristics of Ionospheric Anomalies During a Geomagnetic Storm Through Fusion of GNSS and COSMIC-2 Data</t>
  </si>
  <si>
    <t>Global navigation satellite system; Ionosphere; Geomagnetic storms; Satellites; Tomography; Harmonic analysis; Global Positioning System; Computerized ionosphere tomography (CIT); COSMIC-2; data fusion algorithm; geomagnetic storm; global navigation satellite system (GNSS) total electron content (TEC)</t>
  </si>
  <si>
    <t>SATELLITE ALTIMETRY; GREAT STORM; TOMOGRAPHY; RECONSTRUCTION; DENSITY; LATITUDE; TEC</t>
  </si>
  <si>
    <t>To solve the ill-posed and accuracy problems experienced by global navigation satellite system (GNSS) computerized ionosphere tomography (CIT), this study proposes the use of the ionospheric profile data of COSMIC-2 as the initial scale factor to constrain GNSS data. At present, studies are lacking on long-term data volume statistics and accuracy assessment of COSMIC-2 ionospheric profile products. Therefore, we calculated the data volume statistics and assessed the ionospheric quality of the COSMIC-2 data for the whole year of 2020. We used incoherent scattering radar (ISR) and ionosonde data to evaluate the quality of the COSMIC-2 ionospheric profile data. To verify the accuracy and reliability of the CIT algorithm for COSMIC-2 ionosphere profile-constrained GNSS data, the American region was selected. On the plane, the tomographic results were superimposed and compared with the global ionospheric map (GIM). The root mean square (rms) of the vertical total electron content (VTEC) difference in the six periods was 0.68, 0.97, 0.63, 0.86, 0.76, and 0.82 total electron content unit (TECU), respectively. In the vertical direction, the scale factor that was not involved in the CIT was compared with the ratio of total electron contents (TECs) in each layer to the total TEC. The average difference of the ratio factors in the four periods was 3.72%, 2.79%, 1.80%, 3.05%, 1.99%, and 2.37%, respectively. Finally, an intermediate-level geomagnetic storm that occurred on July 25, 2020, was selected for analysis, and the 3-D ionospheric morphological changes and evolution characteristics of the Australian region during this geomagnetic storm were studied.</t>
  </si>
  <si>
    <t>[Wang, Yang; Yao, Yibin; Chen, Xuanxi; Shan, Lulu] Wuhan Univ, Sch Geodesy &amp; Geomat, Wuhan 430079, Peoples R China; [Yao, Yibin] Wuhan Univ, Key Lab Geospace Environm &amp; Geodesy, Minist Educ, Wuhan 430079, Peoples R China; [Kong, Jian] Wuhan Univ, Chinese Antarctic Ctr Surveying &amp; Mapping, Wuhan 430079, Peoples R China; [Zhai, Changzhi] Hohai Univ, Sch Earth Sci &amp; Engn, Nanjing 210098, Peoples R China</t>
  </si>
  <si>
    <t>Wuhan University; Wuhan University; Wuhan University; Hohai University</t>
  </si>
  <si>
    <t>Kong, J (corresponding author), Wuhan Univ, Chinese Antarctic Ctr Surveying &amp; Mapping, Wuhan 430079, Peoples R China.</t>
  </si>
  <si>
    <t>wangyang1@whu.edu.cn; ybyao@whu.edu.cn; jkong@whu.edu.cn; czzhai@hhu.edu.cn; chenxuanxi@whu.edu.cn; llshan@whu.edu.cn</t>
  </si>
  <si>
    <t>Zhai, Changzhi/JQW-2878-2023; Yao, Yibin/AAM-9653-2020</t>
  </si>
  <si>
    <t>Yao, Yibin/0000-0002-7723-4601; zhai, changzhi/0000-0003-0183-2063; wang, yang/0000-0001-7562-1803; Shan, Lulu/0000-0002-8772-4233</t>
  </si>
  <si>
    <t>National Natural Science Foundation of China [41874033, 42142037, 41941010, 41721003]; General Fund Project of Hubei Province [2020CFB603]</t>
  </si>
  <si>
    <t>National Natural Science Foundation of China(National Natural Science Foundation of China (NSFC)); General Fund Project of Hubei Province</t>
  </si>
  <si>
    <t>This work was supported in part by the National Natural Science Foundation of China under Grant 41874033, Grant 42142037, Grant 41941010, and Grant 41721003; and in part by the General Fund Project of Hubei Province under Grant 2020CFB603.</t>
  </si>
  <si>
    <t>10.1109/TGRS.2022.3188995</t>
  </si>
  <si>
    <t>3Q8TL</t>
  </si>
  <si>
    <t>WOS:000838496600007</t>
  </si>
  <si>
    <t>Zhang, SK; Geng, T; Zhu, CH; Li, JX; Li, X; Zhu, BX; Liu, LX; Xiao, F</t>
  </si>
  <si>
    <t>Zhang, Shengkai; Geng, Tong; Zhu, Chaohui; Li, Jiaxing; Li, Xiao; Zhu, Benxin; Liu, Laixing; Xiao, Feng</t>
  </si>
  <si>
    <t>Arctic Sea Ice Freeboard Estimation and Variations From Operation IceBridge</t>
  </si>
  <si>
    <t>Sea ice; Arctic; Sea surface; Altimetry; Sea measurements; Lead; Satellites; Arctic; freeboard; Operation IceBridge (OIB); sea ice; sea surface height (SSH)</t>
  </si>
  <si>
    <t>SNOW DEPTH; LASER ALTIMETRY; THICKNESS; RETRIEVAL; WEDDELL</t>
  </si>
  <si>
    <t>Sea ice plays an important role in global climate system. Operation IceBridge (OIB) was launched in 2009 to bridge the gap in polar observations between the Ice, Cloud, and Land Elevation Satellite (ICESat) and ICESat-2 missions. OIB flew more than 1000 aircraft surveys, providing annual mapping of sea ice, glaciers, and ice sheets in the Antarctic and Arctic. This study utilizes altimetry data and synchronized optical images from OIB to derive Arctic sea ice freeboard estimates for the period from 2009 to 2019. Lead detection is important in determining sea ice freeboard. We developed an improved approach by combining optical images, OIB laser pulse apparent reflectivity, and L1B elevation profiles to detect leads. We then determined the local sea surface height (SSH) with a lowest elevation method from the L1B elevation profile of leads. Thus, sea ice freeboard was calculated by the difference between L2 relative elevation and corresponding local SSH. We derived the estimates of the Arctic sea ice freeboard from 2009 to 2019. Spatial and temporal variations of the freeboard were analyzed based on the estimates. The Arctic annual average sea ice freeboard showed a decreasing trend from OIB observations. However, an obvious increase in multiyear ice freeboard was observed in 2014. We validated our freeboard estimates with OIB freeboard product from the National Snow and Ice Data Center and coincident ICESat-2 freeboard. The comparison shows that our freeboard estimates generally compare well with the ICESat-2 freeboard, and our method is more sensitive to thin ice.</t>
  </si>
  <si>
    <t>[Zhang, Shengkai; Geng, Tong; Zhu, Chaohui; Li, Jiaxing; Li, Xiao; Zhu, Benxin; Xiao, Feng] Wuhan Univ, Chinese Antarctic Ctr Surveying &amp; Mapping, Wuhan 430079, Peoples R China; [Liu, Laixing] Wuhan Inst Technol, Sch Management, Wuhan 430205, Peoples R China</t>
  </si>
  <si>
    <t>Wuhan University; Wuhan Institute of Technology</t>
  </si>
  <si>
    <t>Xiao, F (corresponding author), Wuhan Univ, Chinese Antarctic Ctr Surveying &amp; Mapping, Wuhan 430079, Peoples R China.</t>
  </si>
  <si>
    <t>shaw89@whu.edu.cn</t>
  </si>
  <si>
    <t>National Key Research and Development Program of China [2017YFA0603104]; Natural Science Foundation of China [41730102]</t>
  </si>
  <si>
    <t>National Key Research and Development Program of China; Natural Science Foundation of China(National Natural Science Foundation of China (NSFC))</t>
  </si>
  <si>
    <t>This work was supported in part by the National Key Research and Development Program of China under Grant 2017YFA0603104 and in part by the Natural Science Foundation of China under Grant 41730102.</t>
  </si>
  <si>
    <t>10.1109/TGRS.2022.3185230</t>
  </si>
  <si>
    <t>3Q7XG</t>
  </si>
  <si>
    <t>WOS:000838438600007</t>
  </si>
  <si>
    <t>McHuron, EA; Adamczak, S; Arnould, JPY; Ashe, E; Booth, C; Bowen, WD; Christiansen, F; Chudzinska, M; Costa, DP; Fahlman, A; Farmer, NA; Fortune, SME; Gallagher, CA; Keen, KA; Madsen, PT; McMahon, CR; Nabe-Nielsen, J; Noren, DP; Noren, SR; Pirotta, E; Rosen, DAS; Speakman, CN; Villegas-Amtmann, S; Williams, R</t>
  </si>
  <si>
    <t>McHuron, Elizabeth A.; Adamczak, Stephanie; Arnould, John P. Y.; Ashe, Erin; Booth, Cormac; Bowen, W. Don; Christiansen, Fredrik; Chudzinska, Magda; Costa, Daniel P.; Fahlman, Andreas; Farmer, Nicholas A.; Fortune, Sarah M. E.; Gallagher, Cara A.; Keen, Kelly A.; Madsen, Peter T.; McMahon, Clive R.; Nabe-Nielsen, Jacob; Noren, Dawn P.; Noren, Shawn R.; Pirotta, Enrico; Rosen, David A. S.; Speakman, Cassie N.; Villegas-Amtmann, Stella; Williams, Rob</t>
  </si>
  <si>
    <t>Key questions in marine mammal bioenergetics</t>
  </si>
  <si>
    <t>CONSERVATION PHYSIOLOGY</t>
  </si>
  <si>
    <t>BOTTLE-NOSED DOLPHINS; ANTARCTIC FUR SEALS; NORTHERN ELEPHANT SEAL; ATLANTIC RIGHT WHALES; FIELD METABOLIC-RATE; BODY CONDITION; ANTHROPOGENIC DISTURBANCE; POPULATION CONSEQUENCES; FORAGING ENERGETICS; ENERGY-EXPENDITURE</t>
  </si>
  <si>
    <t>Bioenergetic approaches are increasingly used to understand how marine mammal populations could be affected by a changing and disturbed aquatic environment. There remain considerable gaps in our knowledge of marine mammal bioenergetics, which hinder the application of bioenergetic studies to inform policy decisions. We conducted a priority-setting exercise to identify high-priority unanswered questions in marine mammal bioenergetics, with an emphasis on questions relevant to conservation and management. Electronic communication and a virtual workshop were used to solicit and collate potential research questions from the marine mammal bioenergetic community. From a final list of 39 questions, 11 were identified as 'key'questions because they received votes from at least 50% of survey participants. Key questions included those related to energy intake (prey landscapes, exposure to human activities) and expenditure (field metabolic rate, exposure to human activities, lactation, time-activity budgets), energy allocation priorities, metrics of body condition and relationships with survival and reproductive success and extrapolation of data from one species to another. Existing tools to address key questions include labelled water, animal-borne sensors, mark-resight data from long-term research programs, environmental DNA and unmanned vehicles. Further validation of existing approaches and development of new methodologies are needed to comprehensively address some key questions, particularly for cetaceans. The identification of these key questions can provide a guiding framework to set research priorities, which ultimately may yield more accurate information to inform policies and better conserve marine mammal populations.</t>
  </si>
  <si>
    <t>[McHuron, Elizabeth A.] Univ Washington, Cooperat Inst Climate Ocean &amp; Ecosyst Studies, Seattle, WA 98195 USA; [Adamczak, Stephanie; Costa, Daniel P.; Keen, Kelly A.; Villegas-Amtmann, Stella] Univ Calif Santa Cruz, Ecol &amp; Evolutionary Biol Dept, Santa Cruz, CA 95064 USA; [Arnould, John P. Y.; Speakman, Cassie N.] Deakin Univ, Sch Life &amp; Environm Sci, Burwood, Vic 3125, Australia; [Ashe, Erin; Williams, Rob] Oceans Initiat, Seattle, WA 98102 USA; [Booth, Cormac; Chudzinska, Magda] Univ St Andrews, SMRU Consulting, Scottish Oceans Inst, St Andrews KY16 8LB, Fife, Scotland; [Bowen, W. Don] Dalhousie Univ, Biol Dept, Halifax, NS B3H 4R2, Canada; [Bowen, W. Don] Bedford Inst Oceanog, Populat Ecol Div, Dartmouth, NS B2Y 4A2, Canada; [Christiansen, Fredrik] Aarhus Inst Adv Studies, DK-8000 Aarhus C, Denmark; [Christiansen, Fredrik; Madsen, Peter T.] Aarhus Univ, Dept Biol, Zoophysiol, DK-8000 Aarhus C, Denmark; [Christiansen, Fredrik] Murdoch Univ, Harry Butler Inst, Ctr Sustainable Aquat Ecosyst, Murdoch, WA 6150, Australia; [Chudzinska, Magda] Univ St Andrews, Scottish Oceans Inst, Sea Mammal Res Unit, St Andrews KY16 9XL, Fife, Scotland; [Fahlman, Andreas] Fdn Oceanog Comunitat Valenciana, Valencia 46005, Spain; [Fahlman, Andreas] Kolmarden Wildlife Pk, S-61892 Kolmarden, Sweden; [Farmer, Nicholas A.] NOAA, Natl Marine Fisheries Serv, Southeast Reg Off, St Petersburg, FL 33701 USA; [Fortune, Sarah M. E.] Dalhousie Univ, Dept Oceanog, Halifax, NS B3H 4R2, Canada; [Gallagher, Cara A.] Univ Potsdam, Plant Ecol &amp; Nat Conservat, D-14476 Potsdam, Germany; [McMahon, Clive R.] Sydney Inst Marine Sci, IMOS Anim Tagging, Mosman, NSW 2088, Australia; [Nabe-Nielsen, Jacob] Aarhus Univ, Dept Ecosci, DK-4000 Roskilde, Denmark; [Noren, Dawn P.] NOAA, Conservat Biol Div, Northwest Fisheries Sci Ctr, Natl Marine Fisheries Serv, Seattle, WA 98112 USA; [Noren, Shawn R.] Univ Calif Santa Cruz, Inst Marine Sci, Santa Cruz, CA 95060 USA; [Pirotta, Enrico] Univ St Andrews, Ctr Res Ecol &amp; Environm Modelling, St Andrews KY16 9LZ, Fife, Scotland; [Rosen, David A. S.] Univ British Columbia, Inst Oceans &amp; Fisheries, Vancouver, BC V6T 1ZA, Canada</t>
  </si>
  <si>
    <t>University of Washington; University of Washington Seattle; University of California System; University of California Santa Cruz; Deakin University; University of St Andrews; Dalhousie University; Bedford Institute of Oceanography; Fisheries &amp; Oceans Canada; Aarhus University; Murdoch University; University of St Andrews; National Oceanic Atmospheric Admin (NOAA) - USA; Dalhousie University; University of Potsdam; Sydney Institute of Marine Science; Aarhus University; National Oceanic Atmospheric Admin (NOAA) - USA; University of California System; University of California Santa Cruz; University of St Andrews; University of British Columbia</t>
  </si>
  <si>
    <t>McHuron, EA (corresponding author), Univ Washington, Cooperat Inst Climate Ocean &amp; Ecosyst Studies, Seattle, WA 98195 USA.</t>
  </si>
  <si>
    <t>emchuron@uw.edu</t>
  </si>
  <si>
    <t>Fahlman, Andreas/A-2901-2011; Nabe-Nielsen, Jacob/A-5891-2010; Booth, Cormac G/K-6338-2017; McMahon, Clive R/D-5713-2013; Gallagher, Cara/GRX-3061-2022; Christiansen, Fredrik/O-3655-2017; Speakman, Cassie/IST-8189-2023; Madsen, Peter T./K-5832-2013</t>
  </si>
  <si>
    <t>Fahlman, Andreas/0000-0002-8675-6479; Nabe-Nielsen, Jacob/0000-0002-0716-9525; Booth, Cormac G/0000-0002-5804-3455; McMahon, Clive R/0000-0001-5241-8917; Christiansen, Fredrik/0000-0001-9090-8458; Speakman, Cassie/0000-0002-0023-518X; Pirotta, Enrico/0000-0003-3541-3676; Madsen, Peter T./0000-0002-5208-5259; Chudzinska, Magda/0000-0001-9568-1504</t>
  </si>
  <si>
    <t>Marine Mammal Commission [MMC19-173]; Office of Naval Research [N000142012392]; U.S. Department of Defense (DOD) [N000142012392] Funding Source: U.S. Department of Defense (DOD)</t>
  </si>
  <si>
    <t>Marine Mammal Commission; Office of Naval Research(Office of Naval Research); U.S. Department of Defense (DOD)(United States Department of Defense)</t>
  </si>
  <si>
    <t>This work was funded by the Marine Mammal Commission (MMC19-173). The Office of Naval Research funded the bioenergetic workshop (N000142012392) that provided support for this work.</t>
  </si>
  <si>
    <t>2051-1434</t>
  </si>
  <si>
    <t>CONSERV PHYSIOL</t>
  </si>
  <si>
    <t>Conserv. Physiol.</t>
  </si>
  <si>
    <t>JAN 1</t>
  </si>
  <si>
    <t>coac055</t>
  </si>
  <si>
    <t>10.1093/conphys/coac055</t>
  </si>
  <si>
    <t>Biodiversity Conservation; Ecology; Environmental Sciences; Physiology</t>
  </si>
  <si>
    <t>Biodiversity &amp; Conservation; Environmental Sciences &amp; Ecology; Physiology</t>
  </si>
  <si>
    <t>3P1OV</t>
  </si>
  <si>
    <t>WOS:000837311000001</t>
  </si>
  <si>
    <t>O'Brien, KM; Oldham, CA; Sarrimanolis, J; Fish, A; Castellini, L; Vance, J; Lekanof, H; Crockett, EL</t>
  </si>
  <si>
    <t>O'Brien, Kristin M.; Oldham, Corey A.; Sarrimanolis, Jon; Fish, Autumn; Castellini, Luke; Vance, Jenna; Lekanof, Hayley; Crockett, Elizabeth L.</t>
  </si>
  <si>
    <t>Warm acclimation alters antioxidant defences but not metabolic capacities in the Antarctic fish, Notothenia coriiceps</t>
  </si>
  <si>
    <t>warm acclimation; proteasome; metabolism; antioxidant; Antarctic fish</t>
  </si>
  <si>
    <t>TROUT ONCORHYNCHUS-MYKISS; CLIMATE-CHANGE; OXIDATIVE STRESS; THERMAL-ACCLIMATION; CARDIAC-PERFORMANCE; TEMPERATURE-ACCLIMATION; OXIDIZED PROTEINS; ENERGY-METABOLISM; 20S PROTEASOME; COLD</t>
  </si>
  <si>
    <t>The Southern Ocean surrounding the Western Antarctic Peninsula region is rapidly warming. Survival of members of the dominant suborder of Antarctic fishes, the Notothenioidei, will likely require thermal plasticity and adaptive capacity in key traits delimiting thermal tolerance. Herein, we have assessed the thermal plasticity of several cellular and biochemical pathways, many of which are known to be associated with thermal tolerance in notothenioids, including mitochondrial function, activities of aerobic and anaerobic enzymes, antioxidant defences, protein ubiquitination and degradation in cardiac, oxidative skeletal muscles and gill of Notothenia coriiceps warm acclimated to 4 degrees C for 22 days or 5 degrees C for 42 days. Levels of triacylglycerol (TAG) were measured in liver and oxidative and glycolytic skeletal muscles, and glycogen in liver and glycolytic muscle to assess changes in energy stores. Metabolic pathways displayed minimal thermal plasticity, yet antioxidant defences were lower in heart and oxidative skeletal muscles of warm-acclimated animals compared with animals held at ambient temperature. Despite higher metabolic rates at elevated temperature, energy storage depots of TAG and glycogen increase in liver and remain unchanged in muscle with warm acclimation. Overall, our studies reveal that N. coriiceps displays thermal plasticity in some key traits that may contribute to their survival as the Southern Ocean continues to warm.</t>
  </si>
  <si>
    <t>[O'Brien, Kristin M.; Oldham, Corey A.; Sarrimanolis, Jon; Fish, Autumn; Castellini, Luke; Lekanof, Hayley] Univ Alaska, Inst Arctic Biol, Fairbanks, AK 99775 USA; [Vance, Jenna; Crockett, Elizabeth L.] Ohio Univ, Dept Biol Sci, Athens, OH 45701 USA</t>
  </si>
  <si>
    <t>University of Alaska System; University of Alaska Fairbanks; University System of Ohio; Ohio University</t>
  </si>
  <si>
    <t>O'Brien, KM (corresponding author), Univ Alaska, Inst Arctic Biol, Fairbanks, AK 99775 USA.</t>
  </si>
  <si>
    <t>kmobrien@alaska.edu</t>
  </si>
  <si>
    <t>National Science Foundation [PLR-1341602, PLR-1341663]; Institutional Development Award (IDeA) from the National Institute of GeneralMedical Sciences of theNational Institutes of Health [2P20GM103395]</t>
  </si>
  <si>
    <t>National Science Foundation(National Science Foundation (NSF)); Institutional Development Award (IDeA) from the National Institute of GeneralMedical Sciences of theNational Institutes of Health(General Electric)</t>
  </si>
  <si>
    <t>Funding for this project was provided by grants from the National Science Foundation (PLR-1341602 to ELC and PLR-1341663 to KMO). J.S. was supported in part by an Institutional Development Award (IDeA) from the National Institute of GeneralMedical Sciences of theNational Institutes of Health under grant number 2P20GM103395. The content is solely the responsibility of the authors and does not necessarily reflect the official views of the NIH.</t>
  </si>
  <si>
    <t>coac054</t>
  </si>
  <si>
    <t>10.1093/conphys/coac054</t>
  </si>
  <si>
    <t>3M4GA</t>
  </si>
  <si>
    <t>WOS:000835419800001</t>
  </si>
  <si>
    <t>Sadokov, DO; Sapelko, TV; Bobrov, NY; Melles, M; Fedorov, GB</t>
  </si>
  <si>
    <t>Sadokov, D. O.; Sapelko, T. V.; Bobrov, N. Yu.; Melles, M.; Fedorov, G. B.</t>
  </si>
  <si>
    <t>Late Glacial and Early Holocene lacustrine sedimentation history of the northern Mologa-Sheksna Lowland derived from Lake Beloye sediments (NW Russia)</t>
  </si>
  <si>
    <t>Late Glacial; lacustrine sedimentation; X-ray fluorescence; climatostratigraphy; Holocene</t>
  </si>
  <si>
    <t>SCANDINAVIAN ICE-SHEET; CLIMATE OSCILLATIONS; FORMAL SUBDIVISION; RECORDS; CORE; SERIES/EPOCH; TERRESTRIAL; EVENT; RECONSTRUCTION; STRATIGRAPHY</t>
  </si>
  <si>
    <t>Few detailed case studies have been devoted so far to the Late Pleistocene palaeogeography of the northern Mologa-Sheksna Lowland (MSL), compared to adjacent regions covering the Valdai glaciation marginal zone. Lake Beloye (Russia, Vologda region, Babaevo district) bottom sediments were studied using ground penetrating radar (GPR) and subsequently were cored in order to build a palaeoclimatic reconstruction for the northern MSL, because lacustrine deposits are considered to be valuable and representative palaeoarchive of the area. Chronology of regional palaeoclimatic and palaeohydrological changes from the Bolling - Allerod warming to the Early Holocene was traced on the basis of inorganic and organic geochemistry, mineralogical proxies, grain-size, magnetic susceptibility, accelerator mass spectrometry radiocarbon dating and optical microanalysis. During the Late Glacial and the Pleistocene/Holocene transition in the northern MSL interstadial climatic conditions were determined at similar to 14.0 cal. ka BP (Bolling, stage GI-1e of the GICC05 timescale) and similar to 13.0 cal. ka BP (Allerod, stages GI-1c3 - GI-1a). A pronounced cold period associated with Younger Dryas (stage GS1) was registered in the multiproxy record at 12.8-11.7 cal. ka BP. High-resolution x-ray fluorescence (XRF) core scanning helped to reveal short-term cold events at similar to 13.7, similar to 13.1 and similar to 11.5 cal. ka BP, which were associated with Older Dryas (stage GI-1d), Gerzensee-Killarney oscillation (stage GI-1b) and Preboreal oscillation respectively, and warm episodes at similar to 13.2 and similar to 11.8 cal. ka BP, which presumably correspond to the end of the stage GI-1c1 and Greenlandian Stage/Age respectively. Ultimate interglacial (Holocene) climate onset within the MSL was attributed to similar to 11,7 cal. ka BP, which is marked by the sharp rise of total organic carbon content in the sediments and lithological changes to muddy fraction. Numerous water level oscillations occurred in the large proglacial lakeduring the last glacial termination, ending with Its final drainage in the northern MSL by similar to 10.9 cal. ka BP. The reconstructed palaeoclimatic dynamics is in overall agreements with the global reconstructions for the North Atlantic and Fennoscandia regions.</t>
  </si>
  <si>
    <t>[Sadokov, D. O.] Darwin State Nat Biosphere Reserve, 44 D Borok, Ononsky Dist 162723, Russia; [Sadokov, D. O.; Bobrov, N. Yu.; Fedorov, G. B.] St Petersburg State Univ, 7-9 Univ Skaya Nab, St Petersburg 199034, Russia; [Sapelko, T. V.] Russian Acad Sci, St Petersburg Fed Res Ctr, 39,14-ia Liniia, St Petersburg 199178, Russia; [Melles, M.] Univ Cologne, 100 Albertus Magnus Pl, D-50923 Cologne, Germany; [Fedorov, G. B.] Arctic &amp; Antarctic Res Inst, 38 Ul Beringa, St Petersburg 199397, Russia</t>
  </si>
  <si>
    <t>Saint Petersburg State University; Russian Academy of Sciences; St. Petersburg Federal Research Center of the Russian Academy of Sciences; University of Cologne; Arctic &amp; Antarctic Research Institute</t>
  </si>
  <si>
    <t>Sadokov, DO (corresponding author), Darwin State Nat Biosphere Reserve, 44 D Borok, Ononsky Dist 162723, Russia.;Sadokov, DO (corresponding author), St Petersburg State Univ, 7-9 Univ Skaya Nab, St Petersburg 199034, Russia.</t>
  </si>
  <si>
    <t>dmitriisadokov@gmail.com; tsapelko@mail.ru; n.bobrov@spbu.ru; mmelles@uni-koeln.de; g.fedorov@spbu.ru</t>
  </si>
  <si>
    <t>Fedorov, Grigory/N-5788-2019; Melles, Martin/J-4070-2012; Bobrov, Nikita/G-1749-2015</t>
  </si>
  <si>
    <t>Fedorov, Grigory/0000-0003-2269-4501; Melles, Martin/0000-0003-0977-9463; Bobrov, Nikita/0000-0002-3820-1356</t>
  </si>
  <si>
    <t>Russian Foundation for Basic Research [19-35-90026]; joint academic grant program Dmitrii Mendeleev of St Petersburg University; DAAD (German Academic Exchange Service); Darwin Nature Biosphere Reserve; Institute of Limnology RAS [0154-2019-0001]</t>
  </si>
  <si>
    <t>Russian Foundation for Basic Research(Russian Foundation for Basic Research (RFBR)Spanish Government); joint academic grant program Dmitrii Mendeleev of St Petersburg University; DAAD (German Academic Exchange Service)(Deutscher Akademischer Austausch Dienst (DAAD)); Darwin Nature Biosphere Reserve; Institute of Limnology RAS</t>
  </si>
  <si>
    <t>The research was funded by the Russian Foundation for Basic Research, project number 19-35-90026. Laboratory work was funded by the joint academic grant program Dmitrii Mendeleev of St Petersburg University and DAAD (German Academic Exchange Service). Fieldwork was supported by the research topics of Darwin Nature Biosphere Reserve (Palaeogeography of the Mologa-Sheksna Lowland, 2018) and Institute of Limnology RAS (Topic No. 0154-2019-0001).</t>
  </si>
  <si>
    <t>10.21638/spbu07.2022.204</t>
  </si>
  <si>
    <t>3J1WV</t>
  </si>
  <si>
    <t>WOS:000833193800004</t>
  </si>
  <si>
    <t>Ji, W; Peng, YH; Ji, HW</t>
  </si>
  <si>
    <t>Ji, Wei; Peng, Yuanhuai; Ji, Hongwu</t>
  </si>
  <si>
    <t>Purification and characterization of Antarctic krill chitinase and its role on free fluoride release from Antarctic krill cuticle</t>
  </si>
  <si>
    <t>FOOD SCIENCE AND TECHNOLOGY</t>
  </si>
  <si>
    <t>Antarctic krill cuticle; free fluoride; chitinase</t>
  </si>
  <si>
    <t>BETA-D-GLUCOSAMINIDASE; EUPHAUSIA-SUPERBA; MOLT CYCLE; INTEGUMENT; ANTIFUNGAL; CRUSTACEAN</t>
  </si>
  <si>
    <t>To investigate factors that influence free fluoride release in Antarctic krill cuticle, the enzyme properties of a chitinase from Antarctic krill were analyzed to identify its role on free fluoride release from Antarctic krill cuticle. The chitinase was purified by ammonium sulfate precipitation,ion and gel chromatography, and identified by matrix-assisted laser desorption/ionization time-of-flight mass spectrometry (MALDI-TOF-MS). The molecular mass of the chitinase purified from Antarctic krill was 59.0 kDa and its peptide sequences were similar to chitinase precursor sequences from Penaeus vannamei. The optimal pH of the chitinase was pH 6.5 and temperature 45 degrees C and exhibited high stability within pH 5.0-6.0 and temperatures below 35 degrees C. The chitinase activity was increased by Ca2+ and Mg2+, while inhibited by Fe2+, Cu2+ and Co2+. The purified chitinase had Km and Vmax values of 5.88 mmol/L and 2.11 mu mol/min.mL, respectively. The endogenous chitinase purified from Antarctic krill could degrade chitin fibers and induced the release of free fluoride from Antarctic krill cuticle. Under experimental conditions, the free fluoride release law in Antarctic krill cuticle can be described by equation: C-W = [1-0.98(-0.0111t) -0.02e(0.15t)]x175.52+10.80.</t>
  </si>
  <si>
    <t>[Ji, Wei] Guangdong Univ Educ, Coll Biol &amp; Food Engn, Guangzhou, Guangdong, Peoples R China; [Peng, Yuanhuai] Lingnan Normal Univ, Coll Food Sci &amp; Engn, Zhanjiang, Guangdong, Peoples R China; [Ji, Hongwu] Guangdong Ocean Univ, Coll Food Sci &amp; Technol, Zhanjiang, Guangdong, Peoples R China; [Ji, Hongwu] Guangdong Ocean Univ, Guangdong Prov Key Lab Aquat Prod Proc &amp; Safety, Zhanjiang, Guangdong, Peoples R China</t>
  </si>
  <si>
    <t>LingNan Normal University; Guangdong Ocean University; Guangdong Ocean University</t>
  </si>
  <si>
    <t>Ji, W (corresponding author), Guangdong Univ Educ, Coll Biol &amp; Food Engn, Guangzhou, Guangdong, Peoples R China.</t>
  </si>
  <si>
    <t>13536395190@163.com</t>
  </si>
  <si>
    <t>National Natural Science Foundation of China [31801614]; Modern Agro-industry Technology Research System of China [CARS-48]; Guangdong Provincial Key Laboratory of Aquatic Product Processing and Safety [GDPKLAPPS2005]</t>
  </si>
  <si>
    <t>National Natural Science Foundation of China(National Natural Science Foundation of China (NSFC)); Modern Agro-industry Technology Research System of China; Guangdong Provincial Key Laboratory of Aquatic Product Processing and Safety</t>
  </si>
  <si>
    <t>This work was co-supported by the National Natural Science Foundation of China (grant No. 31801614), the Modern Agro-industry Technology Research System of China (CARS-48) and Guangdong Provincial Key Laboratory of Aquatic Product Processing and Safety (GDPKLAPPS2005).</t>
  </si>
  <si>
    <t>SOC BRASILEIRA CIENCIA TECNOLOGIA ALIMENTOS</t>
  </si>
  <si>
    <t>CAMPINAS</t>
  </si>
  <si>
    <t>AV BRASIL 2880, CAXIA POSTAL 271 CEP 13001-970, CAMPINAS, SAO PAULO 00000, BRAZIL</t>
  </si>
  <si>
    <t>0101-2061</t>
  </si>
  <si>
    <t>1678-457X</t>
  </si>
  <si>
    <t>FOOD SCI TECH-BRAZIL</t>
  </si>
  <si>
    <t>Food Sci. Technol.</t>
  </si>
  <si>
    <t>e78021</t>
  </si>
  <si>
    <t>10.1590/fst.78021</t>
  </si>
  <si>
    <t>2Y7TF</t>
  </si>
  <si>
    <t>WOS:000826093700085</t>
  </si>
  <si>
    <t>Hansen-Magnusson, H</t>
  </si>
  <si>
    <t>Hansen-Magnusson, Hannes</t>
  </si>
  <si>
    <t>Making Polar and Ocean Governance Future-Proof</t>
  </si>
  <si>
    <t>POLITICS AND GOVERNANCE</t>
  </si>
  <si>
    <t>Antarctic Treaty System; arctic governance; law of the sea; oceans; responsibility</t>
  </si>
  <si>
    <t>RESPONSIBILITY; ANTHROPOCENE; DEMOCRACY; TREATY</t>
  </si>
  <si>
    <t>Governance institutions of the polar regions, as well as global oceans, may hold room for improvement in terms of effec-tiveness but, on the whole, their existence can be regarded as a success story. The arrangements managed to pool respon-sibility for regional resources amid Cold War geopolitics, mostly by delegating discussions to science committees. Changing global climate, however, provides considerable challenges to these governance arrangements. It begs the question of how the success story can be continued into the future. After sketching the emergence of polar and ocean governance and their core organizational principles during the 20th century, this article identifies some of the challenges linked to global warming that have been altering the context of governance fundamentally. The article discusses emerging issues that war-rant attention, but which may be difficult to accommodate in present governance networks. Ultimately, the article argues that anchoring principles of ???responsibility??? that take into account the relational quality of polar and ocean spaces is key to any institutional design that seeks to take governance arrangements into the 21st century and beyond.</t>
  </si>
  <si>
    <t>[Hansen-Magnusson, Hannes] Cardiff Univ, Dept Polit &amp; Int Relat, Cardiff, Wales</t>
  </si>
  <si>
    <t>Cardiff University</t>
  </si>
  <si>
    <t>Hansen-Magnusson, H (corresponding author), Cardiff Univ, Dept Polit &amp; Int Relat, Cardiff, Wales.</t>
  </si>
  <si>
    <t>hansen-magnusson@cardiff.ac.uk</t>
  </si>
  <si>
    <t>Hansen-Magnusson, Hannes/A-8322-2012</t>
  </si>
  <si>
    <t>Hansen-Magnusson, Hannes/0000-0002-9169-3257</t>
  </si>
  <si>
    <t>COGITATIO PRESS</t>
  </si>
  <si>
    <t>LISBON</t>
  </si>
  <si>
    <t>RUA FIALHO ALMEIDA 14, 2 ESQ, LISBON, 1070-129, PORTUGAL</t>
  </si>
  <si>
    <t>2183-2463</t>
  </si>
  <si>
    <t>POLITICS GOV</t>
  </si>
  <si>
    <t>Politics Gov.</t>
  </si>
  <si>
    <t>10.17645/pag.v10i3.5332</t>
  </si>
  <si>
    <t>3B4HI</t>
  </si>
  <si>
    <t>WOS:000827903300007</t>
  </si>
  <si>
    <t>Artamonov, YV; Skripaleva, EA; Nikolsky, NV</t>
  </si>
  <si>
    <t>Artamonov, Yu, V; Skripaleva, E. A.; Nikolsky, N., V</t>
  </si>
  <si>
    <t>Climatic Structure of the Dynamic and Temperature Fronts in the Scotia Sea and the Adjacent Water Areas</t>
  </si>
  <si>
    <t>PHYSICAL OCEANOGRAPHY</t>
  </si>
  <si>
    <t>Scotia Sea; Drake Passage; Weddell Sea; sea surface temperature; satellite altimetry; temperature horizontal gradients; geostrophic currents; bottom topography</t>
  </si>
  <si>
    <t>ANTARCTIC CIRCUMPOLAR CURRENT; DRAKE PASSAGE; ATLANTIC; VARIABILITY; CURRENTS; CIRCULATION; ZONES</t>
  </si>
  <si>
    <t>Purpose. The aim of the work is to clarify the spatial structure of the climatic dynamic fronts (geostrophic current jets) and to estimate the relationship between their position and that of the large-scale temperature fronts on the surface of the Scotia Sea and the adjacent water areas in the southwestern part of the Atlantic sector of Antarctica. Methods and Results. The daily averaged data arrays of the CMEMS (1993-2017) and NOAA OI SST (1982-2017) reanalysis at the regular 0.25 degrees grid were used. The CMEMS reanalysis contains the sea surface geostrophic velocity values, the NOAA OI SST reanalysis - the sea surface temperature ones which were reduced to the climatic form through their averaging for each month of the corresponding periods. Position of the current jets and the temperature fronts was determined using the maximums of the geostrophic velocity components and the extremes of the temperature horizontal gradients. The updated scheme of the average long-term position of dynamic fronts was constructed. It shows that in the areas of the most pronounced bottom topography inhomogeneities (the northern boundary of the Falkland Plateau and the Tierra del Fuego shelf, the boundaries of the Falkland Islands shelf and the Birdwood Bank, the Shackleton Ridge and the South Shetland Islands shelf), the fronts do not change their latitudinal position during a year. It is revealed that in most of the water area, the temperature horizontal gradient extremes (temperature fronts) correspond to the geostrophic velocity maximums (dynamic fronts). The Northern and Central Branches of the Antarctic Circumpolar Current are most clearly manifested in the temperature field. In general, in the water area under study, the average annual latitudinal position of the Subantarctic and Antarctic Polar Fronts is displaced to the south relative to the position of the Northern and Central branches jets of the Antarctic Circumpolar Current by 0.250.5 degrees and 0.25-1 degrees, respectively. Conclusions. It is shown that, being influenced by the bottom topography, the large-scale jets of geostrophic currents form intense topographic meanders and recirculation branches which are stably manifested on the climatic scale. The Antarctic Circumpolar Current branches being affected by the bottom topography, can merge forming the joint flows, and then diverge forming a system of separate jets again. It is found that the main spatial features of frontal structure in the geostrophic velocities field persist throughout the whole year and are conditioned mainly by the bottom topography. The most of the dynamic fronts are shown to be clearly pronounced in the temperature field on the surface during a year. A high level of linear correlation between the positions of temperature fronts and current jets was revealed; the correlation coefficient values are 0.6-0.97.</t>
  </si>
  <si>
    <t>[Artamonov, Yu, V; Skripaleva, E. A.; Nikolsky, N., V] Russian Acad Sci, Marine Hydrophys Inst, Sevastopol, Russia</t>
  </si>
  <si>
    <t>Marine Hydrophysical Institute of RAS; Russian Academy of Sciences</t>
  </si>
  <si>
    <t>Artamonov, YV (corresponding author), Russian Acad Sci, Marine Hydrophys Inst, Sevastopol, Russia.</t>
  </si>
  <si>
    <t>artam-ant@yandex.ru; sea-ant@yandex.ru; nikolsky.geo@gmail.com</t>
  </si>
  <si>
    <t>Nikolsky, Nikolay Viktorovich/KAU-5849-2024</t>
  </si>
  <si>
    <t>Nikolsky, Nikolay Viktorovich/0000-0002-3368-6745</t>
  </si>
  <si>
    <t>FSBSI FRC MHI [0555-2021-0004]</t>
  </si>
  <si>
    <t>FSBSI FRC MHI</t>
  </si>
  <si>
    <t>The work was carried out within the framework of the state assignment of FSBSI FRC MHI No. 0555-2021-0004 Fundamental studies of oceanological processes that determine state and evolution of marine environment under the influence of natural and anthropogenic factors based on the observation and modeling methods.</t>
  </si>
  <si>
    <t>FEDERAL STATE BUDGET SCIENTIFIC INST, MARINE HYDROPHYSICAL INST</t>
  </si>
  <si>
    <t>SEVASTOPOL</t>
  </si>
  <si>
    <t>pitanskaya Str., 2, SEVASTOPOL, 299011, CRIMEA</t>
  </si>
  <si>
    <t>0928-5105</t>
  </si>
  <si>
    <t>1573-160X</t>
  </si>
  <si>
    <t>PHYS OCEANOGR</t>
  </si>
  <si>
    <t>Phys. Oceanogr.</t>
  </si>
  <si>
    <t>10.22449/1573-160X-2022-2-117-138</t>
  </si>
  <si>
    <t>2T7RO</t>
  </si>
  <si>
    <t>WOS:000822667200001</t>
  </si>
  <si>
    <t>Khrystiuk, B; Gorbachova, L; Shpyg, V; Pishniak, D</t>
  </si>
  <si>
    <t>Khrystiuk, Borys; Gorbachova, Liudmyla; Shpyg, Vitalii; Pishniak, Denys</t>
  </si>
  <si>
    <t>Changes in extreme temperature indices at the Ukrainian Antarctic Akademik Vernadsky station, 1951-2020</t>
  </si>
  <si>
    <t>METEOROLOGY HYDROLOGY AND WATER MANAGEMENT-RESEARCH AND OPERATIONAL APPLICATIONS</t>
  </si>
  <si>
    <t>Antarctica; trend; climate change; extreme air temperature; extreme indices; RStudio Software</t>
  </si>
  <si>
    <t>CLIMATE-CHANGE</t>
  </si>
  <si>
    <t>In the late 20th century, warming on the Antarctic Peninsula was most pronounced compared to other parts of Antarctica. However, air temperature showed a significant variability, which has become especially evident in recent decades. Thus, the investigation of air temperature trends on the Antarctic Peninsula is important. This study examines the extreme air temperature at the Ukrainian Antarctic Akademik Vernadsky station, located on Galindez Island, Argentine Islands Archipelago, near the Antarctic Peninsula. For 1951 to 2020, based on the daily air temperature data, the temporal trends of extreme air temperature were analyzed, using 11 extreme temperature indices. Based on linear trend analysis and the Mann-Kendall trend test, the TXn, TNn, TN90p, and TN90p indices showed an upward trend, whereas theFD0, ID0, TN10p, TX10p, and DTR indices showed a downward trend. Among them, annually, FD0, ID0, and TN10p significantly decreased by -0.427 days, -0.452 days, and -0.465%, respectively, whereas TXn and TNn increased by 0.164 degrees C and 0.201 degrees C, respectively. The indices TXx and TNn showed no statistically significant trends. The average annual difference between TX and TN (index DTR) showed a nonsignificant decreasing trend at -0.029 degrees C year(-1). Thus, for the period of 1951-2020, the Ukrainian Antarctic Akademik Vernadsky station was subjected to warming.</t>
  </si>
  <si>
    <t>[Khrystiuk, Borys; Gorbachova, Liudmyla; Shpyg, Vitalii] Ukrainian Hydrometeorol Inst, Kiev, Ukraine; [Pishniak, Denys] Natl Antarctic Sci Ctr Ukraine, Kiev, Ukraine</t>
  </si>
  <si>
    <t>Khrystiuk, B (corresponding author), Ukrainian Hydrometeorol Inst, Kiev, Ukraine.</t>
  </si>
  <si>
    <t>Gorbachova, Liudmyla/0000-0003-1033-9385; Khrystiuk, Borys/0000-0003-4290-3745</t>
  </si>
  <si>
    <t>State Institution National Antarctic Scientific Center of the Ministry of Education and Science of Ukraine [H/10-2021]</t>
  </si>
  <si>
    <t>State Institution National Antarctic Scientific Center of the Ministry of Education and Science of Ukraine</t>
  </si>
  <si>
    <t>This research was conducted within project. H/10--2021Influenceofthermal2021 Influence of thermal regimeonsnowcoverregime on snow cover oftheAntarcticPeninsulaof the Antarctic Peninsula,, fundedbythe the State Institution National Antarctic Scientific Center of the Ministry of Education and Science of Ukraine</t>
  </si>
  <si>
    <t>INST METEOROLOGY &amp; WATER MANAGEMENT</t>
  </si>
  <si>
    <t>PODLESNA 61, WARSAW, 01673, POLAND</t>
  </si>
  <si>
    <t>2299-3835</t>
  </si>
  <si>
    <t>2353-5652</t>
  </si>
  <si>
    <t>METEOROL HYDROL WATE</t>
  </si>
  <si>
    <t>Meteorol. Hydrol. Water Manag.</t>
  </si>
  <si>
    <t>10.26491/mhwm/150883</t>
  </si>
  <si>
    <t>Water Resources</t>
  </si>
  <si>
    <t>2R3XD</t>
  </si>
  <si>
    <t>WOS:000821045300003</t>
  </si>
  <si>
    <t>Savchyn, I</t>
  </si>
  <si>
    <t>Savchyn, Ihor</t>
  </si>
  <si>
    <t>ESTABLISHING THE CORRELATION BETWEEN THE CHANGES OF ABSOLUTE ROTATION POLES OF MAJOR TECTONIC PLATES BASED ON CONTINUOUS GNSS STATIONS DATA</t>
  </si>
  <si>
    <t>ACTA GEODYNAMICA ET GEOMATERIALIA</t>
  </si>
  <si>
    <t>Rotation pole; Major tectonic plates; Continuous GNSS station; Correlation</t>
  </si>
  <si>
    <t>MOTION PARAMETERS; MODEL</t>
  </si>
  <si>
    <t>The purpose of the work is to establish the correlation between the change of absolute rotation poles of major tectonic plates based on continuous GNSS stations data. The work investigates 2804 continuous GNSS stations located on Pacific, North American, Eurasian, African, Antarctic, Australian and South American plates during 2002-2021. The components of recent horizontal displacements of continuous GNSS stations have been determined and a map of their distribution pattern has been constructed. The absolute rotation pole in ITRF2014/IGS14 reference frame of the studied tectonic plates has been determined. The obtained values are in good agreement with modern plate models. The definition of average annual rotation poles has been developed and their analysis has been carried out to research the dynamics of their change in time. It has been established that the change in the average annual rotation poles of the North American, African and South American plates occurs synchronously, while their change is asynchronous to the Pacific plate. Simultaneous changes in the average annual rotation poles of Antarctic and African plates were have also been identified.</t>
  </si>
  <si>
    <t>[Savchyn, Ihor] Lviv Polytech Natl Univ, Inst Geodesy, Karpinski St 6, UA-79013 Lvov, Ukraine</t>
  </si>
  <si>
    <t>Ministry of Education &amp; Science of Ukraine; Lviv Polytechnic National University</t>
  </si>
  <si>
    <t>Savchyn, I (corresponding author), Lviv Polytech Natl Univ, Inst Geodesy, Karpinski St 6, UA-79013 Lvov, Ukraine.</t>
  </si>
  <si>
    <t>ih.savchyn@gmail.com</t>
  </si>
  <si>
    <t>Savchyn, Ihor/AAH-2774-2019</t>
  </si>
  <si>
    <t>Savchyn, Ihor/0000-0002-5859-1515</t>
  </si>
  <si>
    <t>State Institution National Antarctic Scientific Center of the Ministry of Education and Science of Ukraine of the Ukrainian part of the Scientific and Research Programs [H/182020, H/22-2021]</t>
  </si>
  <si>
    <t>State Institution National Antarctic Scientific Center of the Ministry of Education and Science of Ukraine of the Ukrainian part of the Scientific and Research Programs</t>
  </si>
  <si>
    <t>Part of the work related to the AN plate study was done with the financial support of the State Institution National Antarctic Scientific Center of the Ministry of Education and Science of Ukraine of the Ukrainian part of the Scientific and Research Programs../182020 and./22-2021. The presented studies of other plates were not funded or supported in any other way. Authors grateful to the reviewers for their very constructive and useful comments that significantly improved the manuscript.</t>
  </si>
  <si>
    <t>ACAD SCI CZECH REPUBLIC INST ROCK STRUCTURE &amp; MECHANICS</t>
  </si>
  <si>
    <t>PRAGUE 8</t>
  </si>
  <si>
    <t>IRSM AS CR, V HOLESOVICKACH 41, PRAGUE 8, 182 09, CZECH REPUBLIC</t>
  </si>
  <si>
    <t>1214-9705</t>
  </si>
  <si>
    <t>ACTA GEODYN GEOMATER</t>
  </si>
  <si>
    <t>Acta Geodyn. Geomater.</t>
  </si>
  <si>
    <t>10.13168/AGG.2022.0006</t>
  </si>
  <si>
    <t>Geochemistry &amp; Geophysics; Mining &amp; Mineral Processing</t>
  </si>
  <si>
    <t>2S5WK</t>
  </si>
  <si>
    <t>WOS:000821862200007</t>
  </si>
  <si>
    <t>Ji, W; Zhang, CH; Song, C; Ji, HW</t>
  </si>
  <si>
    <t>Ji, Wei; Zhang, Chaohua; Song, Cai; Ji, Hongwu</t>
  </si>
  <si>
    <t>Three DPP-IV inhibitory peptides from Antarctic krill protein hydrolysate improve glucose levels in the zebrafish model of diabetes</t>
  </si>
  <si>
    <t>DPP-IV inhibitory peptides; diabetic zebrafish; glycemic level; Antarctic krill hydrolysate</t>
  </si>
  <si>
    <t>DIPEPTIDYL PEPTIDASE-4; HYPERGLYCEMIA; METABOLISM; IDENTIFICATION; ALOGLIPTIN; PRECURSORS; MELLITUS</t>
  </si>
  <si>
    <t>Ala-Pro (AP), Ile-Pro-Ala (IPA) and Ile-Pro-Ala-Val-Phe (IPAVF) as DPP-IV inhibitory peptides were purified from Antarctic krill protein hydrolysate (AKH). Diabetic zebrafish model was rapidly induced with combination of high glucose immersing and cholesterol diet for evaluation the three DPP-IV inhibitory peptides activity. Physiochemical indexes including DPP-IV activity, glucose, triglyceride and cholesterol; the relative gene (insa, glucagon and pck1) expressions levels were detected. The results showed that after 15 days of peptides treatment, the physiochemical index levels of peptide groups were significantly higher than that of negative control and showed dose-dependent effect. The insa gene expression level would be increased with the enhancement of peptide concentration, whereas gene expression levels of glucagon and pck1 would be decreased. These results indicated that three peptides all had hypoglycemic effects in different degree. It suggested the potential of AKH containing DPP-IV inhibitory peptides could be as functional food supplement to treat diabetes.</t>
  </si>
  <si>
    <t>[Ji, Wei] Guangdong Univ Educ, Coll Biol &amp; Food Engn, Guangzhou, Guangdong, Peoples R China; [Zhang, Chaohua; Ji, Hongwu] Guangdong Ocean Univ, Guangdong Prov Key Lab Aquat Prod Proc &amp; Safety, Zhanjiang, Guangdong, Peoples R China; [Zhang, Chaohua; Song, Cai; Ji, Hongwu] Guangdong Ocean Univ, Coll Food Sci &amp; Technol, Zhanjiang, Guangdong, Peoples R China</t>
  </si>
  <si>
    <t>Guangdong Ocean University; Guangdong Ocean University</t>
  </si>
  <si>
    <t>zhang, chao/HTO-2468-2023; Zhang, Chaoyang/JPK-5044-2023; zhang, chao/IXD-9965-2023</t>
  </si>
  <si>
    <t>Modern Agro-industry Technology Research System of China [CARS-48]; National Natural Science Foundation of China [31801614]; Fund of Guangdong Provincial Key Laboratory of Aquatic Products Processing and Safety of China [GDPKLAPPS1703]</t>
  </si>
  <si>
    <t>Modern Agro-industry Technology Research System of China; National Natural Science Foundation of China(National Natural Science Foundation of China (NSFC)); Fund of Guangdong Provincial Key Laboratory of Aquatic Products Processing and Safety of China</t>
  </si>
  <si>
    <t>We greatly appreciate the assistance provided by the staff of the Research Institute for Marine Drugs and Nutrition of Guangdong Ocean University. We also thank all volunteers for their participation in the study. This work was co-supported by the Modern Agro-industry Technology Research System of China (CARS-48) , National Natural Science Foundation of China (No. 31801614) , Fund of Guangdong Provincial Key Laboratory of Aquatic Products Processing and Safety (GDPKLAPPS1703) of China.</t>
  </si>
  <si>
    <t>10.1590/fst.58920</t>
  </si>
  <si>
    <t>2N7XB</t>
  </si>
  <si>
    <t>WOS:000818587000031</t>
  </si>
  <si>
    <t>Simoes, JC; Cartes, ML; Sayao, JM</t>
  </si>
  <si>
    <t>Simoes, Jefferson C.; Cartes, Marcelo Leppe; Sayao, Juliana M.</t>
  </si>
  <si>
    <t>Forty years of Brazilian Antarctic research: A tribute to Professor Antonio Carlos Rocha-Campos FOREWORD</t>
  </si>
  <si>
    <t>ANAIS DA ACADEMIA BRASILEIRA DE CIENCIAS</t>
  </si>
  <si>
    <t>[Simoes, Jefferson C.] Univ Fed Rio Grande Sul UFRGS, Ctr Polar &amp; Climat, Inst Geociencias, Av Bento Goncalves 9500, BR-90650001 Porto Alegre, RS, Brazil; [Simoes, Jefferson C.] Univ Maine, Climate Change Inst, Orono, ME 04469 USA; [Cartes, Marcelo Leppe] Inst Antartico Chileno, Plaza Munoz Gamero, Punta Arenas 1055, Chile; [Sayao, Juliana M.] Univ Fed Rio de Janeiro, Lab Paleobiol &amp; Paleogeog Antart, Museu Nacl, Quinta Boa Vista S-N, BR-29040040 Rio De Janeiro, RJ, Brazil</t>
  </si>
  <si>
    <t>Universidade Federal do Rio Grande do Sul; University of Maine System; University of Maine Orono; Universidade Federal do Rio de Janeiro</t>
  </si>
  <si>
    <t>Simoes, JC (corresponding author), Univ Fed Rio Grande Sul UFRGS, Ctr Polar &amp; Climat, Inst Geociencias, Av Bento Goncalves 9500, BR-90650001 Porto Alegre, RS, Brazil.;Simoes, JC (corresponding author), Univ Maine, Climate Change Inst, Orono, ME 04469 USA.</t>
  </si>
  <si>
    <t>Leppe, Marcelo/L-5447-2014; Simoes, Jefferson Cardia/D-7232-2013</t>
  </si>
  <si>
    <t>Leppe, Marcelo/0000-0002-1545-8167; Simoes, Jefferson Cardia/0000-0001-5555-3401; Sayao, juliana/0000-0002-3619-0323</t>
  </si>
  <si>
    <t>ACAD BRASILEIRA DE CIENCIAS</t>
  </si>
  <si>
    <t>RIO JANEIRO</t>
  </si>
  <si>
    <t>RUA ANFILOFIO DE CARVALHO, 29, 3 ANDAR, 20030-060 RIO JANEIRO, BRAZIL</t>
  </si>
  <si>
    <t>0001-3765</t>
  </si>
  <si>
    <t>1678-2690</t>
  </si>
  <si>
    <t>AN ACAD BRAS CIENC</t>
  </si>
  <si>
    <t>An. Acad. Bras. Cienc.</t>
  </si>
  <si>
    <t>e20220493</t>
  </si>
  <si>
    <t>10.1590/0001-3765202220220493</t>
  </si>
  <si>
    <t>2N9OP</t>
  </si>
  <si>
    <t>WOS:000818700600001</t>
  </si>
  <si>
    <t>Krumova, ET; Koeva, EK; Stoitsova, SR; Paunova-Krasteva, TS; Stoyancheva, GD; Angelova, MB</t>
  </si>
  <si>
    <t>Krumova, Ekaterina Ts; Koeva, Ekaterina K.; Stoitsova, Stoyanka R.; Paunova-Krasteva, Tsvetelina S.; Stoyancheva, Galina D.; Angelova, Maria B.</t>
  </si>
  <si>
    <t>Cell response of Antarctic strain Penicillium griseofulvum against low temperature stress</t>
  </si>
  <si>
    <t>Antarctic; filamentous fungi; oxidative stress; biomarkers; antioxidant enzymes</t>
  </si>
  <si>
    <t>SACCHAROMYCES-CEREVISIAE; PROTEIN CARBONYLATION; SUPEROXIDE-DISMUTASE; FILAMENTOUS FUNGUS; TREHALOSE; YEAST; TOLERANCE; GLYCOGEN; PATHOGENESIS; ADAPTATION</t>
  </si>
  <si>
    <t>During the evolution organisms are subjected to the continuous impact of environmental factors. In recent years an increasing number of studies have focused on the physicochemical limits of life on Earth such as temperature, pressure, drought, salt content, pH, heavy metals, etc. Extreme environmental conditions disrupt the most important interactions that support the function and structure of biomolecules. For this reason, organisms inhabiting extreme habitats have recently become of particularly great interest. Although filamentous fungi are an important part of the polar ecosystem, information about their distribution and diversity, as well as their adaptation mechanisms, is insufficient. In the present study, the fungal strain Penicillium griseofulvum isolated from an Antarctic soil sample was used as a study model. The fungal cellular response against short term exposure to low temperature was observed. Our results clearly showed that short-term low temperature exposure caused oxidative stress in fungal cells and resulted in enhanced level of oxidative damaged proteins, accumulation of reserve carbohydrates and increased activity of the antioxidant enzyme defence. Ultrastructural changes in cell morphology were analysed. Different pattern of cell pathology provoked by the application of two stress temperatures was detected. Overall, this study aimed to observe the survival strategy of filamentous fungi in extremely cold habitats, and to acquire new knowledge about the relationship between low temperature and oxidative stress.</t>
  </si>
  <si>
    <t>[Krumova, Ekaterina Ts; Koeva, Ekaterina K.; Stoitsova, Stoyanka R.; Paunova-Krasteva, Tsvetelina S.; Stoyancheva, Galina D.; Angelova, Maria B.] Bulgarian Acad Sci, Stephan Angeloff Inst Microbiol, 26 Acad G Bonchev Str, Sofia 1113, Bulgaria</t>
  </si>
  <si>
    <t>Bulgarian Academy of Sciences; Stephan Angeloff Institute of Microbiology, Bulgarian Academy of Sciences</t>
  </si>
  <si>
    <t>Krumova, ET (corresponding author), Bulgarian Acad Sci, Stephan Angeloff Inst Microbiol, 26 Acad G Bonchev Str, Sofia 1113, Bulgaria.</t>
  </si>
  <si>
    <t>ekrumova@abv.bg</t>
  </si>
  <si>
    <t>This work was supported by the Bulgarian National Science Fund (DN-01/1-2016) to which we owe our sincere thanks. We thank the anonymous reviewers whose comments helped improve and clarify this manuscript.</t>
  </si>
  <si>
    <t>10.24425/ppr.2021.138587</t>
  </si>
  <si>
    <t>2I8UL</t>
  </si>
  <si>
    <t>WOS:000815246500002</t>
  </si>
  <si>
    <t>Kökyay, F</t>
  </si>
  <si>
    <t>Kokyay, Ferhat</t>
  </si>
  <si>
    <t>Impact of security dilemma on Antarctic militarization</t>
  </si>
  <si>
    <t>Antarctic governance; Antarctic Treaty System; military activity; Antarctic security</t>
  </si>
  <si>
    <t>In addition to establishing an exclusive governance system in a vast area of the earth, The Antarctic Treaty is of great importance also in terms of aiming to keep a region away from military activities. In order to carry Antarctica???s dedication to peace and science to future generations, it is necessary to avoid the militarization of the Continent. However, factors such as the ever-growing need for the Continent???s resources, increasing human activities in the Continent due to global warming, and the advancing use of dual-use scientific/military equipment due to technological developments pose a danger as the militarization of the Continent and the Southern Ocean. In this study, the risk of the recent activities of the parties to create a security dilemma and the potential of the security dilemma to increase the Continent???s militarization are analyzed.</t>
  </si>
  <si>
    <t>[Kokyay, Ferhat] Nisantasi Univ, Fac Econ Adm &amp; Social Sci, TR-34485 Maslak, Turkey</t>
  </si>
  <si>
    <t>Nisantasi University</t>
  </si>
  <si>
    <t>Kökyay, F (corresponding author), Nisantasi Univ, Fac Econ Adm &amp; Social Sci, TR-34485 Maslak, Turkey.</t>
  </si>
  <si>
    <t>ferhat.kokyay@nisantasi.edu.tr</t>
  </si>
  <si>
    <t>kökyay, ferhat/AEG-9604-2022; Kökyay, ferhat/JDW-9168-2023</t>
  </si>
  <si>
    <t>Kökyay, ferhat/0000-0001-5883-7071</t>
  </si>
  <si>
    <t>10.24425/ppr.2022.140362</t>
  </si>
  <si>
    <t>WOS:000815246500004</t>
  </si>
  <si>
    <t>González, PM; Fernández, MJ; Sierra, NL; Cárdenas, NF</t>
  </si>
  <si>
    <t>Mancilla Gonzalez, Pablo; Jara Fernandez, Mauricio; Llanos Sierra, Nelson; Farias Cardenas, Nadia</t>
  </si>
  <si>
    <t>ANTARCTIC EDUCATION IN THE SUBJECT OF HISTORY, GEOGRAPHYAND SOCIAL SCIENCES IN CHILE, 1988-2022. RESEARCH AND DIAGNOSIS ON ITS INCLUSION IN THE FORMAL CURRICULUM</t>
  </si>
  <si>
    <t>REVISTA ESTUDIOS HEMISFERICOS Y POLARES</t>
  </si>
  <si>
    <t>Spanish</t>
  </si>
  <si>
    <t>Chilean Antarctic Territory; Antarctic Education; History; Geography and Social Sciences</t>
  </si>
  <si>
    <t>Since the end of the 19th century, and especially since the delimitation of the Chilean Antarctic Territory by Supreme Decree No. 1,747 of November 1940, the presence and actions of Chile in the sub-Antarctic and Antarctic seas and lands south of Cape Horn have been matters of interest to historians, geographers, jurists, diplomats, scientists, among others, however, in the educational field, research on 'antarctic education' will only appear towards the end of the 20th century; thus, this article aims to identify these investigations and reflect on the diagnosis they make on the incorporation of antarctic content in the formal curriculum, mainly in the subject of History, Geography and Social Sciences between the years 1988 and 2022 and, likewise, subserve the construction of theoretical frameworks and bibliographic discussions on this important educational issue in the country.</t>
  </si>
  <si>
    <t>[Mancilla Gonzalez, Pablo; Jara Fernandez, Mauricio; Llanos Sierra, Nelson; Farias Cardenas, Nadia] Univ Playa Ancha, Valparaiso, Chile</t>
  </si>
  <si>
    <t>Universidad de Playa Ancha</t>
  </si>
  <si>
    <t>González, PM; Fernández, MJ; Sierra, NL; Cárdenas, NF (corresponding author), Univ Playa Ancha, Fac Humanidades, Av Playa Ancha 850, Valparaiso, Chile.</t>
  </si>
  <si>
    <t>pablo.mancilla@upla.cl; mjara@upla.cl; nelson.llanos@upla.cl; nadia.farias@upla.cl</t>
  </si>
  <si>
    <t>CENTRO ESTUDIOS HEMISFERICOS &amp; POLARES</t>
  </si>
  <si>
    <t>VINA DEL MAR</t>
  </si>
  <si>
    <t>CALLE ROMA, 116, CALETA ABARCA, VINA DEL MAR, 2580060, CHILE</t>
  </si>
  <si>
    <t>0718-9230</t>
  </si>
  <si>
    <t>REV ESTUD HEMISFERIC</t>
  </si>
  <si>
    <t>Rev. Estud. Hemisfericos Polares</t>
  </si>
  <si>
    <t>JAN-JUN</t>
  </si>
  <si>
    <t>Area Studies</t>
  </si>
  <si>
    <t>1Y0EJ</t>
  </si>
  <si>
    <t>WOS:000807819400004</t>
  </si>
  <si>
    <t>Guerrero, ALD; Espasa, LC</t>
  </si>
  <si>
    <t>del Valle Guerrero, Ana Lia; Claudia Espasa, Loreana</t>
  </si>
  <si>
    <t>ANTARCTICA AS A POLITICAL TERRITORY. CARTOGRAPHY OF POWER AND GEOPOLITICAL DISPUTES IN SPACE VALORIZATION</t>
  </si>
  <si>
    <t>Antarctica; Geopolitics; Political Territory; Space Valorization</t>
  </si>
  <si>
    <t>Antarctica is approached from a Latin American and global perspective from geopolitics and the critical vision of power cartography linked to changes in Antarctic space valorization. Based on the theoretical framework of the Geopolitics of Knowledge, Decolonial Thought and the New Political Geography, the dimensions of Antarctica as a political territory are analyzed: symbolic, functional, and material. It identifies geopolitical changes imposed on its valorization at global and national level. The future scenarios of the mid-21st century will depend on the evolution of geopolitical disputes in the valorization of Antarctic space.</t>
  </si>
  <si>
    <t>[del Valle Guerrero, Ana Lia; Claudia Espasa, Loreana] Univ Nacl Sur, Bahia Blanca, Buenos Aires, Argentina</t>
  </si>
  <si>
    <t>National University of the South</t>
  </si>
  <si>
    <t>Guerrero, ALD; Espasa, LC (corresponding author), Univ Nacl Sur, Dept Geog &amp; Turismo, 12 Octubre &amp; San Juan 4to Piso, RA-8000 Bahia Blanca, Buenos Aires, Argentina.</t>
  </si>
  <si>
    <t>aguerrero@uns.edu.ar; loreana.espasa@uns.edu.ar</t>
  </si>
  <si>
    <t>WOS:000807819400005</t>
  </si>
  <si>
    <t>Pirotta, E</t>
  </si>
  <si>
    <t>Pirotta, Enrico</t>
  </si>
  <si>
    <t>A review of bioenergetic modelling for marine mammal populations</t>
  </si>
  <si>
    <t>population consequences of disturbance; pinnipeds; individual-based modelling; energy budgets; cetaceans; bioenergetic models</t>
  </si>
  <si>
    <t>STELLER SEA LIONS; ANTARCTIC FUR SEALS; BODY-COMPOSITION; ANTHROPOGENIC DISTURBANCE; EUMETOPIAS-JUBATUS; FOOD-CONSUMPTION; METABOLIC-RATES; KILLER WHALES; BIOMASS CONSUMPTION; FORAGING ENERGETICS</t>
  </si>
  <si>
    <t>Bioenergetic models describe the processes through which animals acquire energy from resources in the environment and allocate it to different life history functions. They capture some of the fundamental mechanisms regulating individuals, populations and ecosystems and have thus been used in a wide variety of theoretical and applied contexts. Here, I review the development of bioenergetic models for marine mammals and their application to management and conservation. For these long-lived, wide-ranging species, bioenergetic approaches were initially used to assess the energy requirements and prey consumption of individuals and populations. Increasingly, models are developed to describe the dynamics of energy intake and allocation and predict how resulting body reserves, vital rates and population dynamics might change as external conditions vary. The building blocks required to develop such models include estimates of intake rate, maintenance costs, growth patterns, energy storage and the dynamics of gestation and lactation, as well as rules for prioritizing allocation. I describe how these components have been parameterized for marine mammals and highlight critical research gaps. Large variation exists among available analytical approaches, reflecting the large range of life histories, management needs and data availability across studies. Flexibility in modelling strategy has supported tailored applications to specific case studies but has resulted in limited generality. Despite the many empirical and theoretical uncertainties that remain, bioenergetic models can be used to predict individual and population responses to environmental change and other anthropogenic impacts, thus providing powerful tools to inform effective management and conservation. Bioenergetic models describe energy acquisition and allocation. In marine mammals, they have been used to quantify prey consumption and predict the consequences of disturbance. I describe how model components have been parameterized and highlight research gaps. Despite a lack of generality, bioenergetic modelling provides a powerful management and conservation tool.</t>
  </si>
  <si>
    <t>[Pirotta, Enrico] Univ St Andrews, Ctr Res Ecol &amp; Environm Modelling, St Andrews KY16 9LZ, Fife, Scotland</t>
  </si>
  <si>
    <t>University of St Andrews</t>
  </si>
  <si>
    <t>Pirotta, E (corresponding author), Univ St Andrews, Ctr Res Ecol &amp; Environm Modelling, St Andrews KY16 9LZ, Fife, Scotland.</t>
  </si>
  <si>
    <t>ep343@st-andrews.ac.uk</t>
  </si>
  <si>
    <t>U.S. Office of Naval Research [N000142012392]; Marine Mammal Commission [MMC21-056]; U.S. Department of Defense (DOD) [N000142012392] Funding Source: U.S. Department of Defense (DOD)</t>
  </si>
  <si>
    <t>U.S. Office of Naval Research(Office of Naval Research); Marine Mammal Commission; U.S. Department of Defense (DOD)(United States Department of Defense)</t>
  </si>
  <si>
    <t>This work was supported by the U.S. Office of Naval Research [grant number N000142012392] and the Marine Mammal Commission [award number MMC21-056].</t>
  </si>
  <si>
    <t>coac036</t>
  </si>
  <si>
    <t>10.1093/conphys/coac036</t>
  </si>
  <si>
    <t>2H5KS</t>
  </si>
  <si>
    <t>WOS:000814333800001</t>
  </si>
  <si>
    <t>Thompson, NS; Caissie, BE</t>
  </si>
  <si>
    <t>Thompson, Natalie S.; Caissie, Beth E.</t>
  </si>
  <si>
    <t>Evaluating the paleoenvironmental significance of sediment grain size in Bering Sea sediments during Marine Isotope Stage 11</t>
  </si>
  <si>
    <t>STRATIGRAPHY</t>
  </si>
  <si>
    <t>Marine Isotope Stage 11; Bering Sea; Marine sediments; Grain size; Ice-rafted debris; Contourites</t>
  </si>
  <si>
    <t>ICE-RAFTED DETRITUS; SORTABLE SILT; ANTARCTIC PENINSULA; INTERMEDIATE WATER; PALEOCURRENT SPEED; SURFACE SEDIMENTS; NORTH PACIFIC; SLOPE CURRENT; SHELF; CONTOURITES</t>
  </si>
  <si>
    <t>Grain size is an important textural property of sediments and is widely used in paleoenvironmental studies as a means to infer changes in the sedimentary environment. However, grain size parameters are not always easy to interpret without a full understanding of the factors that influence grain size. Here, we measure grain size in sediment cores from the Bering slope and the Umnak Plateau, and review the effectiveness of different grain size parameters as proxies for sediment transport, current strength, and primary productivity, during a past warm interval (Marine Isotope Stage 11, 424-374 ka). In general, sediments in the Bering Sea are hemipelagic, making them ideal deposits for paleoenvironmental reconstructions, but there is strong evidence in the grain size distribution for contourite deposits between similar to 408-400 ka at the slope sites, suggesting a change in bottom current transport at this time. We show that the grain size of coarse (&gt;150 mu m) terrigenous sediment can be used effectively as a proxy for ice rafting, although it is not possible to distinguish between iceberg and sea ice rafting processes, based on grain size alone. We find that the mean grain size of bulk sediments can be used to infer changes in productivity on glacial-interglacial timescales, but the size and preservation of diatom valves also exert a control on mean grain size. Lastly, we show that the mean size of sortable silt (10-63 mu m) is not a valid proxy for bottom current strength in the Bering Sea, because the input of ice-rafted silt confounds the sortable silt signal.</t>
  </si>
  <si>
    <t>[Thompson, Natalie S.; Caissie, Beth E.] Iowa State Univ, Dept Geol &amp; Atmospher Sci, Ames, IA 50011 USA; [Caissie, Beth E.] US Geol Survey, 345 Middlefield Rd, Menlo Pk, CA 94025 USA</t>
  </si>
  <si>
    <t>Iowa State University; United States Department of the Interior; United States Geological Survey</t>
  </si>
  <si>
    <t>Caissie, BE (corresponding author), Iowa State Univ, Dept Geol &amp; Atmospher Sci, Ames, IA 50011 USA.;Caissie, BE (corresponding author), US Geol Survey, 345 Middlefield Rd, Menlo Pk, CA 94025 USA.</t>
  </si>
  <si>
    <t>bcaissie@usgs.gov</t>
  </si>
  <si>
    <t>Caissie, Beth/HKO-7944-2023</t>
  </si>
  <si>
    <t>Caissie, Beth/0000-0001-9587-1842</t>
  </si>
  <si>
    <t>National Science Foundation Office of Polar Programs [1903724/2110923]</t>
  </si>
  <si>
    <t>We thank Kate Staebell for helping to analyze grain size data and Mark Mathison for technical assistance with the Mastersizer. We also thank our reviewers, Jason Chaytor, Thomas Cronin, and Laura Gemery, for their careful reading of our manuscript, and their insightful comments. This work was partially funded by the National Science Foundation Office of Polar Programs under Grant No. 1903724/2110923. Any use of trade, firm, or product names is for descriptive purposes only and does not imply endorsement by the U.S. Government.</t>
  </si>
  <si>
    <t>MICRO PRESS</t>
  </si>
  <si>
    <t>FLUSHING</t>
  </si>
  <si>
    <t>6530 KISSENA BLVD, FLUSHING, NY 11367 USA</t>
  </si>
  <si>
    <t>1547-139X</t>
  </si>
  <si>
    <t>2331-656X</t>
  </si>
  <si>
    <t>Stratigraphy</t>
  </si>
  <si>
    <t>10.29041/strat.19.2.03</t>
  </si>
  <si>
    <t>Geology; Paleontology</t>
  </si>
  <si>
    <t>2H4MM</t>
  </si>
  <si>
    <t>WOS:000814270600003</t>
  </si>
  <si>
    <t>Shams, SB; Walden, V; Hannigan, JW; Turner, DD</t>
  </si>
  <si>
    <t>Bahramvash Shams, Shima; Walden, Von P.; Hannigan, James W.; Turner, David D.</t>
  </si>
  <si>
    <t>Retrievals of Ozone in the Troposphere and Lower Stratosphere Using FTIR Observations Over Greenland</t>
  </si>
  <si>
    <t>Gases; Uncertainty; Atmospheric measurements; Clouds; Measurement uncertainty; Instruments; Standards; Atmospheric measurements; infrared radiometry; remote sensing</t>
  </si>
  <si>
    <t>EMITTED RADIANCE INTERFEROMETER; VERTICAL-DISTRIBUTION; CLOUD PROPERTIES; ANTARCTIC PLATEAU; WATER-VAPOR; PART II; TRENDS; TEMPERATURE; VARIABILITY; CONTINUUM</t>
  </si>
  <si>
    <t>When retrieving geophysical parameters, it is advantageous to have an estimate of prior information that is based on observations with associated uncertainties, but this is often not possible. Long-term ground-based remote sensing measurements and the ozonesonde program at Summit Station, Greenland, provide an opportunity to create a unique framework to retrieve atmospheric ozone using observationally based prior information in the Arctic. This study investigates the potential of using the ground-based polar atmospheric emitted radiance interferometer (P-AERI) to estimate ozone below 10 km. Downlooking or limb-viewing sensors, such as those from satellites, have limited sensitivity to the lower atmosphere; however, uplooking, ground-based instruments provide complementary information to satellite observations to improve trace gas estimates at lower atmospheric levels. Modern-Era Retrospective Analysis for Research and Application, version 2 (MERRA-2) is a reanalysis product that integrates satellite information but also inherits their higher uncertainties at lower atmospheric levels. An observation-based climatology of the uncertainty in the MERRA-2 ozone dataset is estimated using ozonesondes launched at Summit Station. MERRA-2 shows high accuracy in the middle stratosphere but larger uncertainties below 10 km. Retrievals that use spectral radiance measurements from the P-AERI improve the estimates of ozone concentrations in the troposphere and lower stratosphere by using prior information from MERRA-2 and our climatology of MERRA-2 uncertainties as the covariance of the prior. Using ozonesonde observations from 2012 to 2017 at Summit Station, Greenland, the quality of the retrieved results is assessed. Comparisons show that retrieved partial columns reduce the bias of MERRA-2 ozone estimation below 10 km, and the average tropospheric ozone concentration is improved significantly.</t>
  </si>
  <si>
    <t>[Bahramvash Shams, Shima; Hannigan, James W.] Natl Ctr Atmospher Res, Res Applicat Lab, Boulder, CO 80301 USA; [Walden, Von P.] Washington State Univ, Dept Civil &amp; Environm Engn, Pullman, WA 99164 USA; [Turner, David D.] Natl Ocean &amp; Atmospher Adm, Global Syst Lab, Boulder, CO 80305 USA</t>
  </si>
  <si>
    <t>National Center Atmospheric Research (NCAR) - USA; Washington State University; National Oceanic Atmospheric Admin (NOAA) - USA</t>
  </si>
  <si>
    <t>Shams, SB (corresponding author), Natl Ctr Atmospher Res, Res Applicat Lab, Boulder, CO 80301 USA.</t>
  </si>
  <si>
    <t>sshams@ucar.edu; v.walden@wsu.edu; jamesw@ucar.edu; dave.turner@noaa.gov</t>
  </si>
  <si>
    <t>National Science Foundation (NSF) [PLR-1420932, PLR-1414314, NNA-1801764]; National Center for Atmospheric Research - NSF [1755088]; National Aeronautics and Space Administration (NASA); Div Atmospheric &amp; Geospace Sciences; Directorate For Geosciences [1755088] Funding Source: National Science Foundation</t>
  </si>
  <si>
    <t>National Science Foundation (NSF)(National Science Foundation (NSF)National Research Foundation of Korea); National Center for Atmospheric Research - NSF(National Science Foundation (NSF)NSF - Directorate for Geosciences (GEO)); National Aeronautics and Space Administration (NASA)(National Aeronautics &amp; Space Administration (NASA)); Div Atmospheric &amp; Geospace Sciences; Directorate For Geosciences(National Science Foundation (NSF)NSF - Directorate for Geosciences (GEO))</t>
  </si>
  <si>
    <t>This work was supported by the National Science Foundation (NSF) under Grant PLR-1420932, Grant PLR-1414314, and Grant NNA-1801764; and in part by the National Center for Atmospheric Research, which is a major facility sponsored by the NSF under Grant 1755088. The work of James W. Hannigan was supported under contract by the National Aeronautics and Space Administration (NASA).</t>
  </si>
  <si>
    <t>10.1109/TGRS.2022.3180626</t>
  </si>
  <si>
    <t>2E9IQ</t>
  </si>
  <si>
    <t>WOS:000812534600019</t>
  </si>
  <si>
    <t>Gou, RJ; Liu, YH; Wang, CC</t>
  </si>
  <si>
    <t>Gou, Ruijian; Liu, Yuhang; Wang, Chengcheng</t>
  </si>
  <si>
    <t>The Controlling Mechanisms of the Recent Global Warming Hiatus: A Focus on the Internal Variabilities</t>
  </si>
  <si>
    <t>TELLUS SERIES A-DYNAMIC METEOROLOGY AND OCEANOGRAPHY</t>
  </si>
  <si>
    <t>global warming hiatus; internal variabilities; Interdecadal Pacific Oscillation; Atlantic Multidecadal Oscillation; ocean heat content</t>
  </si>
  <si>
    <t>OCEAN HEAT UPTAKE; ATLANTIC MULTIDECADAL OSCILLATION; SURFACE-TEMPERATURE; DECADAL MODULATION; TROPICAL PACIFIC; CLIMATE-CHANGE; SEA-LEVEL; SLOWDOWN; CIRCULATION; MODEL</t>
  </si>
  <si>
    <t>A flattening trend of global surface temperature from 1998 to 2013 is generally referred to global warming hiatus. In this review, its basics and controlling mechanisms are the focuses with the latter receiving more attention. The mechanisms for the hiatus are largely derived from internal climate variabilities which could be divided into sea surface temperature (SST) and energy variabilities. The major SST variabilities are Interdecadal Pacific Oscillation (IPO) and Atlantic Multi-decadal Oscillation (AMO). The negative phase of IPO during the hiatus is associated with strengthened Pacific trade winds that enhance subsurface heat uptake, which is generally thought to be the predominant mechanism for the hiatus. Furthermore, AMO influences the global surface temperature at decadal time scales, or even the IPO, which ore considered to be the main drivers of hiatus. As for the energy variabilities. vertical uptake and interbasin redistribution of heat are also suggested to be capable of leading to a hiatus period. There was significant warming of global ocean below 700 m during the hiatus as an evidence for the storage of excessive heat in deep ocean. And various heat redistribution patterns like those through ITF or AMOC could also play a significant role in regulating the hiatus.</t>
  </si>
  <si>
    <t>[Gou, Ruijian] Ocean Univ China, Key Lab Phys Oceanog, Qingdao, Peoples R China; [Gou, Ruijian] Ocean Univ China, Frontiers Sci Ctr Deep Ocean Multispheres &amp; Earth, Qingdao, Peoples R China; [Gou, Ruijian; Liu, Yuhang; Wang, Chengcheng] Ocean Univ China, Coll Ocean &amp; Atmospher Sci, Qingdao, Peoples R China; [Liu, Yuhang] Univ Tasmania, Inst Marine &amp; Antarctic Studies, Hobart, Tas, Australia</t>
  </si>
  <si>
    <t>Ocean University of China; Ocean University of China; Ocean University of China; University of Tasmania</t>
  </si>
  <si>
    <t>Gou, RJ (corresponding author), Ocean Univ China, Key Lab Phys Oceanog, Qingdao, Peoples R China.;Gou, RJ (corresponding author), Ocean Univ China, Frontiers Sci Ctr Deep Ocean Multispheres &amp; Earth, Qingdao, Peoples R China.;Gou, RJ (corresponding author), Ocean Univ China, Coll Ocean &amp; Atmospher Sci, Qingdao, Peoples R China.</t>
  </si>
  <si>
    <t>1371242614@qq.com</t>
  </si>
  <si>
    <t>Liu, Yuhang/0000-0001-8650-6560; Gou, Ruijian/0000-0003-0549-0726</t>
  </si>
  <si>
    <t>Fundamental Research Funds for the Central Universities [202161058]</t>
  </si>
  <si>
    <t>Fundamental Research Funds for the Central Universities(Fundamental Research Funds for the Central Universities)</t>
  </si>
  <si>
    <t>This review is supported by the Fundamental Research Funds for the Central Universities (202161058). We gratefully thanks Gerald Meehl for helping editing the paper.</t>
  </si>
  <si>
    <t>STOCKHOLM UNIV PRESS</t>
  </si>
  <si>
    <t>STOCKHOLM</t>
  </si>
  <si>
    <t>STOCKHOLM UNIV LIBRARY, UNIVERSITETSVAGEN 14 D, STOCKHOLM, SE-106 91, SWEDEN</t>
  </si>
  <si>
    <t>1600-0870</t>
  </si>
  <si>
    <t>TELLUS A</t>
  </si>
  <si>
    <t>Tellus Ser. A-Dyn. Meteorol. Oceanogr.</t>
  </si>
  <si>
    <t>10.16993/tellusa.38</t>
  </si>
  <si>
    <t>2E6CN</t>
  </si>
  <si>
    <t>WOS:000812314100010</t>
  </si>
  <si>
    <t>Reguero, MA; Gasparini, Z; Olivero, EB; Coria, RA; Fernández, MS; O'Gorman, JP; Gouiric-Cavalli, S; Hospitaleche, CA; Bona, P; Iglesias, A; Gelfo, JN; Raffi, ME; Moly, JJ; Santillana, SN; Cárdenas, M</t>
  </si>
  <si>
    <t>Reguero, Marcelo A.; Gasparini, Zulma; Olivero, Eduardo B.; Coria, Rodolfo A.; Fernandez, Marta S.; O'Gorman, Jose P.; Gouiric-Cavalli, Soledad; Acosta Hospitaleche, Carolina; Bona, Paula; Iglesias, Ari; Gelfo, Javier N.; Raffi, Maria E.; Jose Moly, Juan; Santillana, Sergio N.; Cardenas, Magali</t>
  </si>
  <si>
    <t>Late Campanian-Early Maastrichtian Vertebrates From The James Ross Basin, West Antarctica: Updated Synthesis, Biostratigraphy, And Paleobiogeography</t>
  </si>
  <si>
    <t>Antarctic Peninsula; Late Cretaceous; NG Sequence; Snow Hill Island Formation</t>
  </si>
  <si>
    <t>LATE CRETACEOUS STRATIGRAPHY; VEGA ISLAND; ORNITHOPOD DINOSAUR; FOSSIL WOODS; 1ST RECORD; CAPE LAMB; SAUROPTERYGIA; EVOLUTION; PATAGONIA; ORNITHISCHIA</t>
  </si>
  <si>
    <t>The Snow Hill Island Formation (SHIF; late Campanian - early Maastrichtian) crops out in the northeast of the Antarctic Peninsula and constitutes the basal part of the late Campanian-early Maastrichtian sedimentary succession of the James Ross Basin (NG Sequence). Its major exposures occur at the James Ross and Vega islands. Several fossil-bearing localities have been identified in the SHIF providing a valuable fauna of invertebrates and vertebrates, and flora. Our study focuses on the vertebrate fauna recovered at Gamma and Cape Lamb members of the SHIF. The marine vertebrate assemblages include chondrichthyans, actinopterygians, and marine reptiles (elasmosaurid plesiosaurs and mosasaurs). A diverse terrestrial vertebrate assemblage has been reported being characterized by dinosaurs (sauropod, elasmarian ornithopods, nodosaurid ankylosaur, and a paravian theropod), pterosaurs and birds. Most SHIF dinosaurs share close affinities with penecontemporaneous taxa from southern South America, indicating that at least some continental vertebrates could disperse between southern South America and Antarctica during the Late Cretaceous. The Snow Hill Island Formation provides the most diverse Late Cretaceous marine and continental faunas from Antarctica. The present study summarizes previous and new vertebrate findings with the best actualized stratigraphical framework, providing a more complete fauna association and analyzing further perspectives.</t>
  </si>
  <si>
    <t>[Reguero, Marcelo A.; Santillana, Sergio N.] Inst Antartico Argentino, 25 Mayo 1143,B1650HMK, General San Martin, Buenos Aires, Argentina; [Reguero, Marcelo A.; Gasparini, Zulma; Fernandez, Marta S.; O'Gorman, Jose P.; Gouiric-Cavalli, Soledad; Acosta Hospitaleche, Carolina; Bona, Paula; Gelfo, Javier N.; Jose Moly, Juan] Univ Nacl La Plata, Fac Ciencias Nat &amp; Museo, Museo La Plata, Div Paleontol Vertebrados, Paseo Bosque S-N,B1900FWA, La Plata, Buenos Aires, Argentina; [Olivero, Eduardo B.; Raffi, Maria E.] Ctr Austral Invest Cient Cad CONICET, Lab Geol Andina, BA Houssay 200, RA-9410 Ushuaia, Tierra Del Fueg, Argentina; [Coria, Rodolfo A.] Univ Nacl Rio Negro, Inst Invest Paleobiol &amp; Geol, AV Roca 1242,R8332EXZ, General Roca, Rio Negro, Argentina; [Iglesias, Ari] Univ Nacl Comahue, Inst Invest Biodiversidad &amp; Medioambiente, CONICET, Quintral 1250, RA-8400 San Carlos De Bariloche, Rio Negro, Argentina; [Cardenas, Magali] Museo Argentino Ciencias Nat Bernardino Rivadavia, Secc Paleontol Vertebrados, Av Angel Gallardo 470, RA-1405 Buenos Aires, DF, Argentina</t>
  </si>
  <si>
    <t>Instituto Antartico Argentino; National University of La Plata; Museo La Plata; Consejo Nacional de Investigaciones Cientificas y Tecnicas (CONICET); Universidad Nacional del Comahue; Museo Argentino de Ciencias Naturales Bernardino Rivadavia (MACN)</t>
  </si>
  <si>
    <t>Reguero, MA (corresponding author), Inst Antartico Argentino, 25 Mayo 1143,B1650HMK, General San Martin, Buenos Aires, Argentina.;Reguero, MA (corresponding author), Univ Nacl La Plata, Fac Ciencias Nat &amp; Museo, Museo La Plata, Div Paleontol Vertebrados, Paseo Bosque S-N,B1900FWA, La Plata, Buenos Aires, Argentina.</t>
  </si>
  <si>
    <t>regui@fcnym.unlp.edu.ar</t>
  </si>
  <si>
    <t>Coria, Rodolfo/JXM-9875-2024; Gelfo, Javier N./KFQ-7820-2024; Gelfo, Javier N./AAW-1905-2021; Reguero, Marcelo A./JHS-4893-2023; Raffi, Eugenia/HTP-1654-2023</t>
  </si>
  <si>
    <t>Gelfo, Javier N./0000-0002-9989-5902; O'Gorman, Jose Patricio/0000-0001-9279-6314; Reguero, Marcelo A./0000-0003-0875-8484; Acosta Hospitaleche, Carolina/0000-0002-2614-1448; Iglesias, Ari/0000-0002-9098-8758; Olivero, Eduardo B./0000-0001-5704-6294; Gouiric Cavalli, Soledad/0000-0003-2026-5973; Fernandez, Marta/0000-0001-6935-7575</t>
  </si>
  <si>
    <t>Direccion Nacional del Antartico (DNA)-Instituto Antartico Argentino (IAA); Fuerza Aerea Argentina; DNA-IAA (Agencia Nacional de Promocion Cientifica y Tecnica) [PICT 2017-0607]; UNLP</t>
  </si>
  <si>
    <t>Direccion Nacional del Antartico (DNA)-Instituto Antartico Argentino (IAA); Fuerza Aerea Argentina; DNA-IAA (Agencia Nacional de Promocion Cientifica y Tecnica); UNLP(National University of La Plata)</t>
  </si>
  <si>
    <t>We thank to the editors of the special volume of Antarctic Research for their kind invitation to participate in this volume. This contribution would have not been possible without financial and logistic support from the Direccion Nacional del Antartico (DNA)-Instituto Antartico Argentino (IAA) and the Fuerza Aerea Argentina. For assistance in the field, we thank the remaining members of the IAA and international cooperation expeditions to Vega and James Ross islands: Sergio A. Marenssi, Andrea Concheyro, Gabriela Massaferro, Cecilia Besendjak, Hugo De Vido, Flavia Salani, Daniel Martinioni, Francisco Mussel, Giordanengo, Jorge Lusky, Leonardo Salgado, Emilio Bedatou, James Martin, Judd Case, Dan Chaney, Alan Khim, John Foster Sawyer, Thomas Mors, Guillermo Lopez, Laura Chornogubsky. Martina Charnelli is the artist responsible of the artwork of the Figure 7. The research was supported by the DNA-IAA (Agencia Nacional de Promocion Cientifica y Tecnica) PICT 2017-0607, and UNLP to MAR.</t>
  </si>
  <si>
    <t>e20211142</t>
  </si>
  <si>
    <t>10.1590/0001-3765202220211142</t>
  </si>
  <si>
    <t>2C3UO</t>
  </si>
  <si>
    <t>WOS:000810797300001</t>
  </si>
  <si>
    <t>He, B; Zhao, X; Chen, Y; Liu, C; Pang, XP</t>
  </si>
  <si>
    <t>He, Bin; Zhao, Xi; Chen, Ying; Liu, Chuang; Pang, Xiaoping</t>
  </si>
  <si>
    <t>Application of Feature Tracking Using K-Nearest-Neighbor Vector Field Consensus in Sea Ice Tracking</t>
  </si>
  <si>
    <t>Correspondences; feature; K-nearest-neighbor vector field consensus (KVFC); sea-ice drift; synthetic aperture radar SAR)</t>
  </si>
  <si>
    <t>MOTION TRACKING; DRIFT; ALGORITHM; VARIABILITY; RETRIEVAL; BUDGET; MODEL</t>
  </si>
  <si>
    <t>A feature-tracking algorithm algorithm utilizing the proposed K-nearest-neighbor vector field consensus (KVFC) to filter outliers is developed to monitor the dynamic changes of sea ice retrieval from synthetic aperture radar (SAR) images. The KVFC is based on vector field consensus and combines with local neighborhood correspondences to optimize the elimination of outliers while retaining inliers as many as possible. The proposed KVFC was evaluated and compared with several algorithms on three standard datasets and Sentinel-1 image pairs in the Fram Strait and the Beaufort Sea. The KVFC obtained more sea-ice drift vectors than the nearest neighbor similarity ratio (NNSR) with a 0.7 threshold and generated dense distribution of sea-ice drift vectors combined with the HH and HV channels. Using buoy datasets to calculate the sea-ice drift speed and evaluate algorithm performance, the proposed approach yielded a lower mean error (KVFC: -0.150 cm/s, NNSR: 0.407 cm/s), lower root mean square error (KVFC: 0.476 cm/s, NNSR: 1.817 cm/s), and lower angle deviation (KVFC: 3.542 degrees, NNSR: 10.318 degrees) compared to the NNSR.</t>
  </si>
  <si>
    <t>[He, Bin; Chen, Ying; Liu, Chuang; Pang, Xiaoping] Wuhan Univ, Chinese Antarctic Ctr Surveying &amp; Mapping, Wuhan 430079, Peoples R China; [Zhao, Xi] Sun Yat Sen Univ, Sch Geospatial Engn &amp; Sci, Zhuhai 519000, Peoples R China; [Zhao, Xi] Southern Marine Sci &amp; Engn Guangdong Lab Zhuhai, Zhuhai 519000, Peoples R China</t>
  </si>
  <si>
    <t>Wuhan University; Sun Yat Sen University; Southern Marine Science &amp; Engineering Guangdong Laboratory; Southern Marine Science &amp; Engineering Guangdong Laboratory (Zhuhai)</t>
  </si>
  <si>
    <t>Pang, XP (corresponding author), Wuhan Univ, Chinese Antarctic Ctr Surveying &amp; Mapping, Wuhan 430079, Peoples R China.</t>
  </si>
  <si>
    <t>hebin1@whu.edu.cn; zhaoxi6@mail.sysu.edu.cn; chen_ying@whu.edu.cn; buchuang@whu.edu.cn; pxp@whu.edu.cn</t>
  </si>
  <si>
    <t>He, Bin/0000-0001-9044-2950; Pang, Xiaoping/0000-0002-8065-7015; /0000-0002-2231-0611</t>
  </si>
  <si>
    <t>National Natural Science Foundation of China [41876223]</t>
  </si>
  <si>
    <t>This work was supported by the National Natural Science Foundation of China under Grant 41876223.</t>
  </si>
  <si>
    <t>10.1109/JSTARS.2022.3178117</t>
  </si>
  <si>
    <t>2D5KY</t>
  </si>
  <si>
    <t>WOS:000811587000001</t>
  </si>
  <si>
    <t>Manna, S; Das, D; Mukherjee, S; Saha, A</t>
  </si>
  <si>
    <t>Manna, Shaheen; Das, Dipanwita; Mukherjee, Sayantika; Saha, Amrita</t>
  </si>
  <si>
    <t>Impact of Climate Change on Biodiversity of Arctic Biome</t>
  </si>
  <si>
    <t>JOURNAL OF CLIMATE CHANGE</t>
  </si>
  <si>
    <t>Climate change; Biodiversity; Arctic</t>
  </si>
  <si>
    <t>POPULATIONS</t>
  </si>
  <si>
    <t>Polar zones are identified as high species richness areas on our planet. In certain regions of the Arctic and Antarctic, air temperatures are observed to be increasing at rates over two times the global average; there are other direct human impacts on polar areas like contamination, over utilisation and advancement. Polar environments and the biodiversity they support are now reacting to this change and it is normal that much more significant effects will happen this century. Intensifying the threat to polar biodiversity is the certainty that numerous polar environments have restricted functional redundancy; in case of the disappearance of a solitary keystone species, they may possibly be exposed to descending impacts and complete biological system rebuilding. Fast environmental change influencing the polar areas will likewise have significant physical and biological outcomes for the remaining part of the planet since the ice-covered Arctic Ocean, the Antarctic landmass, and the globally notable Antarctic Circumpolar Current serves a critical job in controlling the Earth's environment and sea frameworks. This study concentrates on the contributing variables of environmental change, the impacts of environmental change on the Arctic biome, alongside the impacts of environmental change on the species of the Arctic biome. The outcomes are evident that biodiversity is being affected extremely by environmental change through its degradation of natural surroundings and adverse consequences on species inside.</t>
  </si>
  <si>
    <t>[Manna, Shaheen; Das, Dipanwita; Mukherjee, Sayantika; Saha, Amrita] Amity Univ, Amity Inst Environm Sci, Kolkata, India</t>
  </si>
  <si>
    <t>Das, D (corresponding author), Amity Univ, Amity Inst Environm Sci, Kolkata, India.</t>
  </si>
  <si>
    <t>ddas@kol.amity.edu</t>
  </si>
  <si>
    <t>Mukherjee, Sayantika/HZL-5357-2023</t>
  </si>
  <si>
    <t>Mukherjee, Sayantika/0000-0003-1526-9910</t>
  </si>
  <si>
    <t>IOS PRESS</t>
  </si>
  <si>
    <t>NIEUWE HEMWEG 6B, 1013 BG AMSTERDAM, NETHERLANDS</t>
  </si>
  <si>
    <t>2395-7611</t>
  </si>
  <si>
    <t>2395-7697</t>
  </si>
  <si>
    <t>J CLIM CHANG</t>
  </si>
  <si>
    <t>J. Clim. Chang.</t>
  </si>
  <si>
    <t>10.3233/JCC220012</t>
  </si>
  <si>
    <t>2C3QT</t>
  </si>
  <si>
    <t>WOS:000810787400005</t>
  </si>
  <si>
    <t>Chen, ZL</t>
  </si>
  <si>
    <t>Chen, Zuoling</t>
  </si>
  <si>
    <t>Carbon-cycle dynamics during the Paleocene-Eocene Thermal Maximum</t>
  </si>
  <si>
    <t>CHINESE SCIENCE BULLETIN-CHINESE</t>
  </si>
  <si>
    <t>Chinese</t>
  </si>
  <si>
    <t>early Eocene; hyperthermal; carbon cycle; Paleocene-Eocene Thermal Maximum (PETM)</t>
  </si>
  <si>
    <t>ISOTOPE EXCURSION; METHANE HYDRATE; LATEST PALEOCENE; RELEASE; CLIMATE; OCEAN; MARINE; RECORDS; SEQUESTRATION; DISSOCIATION</t>
  </si>
  <si>
    <t>warming associated with a huge input of reduced carbon into the ocean, atmosphere and biosphere. The magnitude of carbon release during the PETM was very similar to the present anthropogenic carbon dioxide emission by burning fossil fuels. Current data estimate that the total amount of carbon released during the PETM was similar in magnitude to the IPCC RCP8.5 emission scenario. Therefore, a comprehensive study of the PETM provides a unique opportunity for understanding the relationship between carbon emission and climate change, and may help to quantitatively assess the carbon sequestration potential and rate of changes in the ecosystem, ocean and lithosphere. So far, the basic outline of massive carbon release and extreme warmth during the PETM is well established, but many important aspects regarding the carbon cycle during the event remain unresolved. The source of the carbon is still debated, with hypothesized carbon sources including methane hydrates in the ocean floor, soil organic carbon in circum-Arctic and Antarctic terrestrial permafrost, shallow-buried peat and coal, volcanic degassing, thermogenic methane caused by volcanic intrusions, and a cometary impact. The controversy can be encapsulated by two questions: (1) Is the PETM unique or only one case among many similar events? (2) What was the coupled relationship between the fine structure of the carbon isotope excursion and environmental change during the PETM? Uncertainty about the source also creates uncertainty about the amount and rate of carbon released, and the fate of the massive excess carbon at the end of the event is also poorly constrained. Here, we summarize and analyze carbon-cycle dynamics during the PETM and draw three preliminary conclusions. First, a massive release of C-12-enriched carbon operated as a positive feedback to the temperature increase during the PETM, implying that methane hydrates and/or permafrost were plausible carbon sources. In particular, peak temperatures of short duration are associated with minimum carbon isotope values, suggesting that the carbon source was probably exhausted, and the positive feedback ceased. Second, the total amount of carbon released during the PETM was in the range of 4000-10000 Gt C, reflecting considerable uncertainty caused by the large range of the magnitude of the carbon isotope excursion. The average rate of carbon emission during the PETM is estimated to have been in the range of 0.15-1 Gt C/a, an order of magnitude lower than the present rate of anthropogenic carbon emission, implying that current human activities may trigger a positive feedback of the Earth's surface system and intensify global warming. Therefore, to avoid the initiation of the potential feedback of the warming-induced decomposition of reduced carbon reservoirs, as well as the accompanying major environmental perturbation, it is urgently necessary to reduce or slow the carbon emissions. Third, excess C-12-enriched carbon was removed from the exogenic carbon pool during the PETM recovery on a timescale of similar to 40 ka, much faster than the similar to 100 ka that is expected for carbon uptake only by silicate weathering. These observations suggest that the fertilization effect of CO2 on plant growth, the regeneration of carbon stores in the high-latitude terrestrial biosphere, and the enhanced efficiency of the marine biological pump accelerated the rate of carbon sequestration and the subsequent recovery from the PETM.</t>
  </si>
  <si>
    <t>[Chen, Zuoling] Chinese Acad Sci, Inst Geol &amp; Geophys, Key Lab Cenozo Geol &amp; Environm, Beijing 100029, Peoples R China; [Chen, Zuoling] Chinese Acad Sci, Ctr Excellence Life &amp; Paleoenvironm, Beijing 100044, Peoples R China</t>
  </si>
  <si>
    <t>Chinese Academy of Sciences; Institute of Geology &amp; Geophysics, CAS; Chinese Academy of Sciences</t>
  </si>
  <si>
    <t>Chen, ZL (corresponding author), Chinese Acad Sci, Inst Geol &amp; Geophys, Key Lab Cenozo Geol &amp; Environm, Beijing 100029, Peoples R China.;Chen, ZL (corresponding author), Chinese Acad Sci, Ctr Excellence Life &amp; Paleoenvironm, Beijing 100044, Peoples R China.</t>
  </si>
  <si>
    <t>chenzl@mail.iggcas.ac.cn</t>
  </si>
  <si>
    <t>EPHRATA</t>
  </si>
  <si>
    <t>300 WEST CHESNUT ST, EPHRATA, PA 17522 USA</t>
  </si>
  <si>
    <t>0023-074X</t>
  </si>
  <si>
    <t>2095-9419</t>
  </si>
  <si>
    <t>CHIN SCI B-CHIN</t>
  </si>
  <si>
    <t>Chin. Sci. Bull.-Chin.</t>
  </si>
  <si>
    <t>10.1360/TB-2021-0652</t>
  </si>
  <si>
    <t>2B9TH</t>
  </si>
  <si>
    <t>WOS:000810523100010</t>
  </si>
  <si>
    <t>Marcher, A; Bernardo, RT; Simoes, JC; Auger, J</t>
  </si>
  <si>
    <t>Marcher, Andressa; Bernardo, Ronaldo T.; Simoes, Jefferson C.; Auger, Jeffrey</t>
  </si>
  <si>
    <t>Water stable isotopes in snow along a traverse of the West Antarctic Ice Sheet: insights into moisture origins, air-masses distillation history, and climatic value</t>
  </si>
  <si>
    <t>water stable isotopes; surface snow; isotopic fractionation; air masses; moisture origin; WAIS</t>
  </si>
  <si>
    <t>SURFACE SNOW; DEUTERIUM EXCESS; EAST ANTARCTICA; VARIABILITY; CORE; PRECIPITATION; FIRN; TEMPERATURE; OXYGEN; ACCUMULATION</t>
  </si>
  <si>
    <t>This study investigated the water isotopic content (delta O-18, delta D, d-excess) of the surface snow along a 995 km traverse over the West Antarctic Ice Sheet from the Moller Ice Stream - Institute Ice Stream to the upper reaches of the Pine Island Glacier drainage basin. The purpose of this study was to evaluate the climatic record preserved in the snow. We analyzed 92 surface samples (similar to 015-0.20 m deep), retrieved during 2014/2015 austral summer from every similar to 10 km along the traverse route, using the laser spectroscopy technique. We computed the isotopic-geographical characteristics and spatial co-isotopic empirical relationships and compared the isotopic results with the tropospheric mean annual temperature and air mass trajectories. Our isotopic results were sensitive to capturing the well-known climatic asymmetry between the Amundsen-Bellingshausen Sea (ABS; which receives more influence from warmer (oceanic) air masses) and Weddell Sea (WS; more influenced by colder (continental) air masses) sectors. Further, the spatial distribution of delta s and d-excess and the co-isotopic relationships reflect two preferential fractionation paths: one from the coast of the ABS sector to the WS sector, and another from the coast of the WS sector to the inland. The Pacific Ocean is confirmed as the primary source of moisture.</t>
  </si>
  <si>
    <t>[Marcher, Andressa; Bernardo, Ronaldo T.; Simoes, Jefferson C.; Auger, Jeffrey] Univ Fed Rio Grande do Sul, Ctr Polar &amp; Climat, Inst Geociencias, Av Bento Goncalves 9500, BR-91501970 Porto Alegre, RS, Brazil; [Simoes, Jefferson C.; Auger, Jeffrey] Univ Maine, Climate Change Inst, Orono, ME 04469 USA</t>
  </si>
  <si>
    <t>Universidade Federal do Rio Grande do Sul; University of Maine System; University of Maine Orono</t>
  </si>
  <si>
    <t>Marcher, A (corresponding author), Univ Fed Rio Grande do Sul, Ctr Polar &amp; Climat, Inst Geociencias, Av Bento Goncalves 9500, BR-91501970 Porto Alegre, RS, Brazil.</t>
  </si>
  <si>
    <t>andressa.marcher@gmail.com</t>
  </si>
  <si>
    <t>Simoes, Jefferson Cardia/D-7232-2013</t>
  </si>
  <si>
    <t>Simoes, Jefferson Cardia/0000-0001-5555-3401; MARCHER DE OLIVEIRA, ANDRESSA/0000-0003-2680-1757; Bernardo, Ronaldo/0000-0002-1143-7916</t>
  </si>
  <si>
    <t>e20210353</t>
  </si>
  <si>
    <t>10.1590/0001-3765202220210353</t>
  </si>
  <si>
    <t>1V6FY</t>
  </si>
  <si>
    <t>WOS:000806184300001</t>
  </si>
  <si>
    <t>Parise, CK; Pezzi, LP; Carpenedo, CB; Vasconcellos, FC; Barbosa, WL; De Lima, LG</t>
  </si>
  <si>
    <t>Parise, Claudia K.; Pezzi, Luciano P.; Carpenedo, Camila B.; Vasconcellos, Fernanda C.; Barbosa, Wesley L.; De Lima, Leonardo G.</t>
  </si>
  <si>
    <t>Sensitivity of South America Climate to Positive Extremes of Antarctic Sea Ice</t>
  </si>
  <si>
    <t>Southern Hemisphere Sea Ice; Antarctica-Tropics Teleconnection; South American continent; Climate Change</t>
  </si>
  <si>
    <t>SEASONAL PRECIPITATION; SURFACE TEMPERATURE; AUSTRAL SUMMER; ANNULAR MODE; PART I; BRAZIL; CIRCULATION; ANOMALIES; IMPACT; DRIVEN</t>
  </si>
  <si>
    <t>Global climate change is expected to increasingly affect climate-sensitive sectors of society, such as the economy and environment, with significant impacts on water, energy, agriculture and fisheries. This is the case in South America, whose economy is highly dependent on the agricultural sector. Here, we analyzed the sensitivity of South American climate to positive extremes of Antarctic sea ice (ASI) extent and volume at continental and regional scales. Sensitivity ensemble experiments were conducted with the GFDL-CM2.1 model and compared with the ERA-Interim reanalysis dataset The results have shown significant impacts on the seasonal regime of precipitation, air temperature and humidity in South America, such as a gradual establishment of the South Atlantic Convergence Zone, the formation of the Upper Tropospheric Cyclonic Vortex, the strengthening of Bolivian High and the presence of a low level cyclonic circulation anomaly over the South Atlantic Subtropical High region which contributed, for instance, to increased precipitation over the Southeastern Brazil. A northward shift of the Intertropical Convergence Zone was initially also a response pattern to the increased ASI. Moreover, the greatest variance of the climatic signal generated from the disturbances applied on the high southern latitudes has occurred in the interseasonal timescale (110-120 days), especially over the Brazilian Amazon and the Southeastern Brazil regions.</t>
  </si>
  <si>
    <t>[Parise, Claudia K.; Barbosa, Wesley L.] Univ Fed Maranhao UFMA, Dept Oceanog &amp; Limnol DEOLI, Lab Estudos &amp; Modelagem Climat LACLIMA, Ave Portugueses 1966, BR-65080805 Sao Luis, Maranhao, Brazil; [Pezzi, Luciano P.] Inst Nacl Pesquisas Espaciais INPE, Div Observacao Terra &amp; Geoinformat DIOTG, Lab Estudos Oceano &amp; Atmosfera LOA, Ave Astronautas 1758, BR-12227010 Sao Jose Dos Campos, SP, Brazil; [Carpenedo, Camila B.] Univ Fed Parana UFPR, Dept Solos &amp; Engn Agr DSEA, Rua Funcionarios 1540, BR-80035050 Curitiba, Parana, Brazil; [Vasconcellos, Fernanda C.] Univ Fed Rio de Janeiro UFRJ, Dept Meteorol, Ave Athos Silveira Ramos 274,Cidade Univ, BR-21941916 Rio De Janeiro, RJ, Brazil; [De Lima, Leonardo G.] Univ Fed Maranhao UFMA, Dept Oceanog &amp; Limnol DEOLI, Lab Estudos Oceanog Geol LEOG, Ave Portugueses 1966, BR-65080805 Sao Luis, Maranhao, Brazil</t>
  </si>
  <si>
    <t>Universidade Federal do Maranhao; Instituto Nacional de Pesquisas Espaciais (INPE); Universidade Federal do Parana; Universidade Federal do Rio de Janeiro; Universidade Federal do Maranhao</t>
  </si>
  <si>
    <t>Parise, CK (corresponding author), Univ Fed Maranhao UFMA, Dept Oceanog &amp; Limnol DEOLI, Lab Estudos &amp; Modelagem Climat LACLIMA, Ave Portugueses 1966, BR-65080805 Sao Luis, Maranhao, Brazil.</t>
  </si>
  <si>
    <t>claudiakparise@gmail.com</t>
  </si>
  <si>
    <t>Vasconcellos, Fernanda/AAB-9015-2021; Carpenedo, Camila/AHA-7140-2022; Pezzi, Luciano Ponzi/N-7271-2017</t>
  </si>
  <si>
    <t>Vasconcellos, Fernanda/0000-0002-5931-1503; Carpenedo, Camila/0000-0001-9034-789X; Pezzi, Luciano Ponzi/0000-0001-6016-4320; Goncalves de Lima, Leonardo/0000-0001-7449-8639</t>
  </si>
  <si>
    <t>Coordenacao de Aperfeicoamento de Pessoal de Nivel Superior (CAPES) [23038.004304/2014-28]; Use and Development of the Brazilian Earth System Model for the Study of the Ocean-Atmosphere-Cryosphere System in High and Medium Latitudes (BESM/SOAC) [145668/201700]; Conselho Nacional de Desenvolvimento Cientifico e Tecnologico (CNPq) [420406/2016-6]; Antarctic Modeling Observation System (ATMOS) [443013/2018-7]; Fundacao de Amparo a Pesquisa e Desenvolvimento Cientifico e Tecnologico do Maranhao (FAPEMA) [00850/17]; CNPq [304009/2016-4]</t>
  </si>
  <si>
    <t>Coordenacao de Aperfeicoamento de Pessoal de Nivel Superior (CAPES)(Coordenacao de Aperfeicoamento de Pessoal de Nivel Superior (CAPES)); Use and Development of the Brazilian Earth System Model for the Study of the Ocean-Atmosphere-Cryosphere System in High and Medium Latitudes (BESM/SOAC); Conselho Nacional de Desenvolvimento Cientifico e Tecnologico (CNPq)(Conselho Nacional de Desenvolvimento Cientifico e Tecnologico (CNPQ)); Antarctic Modeling Observation System (ATMOS); Fundacao de Amparo a Pesquisa e Desenvolvimento Cientifico e Tecnologico do Maranhao (FAPEMA)(Fundacao de Amparo a Pesquisa e Desenvolvimento Cientifico do Maranhao (FAPEMA)); CNPq(Conselho Nacional de Desenvolvimento Cientifico e Tecnologico (CNPQ))</t>
  </si>
  <si>
    <t>The authors would like to thank the funding support of Coordenacao de Aperfeicoamento de Pessoal de Nivel Superior (CAPES) to the Projects Advanced Studies in Oceanography of Medium and High Latitudes (Process 23038.004304/2014-28) and Use and Development of the Brazilian Earth System Model for the Study of the Ocean-Atmosphere-Cryosphere System in High and Medium Latitudes (BESM/SOAC) (Process 145668/201700) and to the funding support of Conselho Nacional de Desenvolvimento Cientifico e Tecnologico (CNPq) to the Projects Impactos do Aumento do Gelo Marinho da Antartica no Clima da America do Sul: Simulacoes por Conjunto x Reanalises (Process 420406/2016-6) and Antarctic Modeling Observation System (ATMOS) (Process 443013/2018-7). This publication was also supported by the Fundacao de Amparo a Pesquisa e Desenvolvimento Cientifico e Tecnologico do Maranhao (FAPEMA) (Process 00850/17). CNPq funds L. P. Pezzi through a fellowship of the Research Productivity Program (Process 304009/2016-4). The authors also acknowledge the GFDL Coupled Climate Model Development Team for providing a public version of the model and all technical support and the ECMWF to provide the reanalysis data.</t>
  </si>
  <si>
    <t>e20210706</t>
  </si>
  <si>
    <t>10.1590/0001-3765202220210706</t>
  </si>
  <si>
    <t>1V6HY</t>
  </si>
  <si>
    <t>WOS:000806189500001</t>
  </si>
  <si>
    <t>Perondi, C; Da Rosa, KK; Vieira, R; Magrani, FJG; Neto, AA; Simoes, JC</t>
  </si>
  <si>
    <t>Perondi, Cleiva; Da Rosa, Katia Kellem; Vieira, Rosemary; Magrani, Fabio Jose Guedes; Neto, Arthur Ayres; Simoes, Jefferson C.</t>
  </si>
  <si>
    <t>Geomorphology of Martel inlet, King George Island, Antarctica: a new interpretation based on multi-resolution topo-bathymetric data</t>
  </si>
  <si>
    <t>Antarctic fjord; submarine landform; multibeam bathymetry; glacier forelands; palaeoglacial history</t>
  </si>
  <si>
    <t>SOUTH SHETLAND ISLANDS; RECESSIONAL MORAINES; GLACIAL LINEATIONS; ICE; PENINSULA; RETREAT; MARINE; RECORD; DEGLACIATION; EVOLUTION</t>
  </si>
  <si>
    <t>This study investigated the terrestrial and submarine geomorphology and glacial landform records in the Martel inlet (King George Island) using a multi-resolution topobathymetric data based on seismic, multibeam surveys and terrestrial satellite datasets (REMA DEM). Geomorphometric analysis provided glacial landforms and sedimentary processes interpretation. The submarine sector has a mean depth of 143 m, a maximum depth of 398 m, and most of it has a low slope (0 degrees -16 degrees). Steep slopes (&gt;30 degrees) are found along the mid-outer sectors transition area. The continental shelf was divided into inner fjord (49 m depth), middle fjord (119 m), and outer fjord (259 m), based on depth, elevation and slope. The topobathymetric digital model provides evidence of geomorphological contrasts between these zones in the fjord's seafloor and subaerial environments. A prominent morainal bank in the transition between the inner and middle parts marks the limit of a past stationary stage of the DobrowolskiGoetel ice margin. Streamlined glacial lineations demonstrate an NE-SW past ice flow direction and a wet-based thermal regime. The combined analysis of submarine and subaerial landforms enable the understanding of the former glacier configuration and its deglaciation history.</t>
  </si>
  <si>
    <t>[Perondi, Cleiva; Simoes, Jefferson C.] Univ Fed Rio Grande do Sul, Ctr Polar &amp; Climat, Inst Geociencias, Programa Posgrad Geog, Av Bento Goncalves 9500, BR-91501970 Porto Alegre, RS, Brazil; [Da Rosa, Katia Kellem] Univ Fed Rio Grande do Sul, Ctr Polar &amp; Climat, Inst Geociencias, Av Bento Goncalves 9500, BR-91501970 Porto Alegre, RS, Brazil; [Vieira, Rosemary] Univ Fed Fluminense, Inst Geociencias, Dept Geog, Av Gal Milton Tavares de Souza S-N, BR-24210346 Niteroi, RJ, Brazil; [Magrani, Fabio Jose Guedes] Univ Bern, Oeschger Ctr Climate Change Res, Baltzerstr 1 3, CH-3012 Bern, Switzerland; [Magrani, Fabio Jose Guedes] Univ Bern, Inst Geol, Baltzerstr 1 3, CH-3012 Bern, Switzerland; [Neto, Arthur Ayres] Univ Fed Fluminense, Dept Geol &amp; Geofis, Av Gal Milton Tavares de Souza S-N, BR-24210346 Niteroi, RJ, Brazil; [Simoes, Jefferson C.] Univ Maine, Climate Change Inst, 168 Coll Ave, Orono, ME USA</t>
  </si>
  <si>
    <t>Universidade Federal do Rio Grande do Sul; Universidade Federal do Rio Grande do Sul; Universidade Federal Fluminense; University of Bern; University of Bern; Universidade Federal Fluminense; University of Maine System; University of Maine Orono</t>
  </si>
  <si>
    <t>Perondi, C (corresponding author), Univ Fed Rio Grande do Sul, Ctr Polar &amp; Climat, Inst Geociencias, Programa Posgrad Geog, Av Bento Goncalves 9500, BR-91501970 Porto Alegre, RS, Brazil.</t>
  </si>
  <si>
    <t>cleivaperondi@gmail.com</t>
  </si>
  <si>
    <t>Simoes, Jefferson Cardia/D-7232-2013; da Rosa, Kátia Kellem/AAO-8367-2020</t>
  </si>
  <si>
    <t>Simoes, Jefferson Cardia/0000-0001-5555-3401; da Rosa, Kátia Kellem/0000-0003-0977-9658; Ayres Neto, Arthur/0000-0002-2982-245X; Magrani, Fabio/0000-0002-9487-5849; Vieira, Rosemary/0000-0003-0312-2890</t>
  </si>
  <si>
    <t>Conselho Nacional de Desenvolvimento Cientifico e Tecnologico (CNPq) [465680/2014-3]; Coordenacao de Aperfeicoamento de Pessoal de Nivel Superior (CAPES); Brazilian Antarctic Program (PROANTAR); Foundation of Research Support of the State of Rio Grande do Sul (FAPERGS); Postgraduate Program in Geography of the UFRGS</t>
  </si>
  <si>
    <t>Conselho Nacional de Desenvolvimento Cientifico e Tecnologico (CNPq)(Conselho Nacional de Desenvolvimento Cientifico e Tecnologico (CNPQ)); Coordenacao de Aperfeicoamento de Pessoal de Nivel Superior (CAPES)(Coordenacao de Aperfeicoamento de Pessoal de Nivel Superior (CAPES)); Brazilian Antarctic Program (PROANTAR); Foundation of Research Support of the State of Rio Grande do Sul (FAPERGS)(Fundacao de Amparo a Ciencia e Tecnologia do Estado do Rio Grande do Sul (FAPERGS)); Postgraduate Program in Geography of the UFRGS</t>
  </si>
  <si>
    <t>We acknowledge the Conselho Nacional de Desenvolvimento Cientifico e Tecnologico (CNPq) Project 465680/2014-3 (INCT da Criosfera), Coordenacao de Aperfeicoamento de Pessoal de Nivel Superior (CAPES), Brazilian Antarctic Program (PROANTAR), Foundation of Research Support of the State of Rio Grande do Sul (FAPERGS) for financial support, and Postgraduate Program in Geography of the UFRGS.</t>
  </si>
  <si>
    <t>e20210482</t>
  </si>
  <si>
    <t>10.1590/0001-3765202220210482</t>
  </si>
  <si>
    <t>1V6GH</t>
  </si>
  <si>
    <t>WOS:000806185200001</t>
  </si>
  <si>
    <t>Travassos, JM; Martins, SS; Simoes, JC</t>
  </si>
  <si>
    <t>Travassos, Jandyr M.; Martins, Saulo S.; Simoes, Jefferson C.</t>
  </si>
  <si>
    <t>A firn dielectric log depth-tied to an ice core on the West Antarctica Ice Sheet</t>
  </si>
  <si>
    <t>ice core; GPR; velocity model; dielectric property; well Logging</t>
  </si>
  <si>
    <t>DENSIFICATION; PERMITTIVITY; ALGORITHMS</t>
  </si>
  <si>
    <t>We have estimated a 1-D permittivity model from a loom Long variable offset GPR in the West Antarctic ice sheet. That model inherits the inaccuracies in depth from the velocity model, which should be corrected before attempting to correlate it with the density Log from a close-by borehole. We performed that correction by aligning a synthetic ice density derived from a Maxwell Garnett two-phase mixture model to the ice core density measurements through dynamic time warping. The shifts to bring the permittivity estimates to their proper depths suggest a direct correlation of radar-derived data to borehole depths may suffer from noise to an unknown degree. The present methodology is within reach of a standard GPR survey, having at Least one variable offset gather.</t>
  </si>
  <si>
    <t>[Travassos, Jandyr M.] Univ Fed Rio de Janeiro UFRJ, Lab Metodos Modelagem &amp; Geofis Computac COPPE, Av Pedro Calmon S-N,Cidade Univ, BR-21941596 Rio De Janeiro, RJ, Brazil; [Martins, Saulo S.] Univ Fed Para UFPA, Fac Geofis, Rua Augusto Correa 01, BR-66075110 Belem, Para, Brazil; [Simoes, Jefferson C.] Univ Fed Rio Grande Sul UFRGS, Ctr Polar &amp; Climat, Av Bento Goncalves 9500, BR-91501970 Porto Alegre, RS, Brazil; [Simoes, Jefferson C.] Univ Maine, Climate Change Inst, Orono, ME 04469 USA</t>
  </si>
  <si>
    <t>Universidade Federal do Rio de Janeiro; Universidade Federal do Para; Universidade Federal do Rio Grande do Sul; University of Maine System; University of Maine Orono</t>
  </si>
  <si>
    <t>Martins, SS (corresponding author), Univ Fed Para UFPA, Fac Geofis, Rua Augusto Correa 01, BR-66075110 Belem, Para, Brazil.</t>
  </si>
  <si>
    <t>saulo@ufpa.br</t>
  </si>
  <si>
    <t>Simoes, Jefferson Cardia/0000-0001-5555-3401; Martins, Saulo/0000-0002-8438-7657</t>
  </si>
  <si>
    <t>Programa Antartico Brasileiro (PROANTAR), through the Conselho Nacional de Desenvolvimento Cientifico e Tecnologico (CNPq); Coordenacao de Aperfeicoamento de Pessoal de Nivel Superior (CAPES); INCT da Criosfera (CAPES) [88887.136384/2017-00]; PROANTAR/CNPq [442755/2018-0]</t>
  </si>
  <si>
    <t>Programa Antartico Brasileiro (PROANTAR), through the Conselho Nacional de Desenvolvimento Cientifico e Tecnologico (CNPq)(Conselho Nacional de Desenvolvimento Cientifico e Tecnologico (CNPQ)Fundacao de Apoio a Pesquisa do Distrito Federal (FAPDF)); Coordenacao de Aperfeicoamento de Pessoal de Nivel Superior (CAPES)(Coordenacao de Aperfeicoamento de Pessoal de Nivel Superior (CAPES)); INCT da Criosfera (CAPES)(Coordenacao de Aperfeicoamento de Pessoal de Nivel Superior (CAPES)); PROANTAR/CNPq</t>
  </si>
  <si>
    <t>This work was fully supported by the Programa Antartico Brasileiro (PROANTAR), through the Conselho Nacional de Desenvolvimento Cientifico e Tecnologico (CNPq) and Coordenacao de Aperfeicoamento de Pessoal de Nivel Superior (CAPES). The two main sources come from the INCT da Criosfera (CAPES Proj. 88887.136384/2017-00) and PROANTAR/CNPq (Proj. 442755/2018-0).</t>
  </si>
  <si>
    <t>e20210815</t>
  </si>
  <si>
    <t>10.1590/0001-3765202220210815</t>
  </si>
  <si>
    <t>1V6IH</t>
  </si>
  <si>
    <t>WOS:000806190400001</t>
  </si>
  <si>
    <t>Ferrari, FR; Thomazini, A; Pereira, AB; Spokas, K; Schaefer, CEGR</t>
  </si>
  <si>
    <t>Ferrari, Flavia R.; Thomazini, Andre; Pereira, Antonio B.; Spokas, Kurt; Schaefer, Carlos E. G. R.</t>
  </si>
  <si>
    <t>Potential greenhouse gases emissions by different plant communities in maritime Antarctica</t>
  </si>
  <si>
    <t>Antarctic vegetation; climate changes; cryptogamic communities; green-house gas production</t>
  </si>
  <si>
    <t>KING GEORGE ISLAND; CO2 FLUXES; FUNCTIONAL DIVERSITY; ORGANIC-MATTER; CLIMATE-CHANGE; NITROUS-OXIDE; SOIL-MOISTURE; TUNDRA; TEMPERATURE; VEGETATION</t>
  </si>
  <si>
    <t>Antarctic plant communities show a close relationship with soil types across the landscape, where vegetation cover changes, biological influence, and soil characteristics can affect the dynamic of greenhouse gases emissions. Thus, the objective of this study was to evaluate greenhouse gases emissions in lab conditions of ice-free areas along a topographic gradient (from sea level up to 300 meters). We selected 11 distinct vegetation compositions areas and assessed greenhouse gases production potentials through 20 days of laboratory incubations varying temperatures at -2, 4, 6, and 22 degrees C. High N2O production potential was associated with the Phanerogamic Community under the strong ornithogenic influence (phosphorus, nitrogen, and organic matter contents). Seven different areas acted as N2O sink at a temperature of -2 degrees C, demonstrating the impact of low-temperature conditions contributing to store N in soils. Moss Carpets had the highest CH4 emissions and low CO2 production potential. Fruticose Lichens had a CH4 sink effect and the highest values of CO2. The low rate of organic matter provided the CO2 sink effect on the bare soil (up to 6 degrees C). There is an overall trend of increasing greenhouse gases production potential with increasing temperature along a toposequence.</t>
  </si>
  <si>
    <t>[Ferrari, Flavia R.] Univ Fed Vicosa, Dept Biol Vegetal, Av PH Rolfs, BR-36570900 Vicosa, MG, Brazil; [Thomazini, Andre] Univ Fed Sao Joao Del Rei, Dept Ciencias Agr, Praca Dom Helvecio 74, BR-35702031 Sete Lagoas, MG, Brazil; [Pereira, Antonio B.] Univ Fed Pampa, Rua Aluizio Barros Macedo S-N,BR 290,Km 423, BR-97307020 Bage, RS, Brazil; [Spokas, Kurt] Univ Minnesota, ARS, USDA, Soil &amp; Water Management Unit, 439 Borlaug Hall, St Paul, MN 55108 USA; [Schaefer, Carlos E. G. R.] Univ Fed Vicosa, Dept Solos, Av PH Rolfs, BR-36570900 Vicosa, MG, Brazil</t>
  </si>
  <si>
    <t>Universidade Federal de Vicosa; Universidade Federal de Sao Joao del-Rei; Universidade Federal do Pampa; University of Minnesota System; University of Minnesota Twin Cities; United States Department of Agriculture (USDA); Universidade Federal de Vicosa</t>
  </si>
  <si>
    <t>Ferrari, FR (corresponding author), Univ Fed Vicosa, Dept Biol Vegetal, Av PH Rolfs, BR-36570900 Vicosa, MG, Brazil.</t>
  </si>
  <si>
    <t>flavia.r.ferrari@ufv.br</t>
  </si>
  <si>
    <t>Pereira, Antonio B/I-8201-2014; Ferrari, Flávia Ramos/AAC-8048-2022; Spokas, Kurt/F-4839-2016</t>
  </si>
  <si>
    <t>Pereira, Antonio B/0000-0003-0368-4594; Ferrari, Flávia Ramos/0000-0003-3771-2266; Thomazini, Andre/0000-0001-5613-0494; Spokas, Kurt/0000-0002-5049-5959</t>
  </si>
  <si>
    <t>Conselho Nacional de Desenvolvimento Cientifico e Tecnologico (CNPq) [442703/2018-0]; Coordenacao de Aperfeicoamento de Pessoal de Nivel Superior (CAPES) Brazil; Ministerio da Ciencia, Tecnologia e Inovacao (MCTI); Secretaria Interministerial para os Recursos do Mar (SECIRM)</t>
  </si>
  <si>
    <t>Conselho Nacional de Desenvolvimento Cientifico e Tecnologico (CNPq)(Conselho Nacional de Desenvolvimento Cientifico e Tecnologico (CNPQ)); Coordenacao de Aperfeicoamento de Pessoal de Nivel Superior (CAPES) Brazil(Coordenacao de Aperfeicoamento de Pessoal de Nivel Superior (CAPES)); Ministerio da Ciencia, Tecnologia e Inovacao (MCTI); Secretaria Interministerial para os Recursos do Mar (SECIRM)</t>
  </si>
  <si>
    <t>We acknowledge Conselho Nacional de Desenvolvimento Cientifico e Tecnologico (CNPq) (442703/2018-0), the Coordenacao de Aperfeicoamento de Pessoal de Nivel Superior (CAPES) Brazil for concession the scholarship of the first autor, the Ministerio da Ciencia, Tecnologia e Inovacao (MCTI), and the Secretaria Interministerial para os Recursos do Mar (SECIRM) for granting.nancial support. We also acknowledge the Polish Antarctic Station Henryk Arctowski for the logistic support. This is a contribution of TERRANTAR (Ecossistemas Terrestres da Antartica), and INCT CRIOSFERA.</t>
  </si>
  <si>
    <t>e20210602</t>
  </si>
  <si>
    <t>10.1590/0001-3765202220210602</t>
  </si>
  <si>
    <t>1V6HG</t>
  </si>
  <si>
    <t>WOS:000806187700001</t>
  </si>
  <si>
    <t>Barbat, MM; Mata, MM</t>
  </si>
  <si>
    <t>Barbat, Mauro M.; Mata, Mauricio M.</t>
  </si>
  <si>
    <t>Iceberg drift and melting rates in the northwestern Weddell Sea, Antarctica: Novel automated regional estimates through machine learning</t>
  </si>
  <si>
    <t>icebergs; Southern Ocean; Antarctica; SAR; machine learning</t>
  </si>
  <si>
    <t>BOTTOM WATER; OCEAN CIRCULATION; ICE; TRACKING; IDENTIFICATION; CLIMATOLOGY; BRANSFIELD; IMPACT; IMAGES</t>
  </si>
  <si>
    <t>Global warming and its consequences on polar regions have been thoroughly discussed in recent times. One of those consequences is the freshwater flux and the associated cooling and freshening that result from iceberg melting. Despite the potential impact, large uncertainties exist resulting mostly from the complexity to follow icebergs from space, which make the few existing estimates essentially model-based. This study takes advantage of state-of-art machine learning methods to present novel prevalent trajectories and potential freshwater input from 450 icebergs ranging from 1 to 2765 km(2) across the northwestern Weddell Sea, Antarctica. The main results highlight the predominance of a northward flux and the entrance of icebergs up to 10 km(2) into Bransfield Strait associated with the main current systems along the Antarctic Peninsula. The present analysis on such a large number of icebergs unveils an average drift speed of 3.4 +/- 2.7 km day(-1) and an average disintegration rate of similar to 62% per year, representing an integrated potential regional freshwater input of 133.62 Gt yr(-1). Altogether, this study adds new knowledge to the complex problem of autonomous applications for iceberg detection and tracking, further exploring such methods on a very dynamic region of singular importance for the ocean and climate studies.</t>
  </si>
  <si>
    <t>[Barbat, Mauro M.; Mata, Mauricio M.] Univ Fed Rio Grande FURG, Inst Oceanog, Lab Estudos Oceanos &amp; Clima LEOC, Ave Italia,Km 8 S-N,Campus Carreiros, BR-96203900 Rio Grande, RS, Brazil; [Barbat, Mauro M.; Mata, Mauricio M.] Inst Nacl Ciencia &amp; Tecnol Criosfera, Grp Estudos Oceano Austral &amp; Gelo Marinho, Av Italia,Km 8, BR-96203900 Rio Grande, RS, Brazil</t>
  </si>
  <si>
    <t>Universidade Federal do Rio Grande</t>
  </si>
  <si>
    <t>Barbat, MM (corresponding author), Univ Fed Rio Grande FURG, Inst Oceanog, Lab Estudos Oceanos &amp; Clima LEOC, Ave Italia,Km 8 S-N,Campus Carreiros, BR-96203900 Rio Grande, RS, Brazil.;Barbat, MM (corresponding author), Inst Nacl Ciencia &amp; Tecnol Criosfera, Grp Estudos Oceano Austral &amp; Gelo Marinho, Av Italia,Km 8, BR-96203900 Rio Grande, RS, Brazil.</t>
  </si>
  <si>
    <t>maurobarbat@furg.br</t>
  </si>
  <si>
    <t>; Mata, Mauricio/H-4605-2011</t>
  </si>
  <si>
    <t>Barbat, Mauro/0000-0001-7930-1612; Mata, Mauricio/0000-0002-9028-8284</t>
  </si>
  <si>
    <t>Brazilian National Institute of Science and Technology of the Cryosphere (INCT-CRIOSFERA CNPq) [465680/2014-3]; Brazilian Antarctic Program (PROANTAR) through the Ministerio do Meio Ambiente (MMA); Ministerio da Ciencia, Tecnologia e Inovacoes (MCTIC); Conselho Nacional de Desenvolvimento Cientifico e Tecnologico (CNPq) [442628/2018-8]; Coordenacao de Aperfeicoamento de Pessoal de Nivel Superior (CAPES) Foundation [AUXPE 1995/2014]; Fundacao de Amparo a Pesquisa do Estado do Rio Grande do Sul (INCT-Criosfera FAPERGS) [17/2551-0000518-0]; CNPq [309653/2021-5]</t>
  </si>
  <si>
    <t>Brazilian National Institute of Science and Technology of the Cryosphere (INCT-CRIOSFERA CNPq)(Conselho Nacional de Desenvolvimento Cientifico e Tecnologico (CNPQ)Fundacao de Apoio a Pesquisa do Distrito Federal (FAPDF)); Brazilian Antarctic Program (PROANTAR) through the Ministerio do Meio Ambiente (MMA); Ministerio da Ciencia, Tecnologia e Inovacoes (MCTIC); Conselho Nacional de Desenvolvimento Cientifico e Tecnologico (CNPq)(Conselho Nacional de Desenvolvimento Cientifico e Tecnologico (CNPQ)); Coordenacao de Aperfeicoamento de Pessoal de Nivel Superior (CAPES) Foundation(Coordenacao de Aperfeicoamento de Pessoal de Nivel Superior (CAPES)); Fundacao de Amparo a Pesquisa do Estado do Rio Grande do Sul (INCT-Criosfera FAPERGS); CNPq(Conselho Nacional de Desenvolvimento Cientifico e Tecnologico (CNPQ))</t>
  </si>
  <si>
    <t>This study is a contribution to the activities of the Brazilian High Latitudes Oceanography Group (GOAL) and the Brazilian National Institute of Science and Technology of the Cryosphere (INCT-CRIOSFERA CNPq; 465680/2014-3). GOAL has been funded by the Brazilian Antarctic Program (PROANTAR) through the Ministerio do Meio Ambiente (MMA), the Ministerio da Ciencia, Tecnologia e Inovacoes (MCTIC), the Conselho Nacional de Desenvolvimento Cientifico e Tecnologico (CNPq; 442628/2018-8), and Coordenacao de Aperfeicoamento de Pessoal de Nivel Superior (CAPES) Foundation (AUXPE 1995/2014). M. M. Barbat acknowledges the fellowships from the Fundacao de Amparo a Pesquisa do Estado do Rio Grande do Sul (INCT-Criosfera FAPERGS; 17/2551-0000518-0). M. M. Mata acknowledges CNPq grant 309653/2021-5. We also thank the European Space Agency (ESA) for providing the Envisat ASAR images used in this study and finally, two anonymous reviewer and Dr. Hartmut H. Hellmer for they attentive review and valuable suggestions. In addition, we have uploaded the full iceberg database and software used in this work to the institutional website of the Federal University of Rio Grande, Brazil (https://goal.furg.br/producao-cientifica/supplements).</t>
  </si>
  <si>
    <t>e20211586</t>
  </si>
  <si>
    <t>10.1590/0001-3765202220211586</t>
  </si>
  <si>
    <t>1V6IS</t>
  </si>
  <si>
    <t>WOS:000806191600001</t>
  </si>
  <si>
    <t>Bruzzi, RS; Moraes, MM; Martins, YAT; Hudson, ASR; Ladeira, RVP; Núñez-Espinosa, C; Wanner, SP; Arantes, RME</t>
  </si>
  <si>
    <t>Bruzzi, Rubio S.; Moraes, Michele M.; Martins, Ygor A. T.; Hudson, Alexandre S. R.; Ladeira, Roberto V. P.; Nunez-Espinosa, Cristian; Wanner, Samuel P.; Arantes, Rosa M. E.</t>
  </si>
  <si>
    <t>Heart rate variability, thyroid hormone concentration, and neuropsychological responses in Brazilian navy divers: a case report of diving in Antarctic freezing waters</t>
  </si>
  <si>
    <t>autonomic regulation; cold; parasympathetic; sympathetic; thyroid-stimulating hormone (TSH); thyroxine (T4)</t>
  </si>
  <si>
    <t>PLASMA-VOLUME; COLD; CORE; TEMPERATURE; VIGILANCE; REFLEX; SYSTEM; MEMORY; POLAR; POWER</t>
  </si>
  <si>
    <t>Open-water diving in a polar environment is a psychophysiological challenge to the human organism. We evaluated the effect of short-term diving (i.e., 10 min) in Antarctic waters on autonomic cardiac control, thyroid hormone concentration, body temperatures, mood, and neuropsychological responses (working memory and sleepiness). Data collection was carried out at baseline, before, and after diving in four individuals divided into the supporting (n=2) and diving (n=2) groups. In the latter group, autonomic cardiac control (by measuring heart rate variability) was also assessed during diving. Diving decreased thyroid-stimulating hormone (effect size = 1.6) and thyroxine (effect size = 2.1) concentrations; these responses were not observed for the supporting group. Diving also reduced both the parasympathetic (effect size = 2.6) and sympathetic activities to the heart (ES &gt; 3.0). Besides, diving reduced auricular (effect size &gt; 3.0), skin [i.e., hand (effect size = 1.2) and face (effect size = 1.5)] temperatures compared to predive and reduced sleepiness state (effect size = 1.3) compared to basal, without changing performance in the working memory test. In conclusion, short-term diving in icy waters affects the hypothalamic-pituitary-thyroid axis, modulates autonomic cardiac control, and reduces body temperature, which seems to decrease sleepiness.</t>
  </si>
  <si>
    <t>[Bruzzi, Rubio S.; Moraes, Michele M.; Martins, Ygor A. T.; Hudson, Alexandre S. R.; Wanner, Samuel P.] Univ Fed Minas Gerais, Escola Educ Fis Fisioterapia &amp; Terapia Ocupac, Lab Fisiol Exercicio, Av Presidente Antonio Carlos 6627, BR-31270901 Belo Horizonte, MG, Brazil; [Moraes, Michele M.; Arantes, Rosa M. E.] Univ Fed Minas Gerais, Inst Ciencias Biol, Dept Patol, Av Presidente Antonio Carlos 6627, BR-31270901 Belo Horizonte, MG, Brazil; [Moraes, Michele M.; Ladeira, Roberto V. P.; Arantes, Rosa M. E.] Univ Fed Minas Gerais NUPAD FM UFMG, Nucleo Acoes &amp; Pesquisa Apoio Diagnost, Rua Alfredo Balena 189, BR-30130100 Belo Horizonte, MG, Brazil; [Nunez-Espinosa, Cristian] Univ Magallanes, Escuela Med, Lab Fisiol, Ave Bulnes, Punta Arenas, Chile</t>
  </si>
  <si>
    <t>Universidade Federal de Minas Gerais; Universidade Federal de Minas Gerais; Universidad de Magallanes</t>
  </si>
  <si>
    <t>Arantes, RME (corresponding author), Univ Fed Minas Gerais, Inst Ciencias Biol, Dept Patol, Av Presidente Antonio Carlos 6627, BR-31270901 Belo Horizonte, MG, Brazil.;Arantes, RME (corresponding author), Univ Fed Minas Gerais NUPAD FM UFMG, Nucleo Acoes &amp; Pesquisa Apoio Diagnost, Rua Alfredo Balena 189, BR-30130100 Belo Horizonte, MG, Brazil.</t>
  </si>
  <si>
    <t>rosa@icb.ufmg.br</t>
  </si>
  <si>
    <t>MORAES, MICHELE/W-4042-2019; Wanner, Samuel P./F-9654-2012; Núñez-Espinosa, Cristian A/ADF-6181-2022; ARANTES, ROSA MARIA ESTEVES/C-5749-2013</t>
  </si>
  <si>
    <t>MORAES, MICHELE/0000-0003-4707-6099; Wanner, Samuel P./0000-0002-4659-1032; Núñez-Espinosa, Cristian A/0000-0002-9896-7062; Bruzzi, Rubio/0000-0003-3645-4592; Ribeiro Hudson, Alexandre Servulo/0000-0002-1832-5044; ARANTES, ROSA MARIA ESTEVES/0000-0003-1428-9717; Martins, Ygor/0000-0002-5534-7330</t>
  </si>
  <si>
    <t>Conselho Nacional de Desenvolvimento Cientifico e Tecnologico (CNPq)/Ministerio da Ciencia, Tecnologia e Inovacoes (MCTI)/Coordenacao de Aperfeicoamento de Pessoal de Nivel Superior (CAPES)/Fundo Nacional de Desenvolvimento Cientifico e Tecnologico (FNDCT) [442645/2018-0]; Fundacao de Amparo a Pesquisa do Estado de Minas Gerais (FAPEMIG) [AEC-00017-18, CDS-PPM 000304/16, CBB-APQ-01419-14]; Pro-Reitoria de Pesquisa da Universidade Federal de Minas Gerais (PRPq UFMG); Conselho Nacional de Desenvolvimento Cientifico e Tecnologico (CNPq) [305952/2017-0]; Coordenacao de Aperfeicoamento de Pessoal de Nivel Superior Brasil (CAPES) [001]; CAPES/BRASIL [88887.321687/2019-00]</t>
  </si>
  <si>
    <t>Conselho Nacional de Desenvolvimento Cientifico e Tecnologico (CNPq)/Ministerio da Ciencia, Tecnologia e Inovacoes (MCTI)/Coordenacao de Aperfeicoamento de Pessoal de Nivel Superior (CAPES)/Fundo Nacional de Desenvolvimento Cientifico e Tecnologico (FNDCT); Fundacao de Amparo a Pesquisa do Estado de Minas Gerais (FAPEMIG)(Fundacao de Amparo a Pesquisa do Estado de Minas Gerais (FAPEMIG)); Pro-Reitoria de Pesquisa da Universidade Federal de Minas Gerais (PRPq UFMG); Conselho Nacional de Desenvolvimento Cientifico e Tecnologico (CNPq)(Conselho Nacional de Desenvolvimento Cientifico e Tecnologico (CNPQ)); Coordenacao de Aperfeicoamento de Pessoal de Nivel Superior Brasil (CAPES)(Coordenacao de Aperfeicoamento de Pessoal de Nivel Superior (CAPES)); CAPES/BRASIL(Coordenacao de Aperfeicoamento de Pessoal de Nivel Superior (CAPES))</t>
  </si>
  <si>
    <t>The authors thank the military personnel involved in the Brazilian OPERANTAR for logistical support. Especially, the authors thank the volunteers who participated in this study. This study was supported by Conselho Nacional de Desenvolvimento Cientifico e Tecnologico (CNPq)/Ministerio da Ciencia, Tecnologia e Inovacoes (MCTI)/Coordenacao de Aperfeicoamento de Pessoal de Nivel Superior (CAPES)/Fundo Nacional de Desenvolvimento Cientifico e Tecnologico (FNDCT)/Programa Antartico Brasileiro (PROANTAR) [442645/2018-0]; Fundacao de Amparo a Pesquisa do Estado de Minas Gerais (FAPEMIG) [AEC-00017-18; CDS-PPM 000304/16; CBB-APQ-01419-14] and Pro-Reitoria de Pesquisa da Universidade Federal de Minas Gerais (PRPq UFMG). RMEA received research fellowship from Conselho Nacional de Desenvolvimento Cientifico e Tecnologico (CNPq) [305952/2017-0]. This study was financed in part by the Coordenacao de Aperfeicoamento de Pessoal de Nivel Superior Brasil (CAPES) -Finance Code 001; MMM post-doctoral fellowship, CAPES/BRASIL [88887.321687/2019-00].</t>
  </si>
  <si>
    <t>e20210501</t>
  </si>
  <si>
    <t>10.1590/0001-3765202120210501</t>
  </si>
  <si>
    <t>1V6GV</t>
  </si>
  <si>
    <t>WOS:000806186600001</t>
  </si>
  <si>
    <t>Schmitz, D; Michel, RFM; Ferrari, FR; Villa, PM; Francelino, MR; Putzke, J; López-Martínez, J; Schaefer, CEGR</t>
  </si>
  <si>
    <t>Schmitz, Daniela; Michel, Roberto F. M.; Ferrari, Flavia R.; Villa, Pedro M.; Francelino, Marcio R.; Putzke, Jair; Lopez-Martinez, Jeronimo; Schaefer, Carlos Ernesto G. R.</t>
  </si>
  <si>
    <t>Soil-landform-vegetation interplays at Stinker Point, Elephant Island, Antarctica</t>
  </si>
  <si>
    <t>Cryosol; Holocene landscape; lichens; mosses; ornithogenic soils; platforms</t>
  </si>
  <si>
    <t>SOUTH-SHETLAND ISLANDS; MARITIME ANTARCTICA; SUBDUCTION COMPLEX; ORGANIC-CARBON; PENINSULA; CRYOSOLS; EVOLUTION</t>
  </si>
  <si>
    <t>The geomorphic dynamics on ice-free areas are crucial for understanding soil formation, vegetation and landscape stability in maritime Antarctic. We aimed to describe the soil formation on different landforms, following the Holocene glacial retreat at Stinker Point. Twenty profiles were sampled and classified, grouped into three landforms units: middle platforms and scarps, till/glacial deposits and present/Holocene raised beaches. Soil chemical and physical attributes were determined, and the vegetation type identified and quantified. Soils from till and glacial deposits can be separated by the age of exposure: older soils are stony, skeletic; and recently exposed till has soils with moderate depth, alkaline reaction and very high base saturation. Soils at the middle platforms are shallow, coarse-grained, skeletic, with abundant vegetation. Soils from the present-day beaches are alkaline, very coarse with no horizon differentiation, whereas soils on Holocene beaches are acid and nutrient-rich due to past or present-day influence of fauna. Soils from Stinker Point are generally shallow, skeletic and strongly related to the landforms and biogenic influences. Compared with other islands of the South Shetlands, in Elephant Island soil development is less pronounced, being this mainly attributed to the metamorphic nature of parent material, with greater resistance to weathering.</t>
  </si>
  <si>
    <t>[Schmitz, Daniela; Francelino, Marcio R.; Schaefer, Carlos Ernesto G. R.] Univ Fed Vicosa, Dept Solos, Av PH Rolfs S-N, BR-36570900 Vicosa, MG, Brazil; [Michel, Roberto F. M.] Univ Estadual Santa Cruz UESC, Dept Ciencias Agr &amp; Ambientais, Rodovia Jorge Amado,Km 16, BR-45662900 Ilheus, BA, Brazil; [Ferrari, Flavia R.; Villa, Pedro M.] Univ Fed Vicosa, Dept Biol Vegetal, Av PH Rolfs S-n, BR-36570900 Vicosa, MG, Brazil; [Villa, Pedro M.] Univ Fed Vicosa, Dept Engn Florestal, Av PH Rolfs S-n, BR-36570900 Vicosa, MG, Brazil; [Putzke, Jair] Univ Fed Pampa, Rua Aluizio Barros Macedo S-N,Br 290,Km 423, BR-97307020 Sao Gabriel, RS, Brazil; [Lopez-Martinez, Jeronimo] Univ Autonoma Madrid, Madrid 28049, Spain</t>
  </si>
  <si>
    <t>Universidade Federal de Vicosa; Universidade Estadual de Santa Cruz; Universidade Federal de Vicosa; Universidade Federal de Vicosa; Universidade Federal do Pampa; Autonomous University of Madrid</t>
  </si>
  <si>
    <t>Schmitz, D (corresponding author), Univ Fed Vicosa, Dept Solos, Av PH Rolfs S-N, BR-36570900 Vicosa, MG, Brazil.</t>
  </si>
  <si>
    <t>daniela.schmitz@ufv.br</t>
  </si>
  <si>
    <t>Putzke, Jair/P-9380-2019; Lopez-Martinez, Jeronimo/C-5744-2011; Francelino, Marcio Rocha/AAS-4224-2020; Schmitz, Daniela/AAY-8008-2020; Ferrari, Flávia Ramos/AAC-8048-2022; Villa, Pedro Manuel/S-8051-2017</t>
  </si>
  <si>
    <t>Lopez-Martinez, Jeronimo/0000-0002-1750-8287; Francelino, Marcio Rocha/0000-0001-8837-1372; Schmitz, Daniela/0000-0002-3162-2430; Ferrari, Flávia Ramos/0000-0003-3771-2266; Villa, Pedro Manuel/0000-0003-4826-3187; , jair/0000-0002-9018-9024</t>
  </si>
  <si>
    <t>Coordenacao de Aperfeicoamento de Pessoal de Nivel Superior (CAPES); Conselho Nacional de Desenvolvimento Cientifico e Tecnologico (CNPq) [556794/20095, 442703/20180]; Marinha do Brasil and Secretaria Interministerial para os Recursos do MAR (SECIRM)</t>
  </si>
  <si>
    <t>Coordenacao de Aperfeicoamento de Pessoal de Nivel Superior (CAPES)(Coordenacao de Aperfeicoamento de Pessoal de Nivel Superior (CAPES)); Conselho Nacional de Desenvolvimento Cientifico e Tecnologico (CNPq)(Conselho Nacional de Desenvolvimento Cientifico e Tecnologico (CNPQ)); Marinha do Brasil and Secretaria Interministerial para os Recursos do MAR (SECIRM)</t>
  </si>
  <si>
    <t>We acknowledge Coordenacao de Aperfeicoamento de Pessoal de Nivel Superior (CAPES), the Conselho Nacional de Desenvolvimento Cientifico e Tecnologico (CNPq) for financial support of this project #556794/20095 and PROANTAR-Permaclima project #442703/20180. We are grateful to Marinha do Brasil and Secretaria Interministerial para os Recursos do MAR (SECIRM) for financial support and field assistance. This work is a contribution of the INCT-Criosfera TERRANTAR group.</t>
  </si>
  <si>
    <t>e20210676</t>
  </si>
  <si>
    <t>10.1590/0001-3765202220210676</t>
  </si>
  <si>
    <t>1V6HQ</t>
  </si>
  <si>
    <t>WOS:000806188700001</t>
  </si>
  <si>
    <t>Wang, TY; Du, Y; Wang, MY</t>
  </si>
  <si>
    <t>Wang, Tianyu; Du, Yan; Wang, Minyang</t>
  </si>
  <si>
    <t>Overlooked Current Estimation Biases Arising from the Lagrangian Argo Trajectory Derivation Method</t>
  </si>
  <si>
    <t>Eddies; Ocean circulation; Buoy observations; Bias; Numerical analysis/modeling</t>
  </si>
  <si>
    <t>GENERAL-CIRCULATION; OCEAN; VELOCITIES; PACIFIC; SEPARATION; SURFACE; FLOATS</t>
  </si>
  <si>
    <t>An Argo simulation system is used to provide synthetic Lagrangian trajectories based on the Estimating the Circulation and Climate of the Ocean Model, phase II (ECCO2). In combination with ambient Eulerian velocity at the reference layer (1000 m) from the model, quantitative metrics of the Lagrangian trajectory-derived velocities are computed. The result indicates that the biases induced by the derivation algorithm are strongly linked with ocean dynamics. In low latitudes, Ekman currents and vertically sheared geostrophic currents influence both the magnitude and the direction of the derivation velocity vectors. The maximal shear-induced biases exist near the equator with the amplitudes reaching up to about 12 cm s(-1). The angles of the shear biases are pronounced in the low-latitude oceans, ranging from 8 degrees to 8 degrees. Specifically, the study shows an overlooked bias from the float drifting motions that mainly occurs in the western boundary current and Antarctic Circumpolar Current (ACC) regions. In these regions, a recently reported horizontal acceleration measured via Lagrangian floats is significantly associated with the strong eddy-jet interactions. The acceleration could induce an overestimation of Eulerian current velocity magnitudes. For the common Argo floats with a 9-day float parking period, the derivation speed biases induced by velocity acceleration would be as large as 3 cm s(-1), approximately 12% of the ambient velocity. It might have implications to map the mean middepth ocean currents from Argo trajectories, as well as to understand the dynamics of eddy-jet interactions in the ocean.</t>
  </si>
  <si>
    <t>[Wang, Tianyu; Du, Yan; Wang, Minyang] Chinese Acad Sci, South China Sea Inst Oceanol, State Key Lab Trop Oceanog, Guangzhou, Peoples R China; [Wang, Tianyu; Du, Yan; Wang, Minyang] Univ Chinese Acad Sci, Beijing, Peoples R China; [Wang, Tianyu; Du, Yan; Wang, Minyang] Southern Marine Sci &amp; Engn Guangdong Lab, Guangzhou, Peoples R China</t>
  </si>
  <si>
    <t>Chinese Academy of Sciences; South China Sea Institute of Oceanology, CAS; Chinese Academy of Sciences; University of Chinese Academy of Sciences, CAS; Southern Marine Science &amp; Engineering Guangdong Laboratory; Southern Marine Science &amp; Engineering Guangdong Laboratory (Guangzhou)</t>
  </si>
  <si>
    <t>Du, Y (corresponding author), Chinese Acad Sci, South China Sea Inst Oceanol, State Key Lab Trop Oceanog, Guangzhou, Peoples R China.;Du, Y (corresponding author), Univ Chinese Acad Sci, Beijing, Peoples R China.;Du, Y (corresponding author), Southern Marine Sci &amp; Engn Guangdong Lab, Guangzhou, Peoples R China.</t>
  </si>
  <si>
    <t>duyan@scsio.ac.cn</t>
  </si>
  <si>
    <t>Wang, Minyang/GSE-6230-2022; DU, YAN/HZI-1091-2023; DU, Yan/C-4496-2013</t>
  </si>
  <si>
    <t>Wang, Minyang/0000-0002-7123-8302; DU, Yan/0000-0002-7842-0801</t>
  </si>
  <si>
    <t>10.1175/JPO-D-20-0287.1</t>
  </si>
  <si>
    <t>1U1HD</t>
  </si>
  <si>
    <t>WOS:000805169000001</t>
  </si>
  <si>
    <t>Carpenedo, CB; Ambrizzi, T</t>
  </si>
  <si>
    <t>Carpenedo, Camila B.; Ambrizzi, Tercio</t>
  </si>
  <si>
    <t>Atmospheric blockings in Coupled Model Intercomparison Project Phase 5 models with different representations of Antarctic sea ice extent</t>
  </si>
  <si>
    <t>Atmospheric blockings; sea ice; CMIP5; Antarctica</t>
  </si>
  <si>
    <t>GENERAL-CIRCULATION MODEL; SOUTHERN-HEMISPHERE; LIFE-CYCLES; PERSISTENT ANOMALIES; CLIMATE SENSITIVITY; NORTH PACIFIC; STORM TRACKS; VARIABILITY; FREQUENCY; DYNAMICS</t>
  </si>
  <si>
    <t>This study investigated whether there are differences in the frequency and position of Southern Hemisphere atmospheric blockings between Coupled Model Intercomparison Project Phase 5 models with different representations of Antarctic sea ice extent in historical experiments. In the model with the greatest sea ice underestimation (Model for Interdisciplinary Research on Climate version 5) there is a weakening of the polar jet and an increase in 500-hPa height These atmospheric conditions favor the predomination of simulated blocking frequency overestimations (autumn-winter), in relation to the observed (ERA-Interim). On the other hand, in the models with the greatest sea ice overestimations (Community Climate System Model version 4) and the better sea ice representation (Norwegian Earth System Model version 1) there is a strengthening of the polar jet and weaker positive differences in 500-hPa height in the Antarctic region. These atmospheric conditions favor a predominance of simulated blocking frequency underestimations (all seasons). All models present a good representation of the preferred blocking regions (South Pacific), although they do not represent the longitudinal location of the maximum frequency. In years of sea ice retraction (expansion), there is a predominance of a higher (lower) blocking frequency in the 60 degrees S for all models and observed data.</t>
  </si>
  <si>
    <t>[Carpenedo, Camila B.] Univ Fed Parana, Setor Ciencias Agr, Dept Solos &amp; Engn Agr, Rua Funcionarios 1540, BR-80035050 Curitiba, Parana, Brazil; [Ambrizzi, Tercio] Univ Sao Paulo, Inst Astron Geofis &amp; Ciencias Atmosfer, Dept Ciencias Atmosfer, Rua Matao 1226,Cidade Univ, BR-05508090 Sao Paulo, SP, Brazil</t>
  </si>
  <si>
    <t>Universidade Federal do Parana; Universidade de Sao Paulo</t>
  </si>
  <si>
    <t>Carpenedo, CB (corresponding author), Univ Fed Parana, Setor Ciencias Agr, Dept Solos &amp; Engn Agr, Rua Funcionarios 1540, BR-80035050 Curitiba, Parana, Brazil.</t>
  </si>
  <si>
    <t>camila.carpenedo@ufpr.br</t>
  </si>
  <si>
    <t>Ambrizzi, Tercio/A-4636-2008; Carpenedo, Camila/AHA-7140-2022</t>
  </si>
  <si>
    <t>Carpenedo, Camila/0000-0001-9034-789X; Ambrizzi, Tercio/0000-0001-8796-7326</t>
  </si>
  <si>
    <t>e20210432</t>
  </si>
  <si>
    <t>10.1590/0001-3765202220210432</t>
  </si>
  <si>
    <t>1V6FL</t>
  </si>
  <si>
    <t>WOS:000806183000001</t>
  </si>
  <si>
    <t>Garabato, ACN; Yu, XL; Callies, J; Barkan, R; Polzin, KL; Frajka-Williams, EE; Buckingham, CE; Griffies, SM</t>
  </si>
  <si>
    <t>Garabato, Alberto C. Naveira; Yu, Xiaolong; Callies, Jorn; Barkan, Roy; Polzin, Kurt L.; Frajka-Williams, Eleanor E.; Buckingham, Christian E.; Griffies, Stephen M.</t>
  </si>
  <si>
    <t>Kinetic Energy Transfers between Mesoscale and Submesoscale Motions in the Open Ocean's Upper Layers</t>
  </si>
  <si>
    <t>Ageostrophic circulations; Dynamics; Eddies; Energy transport; Frontogenesis; frontolysis; Instability; Mesoscale processes; Nonlinear dynamics; Ocean circulation; Ocean dynamics; Small scale processes; Turbulence</t>
  </si>
  <si>
    <t>CALIFORNIA CURRENT SYSTEM; POTENTIAL VORTICITY; PART II; BAROCLINIC INSTABILITY; ANNUAL CYCLE; TURBULENCE; VARIABILITY; SURFACE; EDDIES; DISSIPATION</t>
  </si>
  <si>
    <t>Mesoscale eddies contain the bulk of the ocean's kinetic energy (KE), but fundamental questions remain on the cross-scale KE transfers linking eddy generation and dissipation. The role of submesoscale flows represents the key point of discussion, with contrasting views of submesoscales as either a source or a sink of mesoscale KE. Here, the first observational assessment of the annual cycle of the KE transfer between mesoscale and submesoscale motions is performed in the upper layers of a typical open-ocean region. Although these diagnostics have marginal statistical significance and should be regarded cautiously, they are physically plausible and can provide a valuable benchmark for model evaluation. The cross-scale KE transfer exhibits two distinct stages, whereby submesoscales energize mesoscales in winter and drain mesoscales in spring. Despite this seasonal reversal, an inverse KE cascade operates throughout the year across much of the mesoscale range. Our results are not incompatible with recent modeling investigations that place the headwaters of the inverse KE cascade at the submesoscale, and that rationalize the seasonality of mesoscale KE as an inverse cascade-mediated response to the generation of submesoscales in winter. However, our findings may challenge those investigations by suggesting that, in spring, a downscale KE transfer could dampen the inverse KE cascade. An exploratory appraisal of the dynamics governing mesoscale-submesoscale KE exchanges suggests that the upscale KE transfer in winter is underpinned by mixed layer baroclinic instabilities, and that the downscale KE transfer in spring is associated with frontogenesis. Current submesoscale-permitting ocean models may substantially understate this downscale KE transfer, due to the models' muted representation of frontogenesis.</t>
  </si>
  <si>
    <t>[Garabato, Alberto C. Naveira] Univ Southampton, Ocean &amp; Earth Sci, Southampton, England; [Yu, Xiaolong] Sun Yat Sen Univ, Sch Marine Sci, Zhuhai, Peoples R China; [Yu, Xiaolong; Buckingham, Christian E.] Univ Bretagne Occidentale, Lab Oceanog Phys &amp; Spatiale, Ifremer, Brest, France; [Callies, Jorn] CALTECH, Pasadena, CA USA; [Barkan, Roy] Univ Calif Los Angeles, Dept Atmospher &amp; Ocean Sci, Los Angeles, CA USA; [Barkan, Roy] Tel Aviv Univ, Dept Geosci, Ramat Aviv, Israel; [Polzin, Kurt L.] Woods Hole Oceanog Inst, Woods Hole, MA USA; [Frajka-Williams, Eleanor E.] Natl Oceanog Ctr, Southampton, England; [Buckingham, Christian E.] British Antarctic Survey, Cambridge, England; [Griffies, Stephen M.] NOAA, Geophys Fluid Dynam Lab, Princeton, NJ USA; [Griffies, Stephen M.] Princeton Univ, Program Atmospher &amp; Ocean Sci, Princeton, NJ 08544 USA</t>
  </si>
  <si>
    <t>University of Southampton; Sun Yat Sen University; Ifremer; Universite de Bretagne Occidentale; California Institute of Technology; University of California System; University of California Los Angeles; Tel Aviv University; Woods Hole Oceanographic Institution; NERC National Oceanography Centre; UK Research &amp; Innovation (UKRI); Natural Environment Research Council (NERC); NERC British Antarctic Survey; National Oceanic Atmospheric Admin (NOAA) - USA; National Oceanic Atmospheric Admin (NOAA) - USA; Princeton University</t>
  </si>
  <si>
    <t>Yu, XL (corresponding author), Sun Yat Sen Univ, Sch Marine Sci, Zhuhai, Peoples R China.;Yu, XL (corresponding author), Univ Bretagne Occidentale, Lab Oceanog Phys &amp; Spatiale, Ifremer, Brest, France.</t>
  </si>
  <si>
    <t>yuxlong5@mail.sysu.edu.cn</t>
  </si>
  <si>
    <t>Griffies, Stephen Matthew/N-9144-2019; Barkan, Roy/GZK-9665-2022; Frajka-Williams, Eleanor/H-2415-2011; Buckingham, Christian/K-2268-2014</t>
  </si>
  <si>
    <t>Griffies, Stephen Matthew/0000-0002-3711-236X; Frajka-Williams, Eleanor/0000-0001-8773-7838; Yu, Xiaolong/0000-0001-6748-188X; Buckingham, Christian/0000-0001-9355-9038</t>
  </si>
  <si>
    <t>U.K. Natural Environment Research Council (NERC) [NE/1019999/1, NE/101993X/1]; Royal Society; Wolfson Foundation; China Scholarship Council PhD studentship</t>
  </si>
  <si>
    <t>U.K. Natural Environment Research Council (NERC)(UK Research &amp; Innovation (UKRI)Natural Environment Research Council (NERC)); Royal Society(Royal Society); Wolfson Foundation; China Scholarship Council PhD studentship(China Scholarship Council)</t>
  </si>
  <si>
    <t>The OSMOSIS experiment was funded by the U.K. Natural Environment Research Council (NERC) through Grants NE/1019999/1 and NE/101993X/1. ACNG acknowledges the support of the Royal Society and the Wolfson Foundation, and XY that of a China Scholarship Council PhD studentship. We are grateful to the engineers, scientists, captain, and crew of the RRS Discovery, RRS James Cook, and R/V Celtic Explorer, who participated in the deployment and recovery of the moorings and gliders. All data are archived at the British Oceanographic Data Centre. We thank Zachary Erickson and Andrew Thompson for providing us with the LLC4320 model output, and Baylor Fox-Kemper, Hemant Khatri and three anonymous reviewers for insightful feedback.</t>
  </si>
  <si>
    <t>10.1175/JPO-D-21-0099.1</t>
  </si>
  <si>
    <t>1L8ZF</t>
  </si>
  <si>
    <t>WOS:000799570100003</t>
  </si>
  <si>
    <t>Svec, P; Králová, S; Stanková, E; Holochová, P; Sedlár, K; Koudelková, S; Krsek, D; Grzesiak, J; Sedo, O; Váczi, P; Urvashi; Gupta, V; Sood, U; Lal, R; Korpole, S; Sedlácek, I</t>
  </si>
  <si>
    <t>Svec, Pavel; Kralova, Stanislava; Stankova, Eva; Holochova, Pavla; Sedlar, Karel; Koudelkova, Sylva; Krsek, Daniel; Grzesiak, Jakub; Sedo, Ondrej; Vaczi, Peter; Urvashi; Gupta, Vipin; Sood, Utkarsh; Lal, Rup; Korpole, Suresh; Sedlacek, Ivo</t>
  </si>
  <si>
    <t>Pedobacter fastidiosus sp. nov., isolated from glacial habitats of maritime Antarctica</t>
  </si>
  <si>
    <t>Pedobacter fastidiosus sp. nov.; proglacial stream; glacier; Antarctica; taxonomy</t>
  </si>
  <si>
    <t>PROPOSED MINIMAL STANDARDS; GENOME; CLASSIFICATION; IDENTIFICATION; HEPARINUS; SEQUENCES; BACTERIA; PROTEIN; VERSION; FAMILY</t>
  </si>
  <si>
    <t>Strains P8930(T) and 478 were isolated from Antarctic glaciers located on James Ross Island and King George Island, respectively. They comprised Gram-stain-negative short rod-shaped cells forming pink pigmented colonies and exhibited identical 16S rRNA gene sequences and highly similar MALDI TOF mass spectra, and hence were assigned as representatives of the same species. Phylogenetic analysis based on 16S rRNA gene sequences assigned both isolates to the genus Pedobacter and showed Pedobacter frigidisoli and Pedobacter terrae to be their closest phylogenetic neighbours, with 97.4 and 97.2% 16S rRNA, gene sequence similarities, respectively. These low similarity values were below the threshold similarity value of 98.7%, confirming the delineation of a new bacterial species. Further genomic characterization included whole-genome sequencing accompanied by average nucleotide identity (ANI) and digital DNA-DNA hybridization calculations, and characterization of the genome features. The ANI values between P8930(T) and P. frigidisoli RP-3-11(T) and P. terrae DSM 17933(T) were 79.7 and 77.6%, respectively, and the value between P. frigidisoli RP-3-11(T) and P. terrae DSM 17933(T) was 77.7%, clearly demonstrating the phylogenetic distance and the novelty of strain P8930(T). Further characterization included analysis of cellular fatty acids, quinones and polar lipids, and comprehensive biotyping. All the obtained results proved the separation of strains P8930(T) and 478 from the other validly named Pedobacter species, and confirmed that they represent a new species for which the name Pedobacter fastidiosus sp. nov. is proposed. The type strain is P8930(T) (=CCM 8938(T)=LMG 32098(T)).</t>
  </si>
  <si>
    <t>[Svec, Pavel; Kralova, Stanislava; Stankova, Eva; Holochova, Pavla; Koudelkova, Sylva; Sedlacek, Ivo] Masaryk Univ, Fac Sci, Dept Expt Biol, Czech Collect Microorganisms, Kamenice 5, Brno 62500, Czech Republic; [Sedlar, Karel] Brno Univ Technol, Fac Elect Engn &amp; Commun, Dept Biomed Engn, Tech 12, Brno 61600, Czech Republic; [Krsek, Daniel] Natl Inst Publ Hlth, NRL Diagnost Electron Microscopy Infect Agents, Srobarova 49-48, Prague 10000 10, Czech Republic; [Grzesiak, Jakub] Polish Acad Sci, Inst Biochem &amp; Biophys, Dept Antarctic Biol, Pawinskiego 5A, PL-02106 Warsaw, Poland; [Sedo, Ondrej] Masaryk Univ, Cent European Inst Technol, Kamenice 5, Brno 62500, Czech Republic; [Vaczi, Peter] Masaryk Univ, Fac Sci, Dept Expt Biol, Div Expt Plant Biol, Kamenice 5, Brno 62500, Czech Republic; [Urvashi; Korpole, Suresh] CSIR, Microbial Type Culture Collect &amp; Gene Bank MTCC, Inst Microbial Technol, Sect 39A, Chandigarh 160036, India; [Gupta, Vipin] Minist Environm Forest &amp; Climate Change, Integrated Reg Off, Dehra Dun 248001, Uttarakhand, India; [Sood, Utkarsh; Lal, Rup] Energy &amp; Resources Inst, Lodhi Rd, New Delhi 110003, India</t>
  </si>
  <si>
    <t>Masaryk University Brno; Brno University of Technology; National Institute of Public Health (SZU) - Czech Republic; Polish Academy of Sciences; Institute of Biochemistry &amp; Biophysics - Polish Academy of Sciences; Masaryk University Brno; Masaryk University Brno; Council of Scientific &amp; Industrial Research (CSIR) - India; CSIR - Institute of Microbial Technology (IMTECH); TERI University</t>
  </si>
  <si>
    <t>Králová, S (corresponding author), Masaryk Univ, Fac Sci, Dept Expt Biol, Czech Collect Microorganisms, Kamenice 5, Brno 62500, Czech Republic.</t>
  </si>
  <si>
    <t>kralova.s@sci.muni.cz</t>
  </si>
  <si>
    <t>Sedlacek, Ivo/IWU-8828-2023; Svec, Pavel/B-1209-2008; Sedlar, Karel/K-1120-2014; kashyap, urvashi/GVS-1763-2022; Lal, Rup/AFP-1009-2022</t>
  </si>
  <si>
    <t>Svec, Pavel/0000-0002-1051-5177; Sedlar, Karel/0000-0002-8269-4020; Sood, Utkarsh/0000-0002-0886-0107; Kralova, Stanislava/0000-0003-3384-5328</t>
  </si>
  <si>
    <t>Ministry of Education, Youth and Sports of the Czech Republic, project CzechPolar2 [LM2015078]; Ecopolaris project [CZ.02.1.01/0.0/0.0/16_013/0001708]; MEYS CR infrastructure project [LM2018127]; European Regional Development Fund-Project UP CIISB [CZ.02.1.01/0.0/0.0/18_046/0015974]</t>
  </si>
  <si>
    <t>Ministry of Education, Youth and Sports of the Czech Republic, project CzechPolar2; Ecopolaris project; MEYS CR infrastructure project; European Regional Development Fund-Project UP CIISB</t>
  </si>
  <si>
    <t>The study was supported by the Ministry of Education, Youth and Sports of the Czech Republic, project CzechPolar2 (LM2015078), and partly supported by the Ecopolaris project (CZ.02.1.01/0.0/0.0/16_013/0001708). CIISB, the Instruct-CZ Centre of the Instruct-ERIC EU consortium, funded by MEYS CR infrastructure project LM2018127 and European Regional Development Fund-Project UP CIISB (No. CZ.02.1.01/0.0/0.0/18_046/0015974), is gratefully acknowledged for the financial support of the measurements at the CEITEC Proteomics Core Facility.</t>
  </si>
  <si>
    <t>10.1099/ijsem.0.005309</t>
  </si>
  <si>
    <t>1M7JR</t>
  </si>
  <si>
    <t>WOS:000800144400027</t>
  </si>
  <si>
    <t>Schulson, EM; Renshaw, CE</t>
  </si>
  <si>
    <t>Schulson, Erland M.; Renshaw, Carl E.</t>
  </si>
  <si>
    <t>Fracture, Friction, and Permeability of Ice</t>
  </si>
  <si>
    <t>ANNUAL REVIEW OF EARTH AND PLANETARY SCIENCES</t>
  </si>
  <si>
    <t>BRITTLE COMPRESSIVE FAILURE; SUPRAGLACIAL LAKE DRAINAGE; FRESH-WATER ICE; SUMMER SEA-ICE; DEPENDENT FRICTION; SHEAR FAULTS; SALINE ICE; MICROSTRUCTURAL EVOLUTION; EXPERIMENTAL DEFORMATION; MECHANICAL-PROPERTIES</t>
  </si>
  <si>
    <t>Water ice Ih exhibits brittle behavior when rapidly loaded. Under tension, it fails via crack nucleation and propagation. Compressive failure is more complicated. Under low confinement, cracks slide and interact to form a frictional (Coulombic) fault. Under high confinement, frictional sliding is suppressed and adiabatic heating through crystallographic slip leads to the formation of a plastic fault. The coefficient of static friction increases with time under load, owing to creep of asperities in contact. The coefficient of kinetic (dynamic) friction, set by the ratio of asperity shear strength to hardness, increases with velocity at lower speeds and decreases at higher speeds as contacts melt through frictional heating. Microcracks, upon reaching a critical number density (which near the ductile-to-brittle transition is nearly constant above a certain strain rate), form a pathway for percolation. Additional work is needed on the effects of porosity and crack healing. An understanding of brittle failure is essential to better predict the integrity of the Arctic and Antarctic sea ice covers and the tectonic evolution of the icy crusts of Enceladus, Europa, and other extraterrestrial satellites. Fundamental to the brittle failure of ice is the initiation and propagation of microcracks, frictional sliding across crack faces, and localization of strain through both crack interaction and adiabatic heating.</t>
  </si>
  <si>
    <t>[Schulson, Erland M.] Dartmouth Coll, Thayer Sch Engn, Hanover, NH 03755 USA; [Renshaw, Carl E.] Dartmouth Coll, Dept Earth Sci, Hanover, NH 03755 USA</t>
  </si>
  <si>
    <t>Dartmouth College; Dartmouth College</t>
  </si>
  <si>
    <t>Schulson, EM (corresponding author), Dartmouth Coll, Thayer Sch Engn, Hanover, NH 03755 USA.</t>
  </si>
  <si>
    <t>erland.m.schulson@dartmouth.edu</t>
  </si>
  <si>
    <t>National Science Foundation [1947107]</t>
  </si>
  <si>
    <t>The authors gratefully acknowledge the National Science Foundation for financial support through award 1947107.</t>
  </si>
  <si>
    <t>ANNUAL REVIEWS</t>
  </si>
  <si>
    <t>PALO ALTO</t>
  </si>
  <si>
    <t>4139 EL CAMINO WAY, PO BOX 10139, PALO ALTO, CA 94303-0139 USA</t>
  </si>
  <si>
    <t>0084-6597</t>
  </si>
  <si>
    <t>1545-4495</t>
  </si>
  <si>
    <t>ANNU REV EARTH PL SC</t>
  </si>
  <si>
    <t>Annu. Rev. Earth Planet. Sci.</t>
  </si>
  <si>
    <t>10.1146/annurev-earth-032320-085507</t>
  </si>
  <si>
    <t>Astronomy &amp; Astrophysics; Geosciences, Multidisciplinary</t>
  </si>
  <si>
    <t>Astronomy &amp; Astrophysics; Geology</t>
  </si>
  <si>
    <t>1T8CW</t>
  </si>
  <si>
    <t>WOS:000804955000014</t>
  </si>
  <si>
    <t>Salton, M; Bestley, S; Gales, N; Harcourt, R</t>
  </si>
  <si>
    <t>Salton, Marcus; Bestley, Sophie; Gales, Nick; Harcourt, Robert</t>
  </si>
  <si>
    <t>Environmental drivers of foraging behaviour during long-distance foraging trips of male Antarctic fur seals</t>
  </si>
  <si>
    <t>ANIMAL BEHAVIOUR</t>
  </si>
  <si>
    <t>Antarctic Circumpolar Current; area-restricted search; biologging; competition; dive behaviour; sea-ice; spatial heterogeneity</t>
  </si>
  <si>
    <t>SOUTHERN ELEPHANT SEALS; SEXUAL-SIZE DIMORPHISM; HEARD-ISLAND; ARCTOCEPHALUS-GAZELLA; BREEDING-SEASON; MARINE MAMMALS; PHYTOPLANKTON BLOOMS; MOVEMENT PATTERNS; DIVING BEHAVIOR; KING PENGUINS</t>
  </si>
  <si>
    <t>Animals may use long-distance foraging trips to capitalize on spatiotemporal variation in food availability, allowing individuals to maximize resource gain from foraging effort. This is particularly important for dimorphic species with polygynous mating where males face strong selection pressures to attain large size and access to reproductive females. We tracked 17 male Antarctic fur seals, Arctocephalus gazella, during their prolonged postbreeding trips and assessed links between their movements and environmental predictors of profitable feeding areas. Males made one of two types of trips: a long trip to the Antarctic ice edge or shorter trips to areas where the southern Antarctic Circumpolar Current fronts generate high biological activity. The trip type was not determined by body size but was related to departure date from the breeding area, suggesting that males must trade off opportunities at the breeding area (reproductive, social interactions) and foraging opportunities between breeding seasons. Regardless of trip structure, males focused search effort far from foraging areas of central-place foraging seabirds and seals including female Antarctic fur seals provisioning offspring. Males showed clear spatiotemporal patterns in dive behaviour, with deep dives in shelf waters during the day and predominantly shallower dives in pelagic waters at night. Diel dive patterns showed monthly changes in photoperiod and lunar phase, consistent with feeding on vertically migrating prey. However, males did not use area-restricted search to focus dive effort, instead performing a mix of foraging and nonforaging behaviour within and between restricted search areas. We discuss the scale and type of inference that can be made from movement models, given the behavioural constraints that govern long-distance trips in vast, heterogeneous environments like the Southern Ocean.(c) 2021 The Association for the Study of Animal Behaviour. Published by Elsevier Ltd. All rights reserved.</t>
  </si>
  <si>
    <t>[Salton, Marcus; Harcourt, Robert] Macquarie Univ, Dept Biol Sci, N Ryde, NSW, Australia; [Salton, Marcus; Bestley, Sophie; Gales, Nick] Dept Agr Water &amp; Environm, Australian Antarctic Div, Hobart, Tas, Australia; [Bestley, Sophie] Univ Tasmania, Inst Marine &amp; Antarctic Studies, Hobart, Tas, Australia</t>
  </si>
  <si>
    <t>Macquarie University; Australian Antarctic Division; University of Tasmania</t>
  </si>
  <si>
    <t>Salton, M (corresponding author), Macquarie Univ, Dept Biol Sci, N Ryde, NSW, Australia.;Salton, M (corresponding author), Dept Agr Water &amp; Environm, Australian Antarctic Div, Hobart, Tas, Australia.</t>
  </si>
  <si>
    <t>marcussalton@gmail.com</t>
  </si>
  <si>
    <t>Salton, Marcus/AAC-1616-2022</t>
  </si>
  <si>
    <t>Salton, Marcus/0000-0001-5647-406X; Harcourt, Robert/0000-0003-4666-2934</t>
  </si>
  <si>
    <t>Australian Antarctic Science project (ASAC) [2388]; Australian Postgraduate Award; Australia Research Council Super Science Fellowship [FS110200057]; Australian Research Council [FS110200057] Funding Source: Australian Research Council</t>
  </si>
  <si>
    <t>Australian Antarctic Science project (ASAC); Australian Postgraduate Award(Australian Government); Australia Research Council Super Science Fellowship(Australian Research Council); Australian Research Council(Australian Research Council)</t>
  </si>
  <si>
    <t>This project was funded through an Australian Antarctic Science project (ASAC Project 2388) . M. Salton was supported by an Australian Postgraduate Award. S. Bestley was supported by an Australia Research Council Super Science Fellowship (Project FS110200057).</t>
  </si>
  <si>
    <t>0003-3472</t>
  </si>
  <si>
    <t>1095-8282</t>
  </si>
  <si>
    <t>ANIM BEHAV</t>
  </si>
  <si>
    <t>Anim. Behav.</t>
  </si>
  <si>
    <t>10.1016/j.anbehav.2021.11.006</t>
  </si>
  <si>
    <t>Behavioral Sciences; Zoology</t>
  </si>
  <si>
    <t>1K6TR</t>
  </si>
  <si>
    <t>WOS:000798731100001</t>
  </si>
  <si>
    <t>Biscontin, A; Muller, F; Urso, I; Bertolucci, C; Kawaguchi, S; Meyer, B; De Pittà, C</t>
  </si>
  <si>
    <t>Biscontin, A.; Muller, F.; Urso, I.; Bertolucci, C.; Kawaguchi, S.; Meyer, B.; De Pitta, C.</t>
  </si>
  <si>
    <t>Defining the Antarctic krill's ontogenesis from a transcriptomic point of view</t>
  </si>
  <si>
    <t>ISJ-INVERTEBRATE SURVIVAL JOURNAL</t>
  </si>
  <si>
    <t>[Biscontin, A.; Urso, I.; De Pitta, C.] Univ Padua, Dept Biol, Padua, Italy; [Muller, F.; Meyer, B.] Helmholtz Ctr Polar &amp; Marine Res, Alfred Wegener Inst, Bremerhaven, Germany; [Meyer, B.] Carl von Ossietzky Univ Oldenburg, Inst Chem &amp; Biol, Marine Environm, Oldenburg, Germany; [Bertolucci, C.] Univ Ferrara, Dept Life Sci &amp; Biotechnol, Ferrara, Italy; [Kawaguchi, S.] Australian Antarctic Div, Dept Environm &amp; Heritage, Kingston, Tas, Australia</t>
  </si>
  <si>
    <t>University of Padua; Helmholtz Association; Alfred Wegener Institute, Helmholtz Centre for Polar &amp; Marine Research; Carl von Ossietzky Universitat Oldenburg; University of Ferrara; Australian Antarctic Division</t>
  </si>
  <si>
    <t>INVERTEBRATE SURVIVAL JOURNAL</t>
  </si>
  <si>
    <t>MODENA</t>
  </si>
  <si>
    <t>C/O DAVIDE MALAGOLI, DEPT OF LIFE SCIENCES, UNIV MODENA &amp; REGGIO EMILIA, VIA CAMPI, 213-D, MODENA, 41125, ITALY</t>
  </si>
  <si>
    <t>1824-307X</t>
  </si>
  <si>
    <t>ISJ-INVERT SURVIV J</t>
  </si>
  <si>
    <t>ISJ-Invertebr. Surviv. J.</t>
  </si>
  <si>
    <t>Immunology; Zoology</t>
  </si>
  <si>
    <t>1M4VJ</t>
  </si>
  <si>
    <t>WOS:000799968400016</t>
  </si>
  <si>
    <t>Sun, ST; Thompson, AF; Xie, SP; Long, SM</t>
  </si>
  <si>
    <t>Sun, Shantong; Thompson, Andrew F.; Xie, Shang-Ping; Long, Shang-Min</t>
  </si>
  <si>
    <t>Indo-Pacific Warming Induced by a Weakening of the Atlantic Meridional Overturning Circulation</t>
  </si>
  <si>
    <t>Meridional overturning circulation; Climate change; General circulation models</t>
  </si>
  <si>
    <t>SOUTHERN-OCEAN; NORTH-ATLANTIC; CLIMATE-CHANGE; HEAT; MODEL; TELECONNECTIONS; THERMOCLINE; ADJUSTMENT; MECHANISM; TRANSIENT</t>
  </si>
  <si>
    <t>The reorganization of the Atlantic meridional overturning circulation (AMOC) is often associated with changes in Earth's climate. These AMOC changes are communicated to the Indo-Pacific basins via wave processes and induce an overturning circulation anomaly that opposes the Atlantic changes on decadal to centennial time scales. We examine the role of this transient, interbasin overturning response, driven by an AMOC weakening, both in an ocean-only model with idealized geometry and in a coupled CO2 quadrupling experiment, in which the ocean warms on two distinct time scales: a fast decadal surface warming and a slow centennial subsurface warming. We show that the transient interbasin overturning produces a zonal heat redistribution between the Atlantic and Indo-Pacific basins. Following a weakened AMOC, an anomalous northward heat transport emerges in the Indo-Pacific, which substantially compensates for the Atlantic southward heat transport anomaly. This zonal heat redistribution manifests as a thermal interbasin seesaw between the high-latitude North Atlantic and the subsurface Indo-Pacific and helps to explain why Antarctic temperature records generally show more gradual changes than the Northern Hemisphere during the last glacial period. In the coupled CO2 quadrupling experiment, we find that the interbasin heat transport due to a weakened AMOC contributes substantially to the slow centennial subsurface warming in the Indo-Pacific, accounting for more than half of the heat content increase and sea level rise. Thus, our results suggest that the transient interbasin overturning circulation is a key component of the global ocean heat budget in a changing climate.</t>
  </si>
  <si>
    <t>[Sun, Shantong; Thompson, Andrew F.] CALTECH, Environm Sci &amp; Engn, Pasadena, CA 91125 USA; [Xie, Shang-Ping] Univ Calif San Diego, Scripps Inst Oceanog, La Jolla, CA 92093 USA; [Long, Shang-Min] Hohai Univ, Minist Nat Resources, Key Lab Marine Hazards Forecasting, Nanjing, Peoples R China; [Long, Shang-Min] Hohai Univ, Coll Oceanog, Nanjing, Peoples R China</t>
  </si>
  <si>
    <t>California Institute of Technology; University of California System; University of California San Diego; Scripps Institution of Oceanography; Ministry of Natural Resources of the People's Republic of China; Hohai University; Hohai University</t>
  </si>
  <si>
    <t>Sun, ST (corresponding author), CALTECH, Environm Sci &amp; Engn, Pasadena, CA 91125 USA.</t>
  </si>
  <si>
    <t>shantong@caltech.edu</t>
  </si>
  <si>
    <t>Xie, Shang-Ping/C-1254-2009; Long, Shang-Min/HNR-2623-2023; Sun, Shantong/HTR-4945-2023</t>
  </si>
  <si>
    <t>Xie, Shang-Ping/0000-0002-3676-1325; Sun, Shantong/0000-0002-6932-5589</t>
  </si>
  <si>
    <t>NSF [OCE-1756956]; David and Lucille Packard Foundation; National Natural Science Foundation of China [42076208, 41706026]; Resnick Sustainability Institute at the California Institute of Technology</t>
  </si>
  <si>
    <t>NSF(National Science Foundation (NSF)); David and Lucille Packard Foundation(The David &amp; Lucile Packard Foundation); National Natural Science Foundation of China(National Natural Science Foundation of China (NSFC)); Resnick Sustainability Institute at the California Institute of Technology</t>
  </si>
  <si>
    <t>Without implying their endorsement, we thank Emily Newsom, Laure Zanna, Spencer Jones, and Dave Bonan for helpful discussions. We are also grateful for constructive comments from Christopher Wolfe and two anonymous reviewers that helped to improve this manuscript. SS and AFT were supported by NSF Award OCE-1756956 and the David and Lucille Packard Foundation. SL acknowledges support from the National Natural Science Foundation of China (42076208 and 41706026). The computations presented here were conducted in the Resnick High Performance Center, a facility supported by Resnick Sustainability Institute at the California Institute of Technology.</t>
  </si>
  <si>
    <t>10.1175/JCLI-D-21-0346.1</t>
  </si>
  <si>
    <t>1L3JP</t>
  </si>
  <si>
    <t>WOS:000799188000020</t>
  </si>
  <si>
    <t>Savita, A; Domingues, CM; Boyer, T; Gouretski, V; Ishii, M; Johnson, GC; Lyman, JM; Willis, JK; Marsland, SJ; Hobbs, W; Church, JA; Monselesan, DP; Dobrohotoff, P; Cowley, R; Wijffels, SE</t>
  </si>
  <si>
    <t>Savita, Abhishek; Domingues, Catia M.; Boyer, Tim; Gouretski, Viktor; Ishii, Masayoshi; Johnson, Gregory C.; Lyman, John M.; Willis, Josh K.; Marsland, Simon J.; Hobbs, William; Church, John A.; Monselesan, Didier P.; Dobrohotoff, Peter; Cowley, Rebecca; Wijffels, Susan E.</t>
  </si>
  <si>
    <t>Quantifying Spread in Spatiotemporal Changes of Upper-Ocean Heat Content Estimates: An Internationally Coordinated Comparison</t>
  </si>
  <si>
    <t>Bias; Interpolation schemes; In situ oceanic observations; Uncertainty; Oceanic variability; Trends</t>
  </si>
  <si>
    <t>SEA-LEVEL; TEMPERATURE TRENDS; XBT; ARGO; UNCERTAINTIES; ATTRIBUTION; BIASES; RATES</t>
  </si>
  <si>
    <t>The Earth system is accumulating energy due to human-induced activities. More than 90% of this energy has been stored in the ocean as heat since 1970, with similar to 60% of that in the upper 700 m. Differences in upper-ocean heat content anomaly (OHCA) estimates, however, exist. Here, we use a dataset protocol for 1970-2008-with six instrumental bias adjustments applied to expendable bathythermograph (XBT) data, and mapped by six research groups-to evaluate the spatiotemporal spread in upper OHCA estimates arising from two choices: 1) those arising from instrumental bias adjustments and 2) those arising from mathematical (i.e., mapping) techniques to interpolate and extrapolate data in space and time. We also examined the effect of a common ocean mask, which reveals that exclusion of shallow seas can reduce global OHCA estimates up to 13%. Spread due to mapping method is largest in the Indian Ocean and in the eddy-rich and frontal regions of all basins. Spread due to XBT bias adjustment is largest in the Pacific Ocean within 30 degrees N-30 degrees S. In both mapping and XBT cases, spread is higher for 1990-2004. Statistically different trends among mapping methods are found not only in the poorly observed Southern Ocean but also in the well-observed northwest Atlantic. Our results cannot determine the best mapping or bias adjustment schemes, but they identify where important sensitivities exist, and thus where further understanding will help to refine OHCA estimates. These results highlight the need for further coordinated OHCA studies to evaluate the performance of existing mapping methods along with comprehensive assessment of uncertainty estimates.</t>
  </si>
  <si>
    <t>[Savita, Abhishek; Domingues, Catia M.; Marsland, Simon J.; Dobrohotoff, Peter] Univ Tasmania, Inst Marine &amp; Antarctic Studies IMAS, Hobart, Tas, Australia; [Savita, Abhishek; Marsland, Simon J.; Monselesan, Didier P.; Dobrohotoff, Peter; Cowley, Rebecca; Wijffels, Susan E.] Commonwealth Sci &amp; Ind Res Org, Oceans &amp; Atmosphere, Victoria, Tas, Australia; [Savita, Abhishek; Domingues, Catia M.; Marsland, Simon J.; Hobbs, William] Australian Res Council, Ctr Excellence Climate Extremes CLEX, Victoria, Tas, Australia; [Savita, Abhishek] GEOMAR Helmholtz Ctr Ocean Res Kiel, Kiel, Germany; [Domingues, Catia M.] Natl Oceanog Ctr, Southampton, Hants, England; [Boyer, Tim] NOAA, Natl Ctr Environm Informat, Silver Spring, MD USA; [Gouretski, Viktor] Univ Hamburg, Ctr Earth Syst Res &amp; Sustainabil, Integrated Climate Data Ctr, CliSAP, Hamburg, Germany; [Gouretski, Viktor] Chinese Acad Sci, Inst Atmospher Phys, Beijing, Peoples R China; [Ishii, Masayoshi] Japan Meteorol Agcy, Meteorol Res Inst, Tsukuba, Ibaraki, Japan; [Johnson, Gregory C.; Lyman, John M.] NOAA, Pacific Marine Environm Lab, Seattle, WA USA; [Lyman, John M.] Univ Hawaii Manoa, Joint Inst Marine &amp; Atmospher Res, Honolulu, HI 96822 USA; [Willis, Josh K.] CALTECH, Jet Prop Lab, Pasadena, CA USA; [Hobbs, William] Univ Tasmania, Inst Marine &amp; Antarctic Studies, Australian Antarctic Program Partnership, Hobart, Tas, Australia; [Church, John A.] Univ New South Wales, Climate Change Res Ctr, Sydney, NSW, Australia; [Wijffels, Susan E.] Woods Hole Oceanog Inst, Woods Hole, MA 02543 USA</t>
  </si>
  <si>
    <t>University of Tasmania; Commonwealth Scientific &amp; Industrial Research Organisation (CSIRO); Helmholtz Association; GEOMAR Helmholtz Center for Ocean Research Kiel; NERC National Oceanography Centre; National Oceanic Atmospheric Admin (NOAA) - USA; University of Hamburg; Chinese Academy of Sciences; Institute of Atmospheric Physics, CAS; Japan Meteorological Agency; Meteorological Research Institute - Japan; National Oceanic Atmospheric Admin (NOAA) - USA; University of Hawaii System; University of Hawaii Manoa; California Institute of Technology; National Aeronautics &amp; Space Administration (NASA); NASA Jet Propulsion Laboratory (JPL); University of Tasmania; University of New South Wales Sydney; Woods Hole Oceanographic Institution</t>
  </si>
  <si>
    <t>Savita, A (corresponding author), Univ Tasmania, Inst Marine &amp; Antarctic Studies IMAS, Hobart, Tas, Australia.;Savita, A (corresponding author), Commonwealth Sci &amp; Ind Res Org, Oceans &amp; Atmosphere, Victoria, Tas, Australia.;Savita, A (corresponding author), Australian Res Council, Ctr Excellence Climate Extremes CLEX, Victoria, Tas, Australia.;Savita, A (corresponding author), GEOMAR Helmholtz Ctr Ocean Res Kiel, Kiel, Germany.</t>
  </si>
  <si>
    <t>asavita@geomar.de</t>
  </si>
  <si>
    <t>Church, John A/A-1541-2012; Willis, Josh/AGY-7817-2022; Marsland, Simon J/A-1453-2012; Johnson, Gregory C/I-6559-2012; Domingues, Catia M./A-2901-2015; Dobrohotoff, Peter/I-1550-2017; Cowley, Rebecca/E-4258-2013; Hobbs, Will/G-5116-2014; Monselesan, Didier/A-2327-2012</t>
  </si>
  <si>
    <t>Church, John A/0000-0002-7037-8194; Marsland, Simon J/0000-0002-5664-5276; Johnson, Gregory C/0000-0002-8023-4020; Domingues, Catia M./0000-0001-5100-4595; Dobrohotoff, Peter/0000-0001-7315-042X; Cowley, Rebecca/0000-0001-8541-3573; Lyman, John/0000-0002-7200-4663; Hobbs, Will/0000-0002-2061-0899; Savita, Abhishek/0000-0003-2800-3636; Monselesan, Didier/0000-0002-0310-8995; Wijffels, Susan/0000-0002-4717-0811</t>
  </si>
  <si>
    <t>Tasmanian Graduate Research Scholarship; Australian Research Council (ARC) [CE170100023, DP160103130]; ARC [FT130101532]; Natural Environmental Research Council [NE/P019293/1]; Earth Systems and Climate Change Hub of the Australian Government's National Environmental Science Program; Climate Observation and Monitoring Program, National Oceanic and Atmosphere Administration, U.S. Department of commerce; NOAA Research; NOAA Ocean Climate Observation Program; Centre for Southern Hemisphere Oceans Research - Qingdao National Laboratory for Marine Science and Technology (QNLM, China); Commonwealth Scientific and Industrial Research Organization (CSIRO, Australia); Australian Research Council [DP190101173]; National Aeronautics and Space Administration [80NM0018D0004]; Australian Research Council [FT130101532] Funding Source: Australian Research Council; NERC [NE/P019293/1] Funding Source: UKRI</t>
  </si>
  <si>
    <t>Tasmanian Graduate Research Scholarship; Australian Research Council (ARC)(Australian Research Council); ARC(Australian Research Council); Natural Environmental Research Council(UK Research &amp; Innovation (UKRI)Natural Environment Research Council (NERC)); Earth Systems and Climate Change Hub of the Australian Government's National Environmental Science Program; Climate Observation and Monitoring Program, National Oceanic and Atmosphere Administration, U.S. Department of commerce; NOAA Research(National Oceanic Atmospheric Admin (NOAA) - USA); NOAA Ocean Climate Observation Program(National Oceanic Atmospheric Admin (NOAA) - USA); Centre for Southern Hemisphere Oceans Research - Qingdao National Laboratory for Marine Science and Technology (QNLM, China); Commonwealth Scientific and Industrial Research Organization (CSIRO, Australia)(Commonwealth Scientific &amp; Industrial Research Organisation (CSIRO)); Australian Research Council(Australian Research Council); National Aeronautics and Space Administration(National Aeronautics &amp; Space Administration (NASA)); Australian Research Council(Australian Research Council); NERC(UK Research &amp; Innovation (UKRI)Natural Environment Research Council (NERC))</t>
  </si>
  <si>
    <t>AS is supported by a Tasmanian Graduate Research Scholarship, a CSIRO-UTAS Quantitative Marine Science top-up, and by the Australian Research Council (ARC) (CE170100023; DP160103130). CMD was partially supported by ARC (FT130101532) and the Natural Environmental Research Council (NE/P019293/1). RC was supported through funding from the Earth Systems and Climate Change Hub of the Australian Government's National Environmental Science Program. TB is supported by the Climate Observation and Monitoring Program, National Oceanic and Atmosphere Administration, U.S. Department of commerce. GCJ and JML are supported by NOAA Research and the NOAA Ocean Climate Observation Program. This is PMEL contribution number 5065. JAC is supported by the Centre for Southern Hemisphere Oceans Research (CSHOR), jointly funded by the Qingdao National Laboratory for Marine Science and Technology (QNLM, China) and the Commonwealth Scientific and Industrial Research Organization (CSIRO, Australia) and Australian Research Council's Discovery Project funding scheme (project DP190101173). The research was carried out in part at the Jet Propulsion Laboratory, California Institute of Technology, under a contract with the National Aeronautics and Space Administration (80NM0018D0004). Data used in this study are available on request.</t>
  </si>
  <si>
    <t>10.1175/JCLI-D-20-0603.1</t>
  </si>
  <si>
    <t>Bronze, Green Published, Green Accepted</t>
  </si>
  <si>
    <t>WOS:000799188000022</t>
  </si>
  <si>
    <t>Evangelista, H; Castagna, A; Correia, A; Potocki, M; Aquino, F; Alencar, A; Mayewski, P; Kurbatov, A; Jaña, R; Nogueira, J; Licinio, M; Alves, E; Simoes, JC</t>
  </si>
  <si>
    <t>Evangelista, Heitor; Castagna, Alexandre; Correia, Alexandre; Potocki, Mariusz; Aquino, Francisco; Alencar, Alexandre; Mayewski, Paul; Kurbatov, Andrei; Jana, Ricardo; Nogueira, Juliana; Licinio, Marcus; Alves, Elaine; Simoes, Jefferson C.</t>
  </si>
  <si>
    <t>The 1991 explosive Hudson volcanic eruption as a geochronological marker for the Northern Antarctic Peninsula</t>
  </si>
  <si>
    <t>Aerosols; Antarctic Peninsula; Hudson volcano; Volcanism</t>
  </si>
  <si>
    <t>SOUTH-POLE; ICE-CORE; PATAGONIA; DISPERSAL; TRANSPORT; AEROSOLS; SURFACE; CLOUDS; TOMS; SNOW</t>
  </si>
  <si>
    <t>It is estimated that the explosive Hudson volcano eruption in Southern Chile injected approximately 2.7 km(3) of basalt and trachyandesite tephra into the troposphere between August 8-15, 1991. The Hudson signal has been detected in Antarctica at the eastern sector and in South Pole snow. In this work, we track the Hudson volcanic plume using a dispersion model, remote sensing, and a re-analysis of a high-resolution ice core analysis from the Detroit Plateau in the Antarctic Peninsula and sedimentary records from shallow lakes from King George Island (KGI). The Hudson eruption imprint in these records is confirmed by using a weekly resolved aerosol concentration database from KGI demonstrating that the regional impact of Hudson eruption predominates over the Mount Pinatubo/Phillippines volcanic signal, dated from June 1991, in terms of particulate matter depositions. The aerosol elemental composition of Ca, Fe, Ti, Si, Al, Zn, and Pb increases from 2 to 3 orders of magnitude in background level during the days following the eruption of the Hudson volcano.</t>
  </si>
  <si>
    <t>[Evangelista, Heitor; Alencar, Alexandre; Nogueira, Juliana; Alves, Elaine] Univ Estado Rio de Janeiro, Dept Biofis &amp; Biometria, LARAMG Lab Radioecol &amp; Mudancas Climat, Rua Sao Francisco Xavier 524, BR-20550013 Rio De Janeiro, RJ, Brazil; [Castagna, Alexandre] Univ Ghent, Protistol &amp; Aquat Ecol, Krijgslaan 281, B-9000 Ghent, Belgium; [Correia, Alexandre] Univ Sao Paulo, Inst Fis, Dept Fis Aplicada, Rua Matao 1371, BR-05508090 Sao Paulo, SP, Brazil; [Potocki, Mariusz; Mayewski, Paul; Kurbatov, Andrei; Simoes, Jefferson C.] Univ Maine, Climate Change Inst, 168 Coll Ave, Orono, ME 04469 USA; [Potocki, Mariusz] Univ Maine, Sch Earth &amp; Climate Sci, 168 Coll Ave, Orono, ME 04469 USA; [Aquino, Francisco; Kurbatov, Andrei; Simoes, Jefferson C.] Univ Fed Rio Grande do Sul, Ctr Polar &amp; Climat, Inst Geociencias, Av Bento Goncalves 9500, BR-90650001 Porto Alegre, RS, Brazil; [Jana, Ricardo] Chilean Antarctic Inst, Plaza Benjamin Munoz Gamero 1055, Punta Arenas, Chile; [Nogueira, Juliana] Czech Univ Life Sci Prague, Fac Forestry &amp; Wood Sci, Kamycka 129, Prague 16500, Czech Republic; [Licinio, Marcus] Univ Fed Espirito Santo UFES, Dept Ciencias Fisiol, Lab Radiometria Ambiental, CCS, Predio Basico 1,Av Marechal Campos 1468, BR-29043900 Vitoria, ES, Brazil</t>
  </si>
  <si>
    <t>Universidade do Estado do Rio de Janeiro; Ghent University; Universidade de Sao Paulo; University of Maine System; University of Maine Orono; University of Maine System; University of Maine Orono; Universidade Federal do Rio Grande do Sul; Czech University of Life Sciences Prague; Universidade Federal do Espirito Santo</t>
  </si>
  <si>
    <t>Nogueira, J (corresponding author), Univ Estado Rio de Janeiro, Dept Biofis &amp; Biometria, LARAMG Lab Radioecol &amp; Mudancas Climat, Rua Sao Francisco Xavier 524, BR-20550013 Rio De Janeiro, RJ, Brazil.;Nogueira, J (corresponding author), Czech Univ Life Sci Prague, Fac Forestry &amp; Wood Sci, Kamycka 129, Prague 16500, Czech Republic.</t>
  </si>
  <si>
    <t>de_souse_nogueira@fld.czu.cz</t>
  </si>
  <si>
    <t>Jaña, Ricardo/AAR-1225-2020; Nogueira, Juliana/HMD-9098-2023; Castagna, Alexandre/GNM-6653-2022; Mayewski, Paul Andrew/HRD-6969-2023; Licínio, Marcus VVJ/G-6317-2012; Evangelista, Heitor/C-7561-2013</t>
  </si>
  <si>
    <t>Jaña, Ricardo/0000-0003-3319-1168; Nogueira, Juliana/0000-0003-4858-8774; Castagna, Alexandre/0000-0002-6069-1574; Kurbatov, Andrei/0000-0002-9819-9251; Alencar, Alexandre/0000-0002-8104-1781; Evangelista, Heitor/0000-0001-9832-1141</t>
  </si>
  <si>
    <t>Conselho Nacional de Desenvolvimento Cientifico e Tecnologico (CNPq) [550041/2007-9, 573720/2008-8 -INCT]</t>
  </si>
  <si>
    <t>Conselho Nacional de Desenvolvimento Cientifico e Tecnologico (CNPq)(Conselho Nacional de Desenvolvimento Cientifico e Tecnologico (CNPQ))</t>
  </si>
  <si>
    <t>This research was funded by the Conselho Nacional de Desenvolvimento Cientifico e Tecnologico (CNPq), projects 550041/2007-9 and 573720/2008-8 -INCT Criosfera. The authors are grateful for the participation of colleagues Luiz Fernando M. Reis and Marcelo Arevalo in the fieldwork. We thank Robert Priori for the figure's layout and the Brazilian Antarctic Program, Chilean Air Force (FACh), and the Chilean Antarctic Institute for logistics in Antarctica. The authors would like to thank the revisors for the important suggestions.</t>
  </si>
  <si>
    <t>e20210810</t>
  </si>
  <si>
    <t>10.1590/0001-3765202220210810</t>
  </si>
  <si>
    <t>1K8AI</t>
  </si>
  <si>
    <t>WOS:000798818400001</t>
  </si>
  <si>
    <t>Lima, LS; Pezzi, LP; Mata, MM; Santini, MF; Carvalho, JT; Sutil, UA; Cabrera, MJ; Rosa, EB; Rodrigues, CCF; Vega, XA</t>
  </si>
  <si>
    <t>Lima, Luciana S.; Pezzi, Luciano P.; Mata, Mauricio M.; Santini, Marcelo F.; Carvalho, Jonas T.; Sutil, Ueslei Adriano; Cabrera, Mylene J.; Rosa, Eliana B.; Rodrigues, Celina C. F.; Vega, Ximena A.</t>
  </si>
  <si>
    <t>Glacial meltwater input to the ocean around the Antarctic Peninsula: forcings and consequences</t>
  </si>
  <si>
    <t>water cycle; climate change; Southern Ocean; ice-ocean-atmosphere interactions</t>
  </si>
  <si>
    <t>C ICE-SHELF; NORTHWESTERN WEDDELL SEA; CIRCUMPOLAR DEEP-WATER; SOUTHERN ANNULAR MODE; BASAL MELT RATES; BOTTOM WATER; FRESH-WATER; MASS-BALANCE; TRENDS; VARIABILITY</t>
  </si>
  <si>
    <t>The Antarctic region has experienced recent climate and environmental variations due to climate change, such as ice sheets and ice shelves loss, and changes in the production, extension, and thickness of sea-ice. These processes mainly affect the freshwater supply to the Southern Ocean and its water masses formation and export, being crucial to changes in the global climate. Here, we review the influence of the glacial freshwater input on the Antarctic Peninsula adjacent ocean. We highlight each climate process' relevance on freshwater contribution to the sea and present a current overview of how these processes are being addressed and studied. The increase of freshwater input into the ocean carries several implications on climate, regionally and globally. Due to glacier melting, the intrusion of colder and lighter water into the ocean increases the stratification of the water column, influencing the sea-ice increase and reducing ocean-atmosphere exchanges, affecting the global water cycle. This study shows the role of each hydrological cycle processes and their contributions to the regional oceanography and potentially to climate.</t>
  </si>
  <si>
    <t>[Lima, Luciana S.; Pezzi, Luciano P.; Santini, Marcelo F.; Carvalho, Jonas T.; Sutil, Ueslei Adriano; Cabrera, Mylene J.; Rosa, Eliana B.; Rodrigues, Celina C. F.] Inst Nacl Pesquisas Espaciais INPE, Div Observacao Terra &amp; Geoinformat DIOTG, Lab Estudos Oceano &amp; Atmosfera LOA, Av Astronautas 1758, BR-12227001 Sao Jose Dos Campos, SP, Brazil; [Mata, Mauricio M.] Univ Fed Rio Grande FURG, Inst Oceanog, Lab Estudos Oceanos &amp; Clima, Av Italia S-N,Km 8, BR-96203900 Rio Grande, RS, Brazil; [Vega, Ximena A.] Univ Stirling, Fac Biol &amp; Environm Sci BES, Stirling FK9 4LA, Scotland</t>
  </si>
  <si>
    <t>Instituto Nacional de Pesquisas Espaciais (INPE); Universidade Federal do Rio Grande; University of Stirling</t>
  </si>
  <si>
    <t>Lima, LS (corresponding author), Inst Nacl Pesquisas Espaciais INPE, Div Observacao Terra &amp; Geoinformat DIOTG, Lab Estudos Oceano &amp; Atmosfera LOA, Av Astronautas 1758, BR-12227001 Sao Jose Dos Campos, SP, Brazil.</t>
  </si>
  <si>
    <t>lushilima@gmail.com</t>
  </si>
  <si>
    <t>Lima, Luciana/JVP-3304-2024; Pezzi, Luciano Ponzi/N-7271-2017; Mata, Mauricio/H-4605-2011</t>
  </si>
  <si>
    <t>Pezzi, Luciano Ponzi/0000-0001-6016-4320; Santini, Marcelo/0000-0002-6760-2247; Jaen Cabrera, Mylene/0000-0002-4577-8743; Mata, Mauricio/0000-0002-9028-8284; Carvalho, Jonas Takeo/0000-0002-1225-3457; Ferreira Rodrigues, Celina Candida/0000-0002-6872-1977; Shigihara Lima, Luciana/0000-0001-7988-0853</t>
  </si>
  <si>
    <t>Brazilian Ministry of Science, Technology, and Innovations (MCTI); Brazilian Antarctic Program (PROANTAR) [CNPq/PROANTAR 443013/2018-7]; Conselho Nacional de Desenvolvimento Cientifico e Tecnologico (CNPq) Scientific Productivity Fellowship [CNPq/304858/2019-6]; Coordenacao de Aperfeicoamento de Pessoal de Nivel Superior -Brazil (CAPES) [001]</t>
  </si>
  <si>
    <t>Brazilian Ministry of Science, Technology, and Innovations (MCTI); Brazilian Antarctic Program (PROANTAR); Conselho Nacional de Desenvolvimento Cientifico e Tecnologico (CNPq) Scientific Productivity Fellowship(Conselho Nacional de Desenvolvimento Cientifico e Tecnologico (CNPQ)Fundacao de Apoio a Pesquisa do Distrito Federal (FAPDF)); Coordenacao de Aperfeicoamento de Pessoal de Nivel Superior -Brazil (CAPES)(Coordenacao de Aperfeicoamento de Pessoal de Nivel Superior (CAPES))</t>
  </si>
  <si>
    <t>We thank the Brazilian Ministry of Science, Technology, and Innovations (MCTI) and the Brazilian Antarctic Program (PROANTAR) for funding ATMOS Project (CNPq/PROANTAR 443013/2018-7). L.P.P. is partly funded through a Conselho Nacional de Desenvolvimento Cientifico e Tecnologico (CNPq) Scientific Productivity Fellowship (CNPq/304858/2019-6). L. S. L., M.F. S., J.T.K., U. A. S., E. B.R., M.J.C. and C.F.R. received support from by the Coordenacao de Aperfeicoamento de Pessoal de Nivel Superior -Brazil (CAPES) -Finance Code 001.</t>
  </si>
  <si>
    <t>e20210811</t>
  </si>
  <si>
    <t>10.1590/0001-3765202220210811</t>
  </si>
  <si>
    <t>1K8AN</t>
  </si>
  <si>
    <t>WOS:000798818900001</t>
  </si>
  <si>
    <t>Lizieri, C; Schaefer, CEGR; Hawes, I</t>
  </si>
  <si>
    <t>Lizieri, Claudineia; Schaefer, Carlos Ernesto G. R.; Hawes, Ian</t>
  </si>
  <si>
    <t>Morphological diversity of benthic cyanobacterial assemblages in meltwater ponds along environmental gradients in the McMurdo Sound region, Antarctica</t>
  </si>
  <si>
    <t>cyanobacteria; microbial mats; meltwater; ponds; Antarctica</t>
  </si>
  <si>
    <t>MAT COMMUNITIES; ROSS-ISLAND; LAKE; OSCILLATORIALES</t>
  </si>
  <si>
    <t>Benthic cyanobacterial assemblages from ponds distributed along inlandcoastal gradients in the McMurdo Sound region were studied during the 2011/12 Antarctic summer season. Twenty-five ponds were sampled in four distinct geographic locations, including the Lower and Upper Wright Valleys, Ross Island and the McMurdo Ice Shelf. For morphological identification, benthic mat samples were thawed and a subsample was directly observed by light microscopy. Remaining sample material was stored in 50 ml sterile polycarbonate bottles containing the mineral nutrient medium MLA for future studies, maintained at a temperature of 21 degrees C. Ten morphological criteria were used to describe the morphotypes (trichome shape, number of trichomes in sheath, presence or absence of terminal attenuation of trichome, calyptra on mature apical cell, shape of apical cell, presence or absence of constrictions at transverse walls, granules, branching, range in width of trichomes and range of cell length) with reference to available identification literature. All morphospecies were documented using photomicrography. In total, 29 morphospecies were described, four assigned to the order Chroococcales, three to Nostocales and 22 to Oscillatoriales. The four geographic locations had similar taxonomic richness, sharing many morphospecies. However, each also contained distinct floristic elements that were rare or absent from the others.</t>
  </si>
  <si>
    <t>[Lizieri, Claudineia; Schaefer, Carlos Ernesto G. R.] Univ Fed Vicosa, Dept Solos, Nucleo Terrantar INCT Criosfera, BR-36570900 Vicosa, MG, Brazil; [Lizieri, Claudineia] Univ Fed Vicosa, Inst Ciencias Biol, Lab Fisiol Estresse Abiot, Rodovia LMG 818 Km 6,Campus Florestal, BR-35570000 Florestal, MG, Brazil; [Hawes, Ian] Univ Canterbury, Forestrey Rd, Christchurch 8041, New Zealand; [Hawes, Ian] Univ Waikato, Coastal Marine Field Ctr, Sulphur Point 3110, Tauranga, New Zealand</t>
  </si>
  <si>
    <t>Universidade Federal de Vicosa; Universidade Federal de Vicosa; University of Canterbury; University of Waikato</t>
  </si>
  <si>
    <t>Lizieri, C (corresponding author), Univ Fed Vicosa, Dept Solos, Nucleo Terrantar INCT Criosfera, BR-36570900 Vicosa, MG, Brazil.;Lizieri, C (corresponding author), Univ Fed Vicosa, Inst Ciencias Biol, Lab Fisiol Estresse Abiot, Rodovia LMG 818 Km 6,Campus Florestal, BR-35570000 Florestal, MG, Brazil.</t>
  </si>
  <si>
    <t>c.lizieri@gmail.com</t>
  </si>
  <si>
    <t>Hawes, Ian/0000-0003-2471-6903</t>
  </si>
  <si>
    <t>Conselho Nacional de Desenvolvimento Cientifico e Tecnologico (CNPq/PROANTAR); Coordenacao de Aperfeicoamento de Pessoal de Nivel Superior -Brasil (CAPES)</t>
  </si>
  <si>
    <t>Conselho Nacional de Desenvolvimento Cientifico e Tecnologico (CNPq/PROANTAR)(Conselho Nacional de Desenvolvimento Cientifico e Tecnologico (CNPQ)Fundacao de Apoio a Pesquisa do Distrito Federal (FAPDF)); Coordenacao de Aperfeicoamento de Pessoal de Nivel Superior -Brasil (CAPES)(Coordenacao de Aperfeicoamento de Pessoal de Nivel Superior (CAPES))</t>
  </si>
  <si>
    <t>We are grateful for the fellowship provided in part by the Conselho Nacional de Desenvolvimento Cientifico e Tecnologico (CNPq/PROANTAR) and Coordenacao de Aperfeicoamento de Pessoal de Nivel Superior -Brasil (CAPES). Antarctica New Zealand provided logistic support, in collaboration with the US National Science Foundation. We would like to acknowledge the National Institute of Water and Atmospheric Research (NIWA)Christchurch for laboratory, technical and infrastructural support, particularly to Cathy Kilroy. Anne Jungblut, Antonio Galvao and Adriano Nunes for useful comments on earlier drafts. Dr. Paul Broady provided advice in cyanobacterial identification.</t>
  </si>
  <si>
    <t>e20210814</t>
  </si>
  <si>
    <t>10.1590/0001-3765202220210814</t>
  </si>
  <si>
    <t>1K8AQ</t>
  </si>
  <si>
    <t>WOS:000798819200001</t>
  </si>
  <si>
    <t>Torres, ALR; Parise, CK; Pezzi, LP; Queiroz, MGD; Machado, AMB; Cerveira, GS; Correia, GS; Barbosa, WL; De Lima, LG; Sutil, UA</t>
  </si>
  <si>
    <t>Torres, Ana Laura R.; Parise, Claudia K.; Pezzi, Luciano P.; Queiroz, Michelly G. Dos Santos; Machado, Adilson M. B.; Cerveira, Gabriel S.; Correia, Gustavo S.; Barbosa, Wesley L.; De Lima, Leonardo G.; Sutil, Ueslei A.</t>
  </si>
  <si>
    <t>Lagged response of Tropical Atlantic Ocean to cold and fresh water pulse from Antarctic sea ice melting</t>
  </si>
  <si>
    <t>Sea Ice Melting; Freshwater Input; Teleconnections; Oceanic Bridge; Oceanography</t>
  </si>
  <si>
    <t>INTERMEDIATE WATER; VARIABILITY; CIRCULATION; TELECONNECTIONS; SENSITIVITY; SALINITY; MODE; HEAT; ENSO</t>
  </si>
  <si>
    <t>The formation of dense water masses at polar regions has been largely influenced by climate changes arising from global warming. In this context, based on ensemble simulations with a coupled model we evaluate the meridional shift of a climate signal (i.e., a cold and fresh water input pulse generated from melting of positive Antarctic sea ice (ASI) extremes) towards the Tropical Atlantic Ocean (TAO). This oceanic signal propagated from Southern Ocean towards the equator through the upper layers due to an increase in its buoyance. Its northward shift has given by the Subantarctic Mode Water (SAMW) and Antarctic Intermediate Water (AAIW) flows, that inject cold and fresh mode/intermediate waters from into subtropical basin. The signal has reached low latitudes through the equatorial upwelling and spreads out southwards, through the upper branch of southern subtropical gyre. We concluded that 10 years of coupled simulations was enough time to propagate the climate signal generated by ASI positive extremes melting, which reached TOA around 2 year later. The oceanic connection between Southern Ocean and TAO is indeed established within the timescale analyzed in the study (10 years). Nonetheless, the period needed to completely dissipate the disturbance generated from ASI seems to be longer.</t>
  </si>
  <si>
    <t>[Torres, Ana Laura R.; Parise, Claudia K.; Queiroz, Michelly G. Dos Santos; Machado, Adilson M. B.; Cerveira, Gabriel S.; Barbosa, Wesley L.] Univ Fed Maranhao UFMA, Dept Oceanog &amp; Limnol DEOLI, Lab Estudo &amp; Modelagem Climat LACLIMA, Ave Portugueses 1966, BR-65080805 Sao Luis, MA, Brazil; [Pezzi, Luciano P.; Sutil, Ueslei A.] Inst Nacl Pesquisas Espaciais INPE, Div Observacao Terra &amp; Geoinformat DIOTG, Lab Estudos Oceano &amp; Atmosfera LOA, Ave Astronautas 1758, BR-12227010 Sao Jose Dos Campos, SP, Brazil; [Correia, Gustavo S.] Univ Fed Rio Grande do Sul UFRGS, Inst Geociencias, Programa Posgrad Geociencias PPGGEO, Av Bento Goncalves 9599,Campus Agron, BR-91501970 Porto Alegre, RS, Brazil; [De Lima, Leonardo G.] Univ Fed Maranhao UFMA, Dept Oceanog &amp; Limnol DEOLI, Lab Estudos Oceanog Geol LEOG, Ave Portugueses 1966, BR-65080805 Sao Luis, MA, Brazil</t>
  </si>
  <si>
    <t>Universidade Federal do Maranhao; Instituto Nacional de Pesquisas Espaciais (INPE); Universidade Federal do Rio Grande do Sul; Universidade Federal do Maranhao</t>
  </si>
  <si>
    <t>Parise, CK (corresponding author), Univ Fed Maranhao UFMA, Dept Oceanog &amp; Limnol DEOLI, Lab Estudo &amp; Modelagem Climat LACLIMA, Ave Portugueses 1966, BR-65080805 Sao Luis, MA, Brazil.</t>
  </si>
  <si>
    <t>claudialtparise@gmail.com</t>
  </si>
  <si>
    <t>Pezzi, Luciano Ponzi/N-7271-2017</t>
  </si>
  <si>
    <t>Pezzi, Luciano Ponzi/0000-0001-6016-4320; Goncalves de Lima, Leonardo/0000-0001-7449-8639; Cerveira, Gabriel/0000-0001-8016-4328; Machado, Adilson Matheus Borges/0000-0002-4838-6913; Correia, Gustavo/0000-0003-0088-3264; Rodrigues Torres, Ana Laura/0000-0003-0155-4059</t>
  </si>
  <si>
    <t>Coordenacao de Aperfeicoamento de Pessoal de Nivel Superior (CAPES) [23038.004304/2014-28, 145668/201700]; Conselho Nacional de Desenvolvimento Cientifico e Tecnologico (CNPq) [420406/2016-6, 443013/2018-7]; Fundacao de Amparo a Pesquisa e Desenvolvimento Cientifico e Tecnologico do Maranhao (FAPEMA) [00850/17]; CNPq Scientific Productivity Fellowship [304858/2019-6]</t>
  </si>
  <si>
    <t>Coordenacao de Aperfeicoamento de Pessoal de Nivel Superior (CAPES)(Coordenacao de Aperfeicoamento de Pessoal de Nivel Superior (CAPES)); Conselho Nacional de Desenvolvimento Cientifico e Tecnologico (CNPq)(Conselho Nacional de Desenvolvimento Cientifico e Tecnologico (CNPQ)); Fundacao de Amparo a Pesquisa e Desenvolvimento Cientifico e Tecnologico do Maranhao (FAPEMA)(Fundacao de Amparo a Pesquisa e Desenvolvimento Cientifico do Maranhao (FAPEMA)); CNPq Scientific Productivity Fellowship</t>
  </si>
  <si>
    <t>The authors would like to thank the funding support of Coordenacao de Aperfeicoamento de Pessoal de Nivel Superior (CAPES) to the Projects Advanced Studies in Oceanography of Medium and High Latitudes (Process 23038.004304/2014-28) and Use and Development of the Brazilian Earth System Model for the Study of the Ocean-Atmosphere-Cryosphere System in High and Medium Latitudes -BESM/SOAC (Process 145668/201700) and to the funding support of Conselho Nacional de Desenvolvimento Cientifico e Tecnologico (CNPq) to the Projects Impactos do Aumento do Gelo Marinho da Antartica no Clima da America do Sul: Simulacoes por Conjunto x Reanalises (Process 420406/2016-6) and Antarctic Modeling Observation System -ATMOS (Process 443013/2018-7). This publication was also supported by the Fundacao de Amparo a Pesquisa e Desenvolvimento Cientifico e Tecnologico do Maranhao (FAPEMA) (Process 00850/17). L.P. P. is partly funded through a CNPq Scientific Productivity Fellowship (Process 304858/2019-6). The authors also acknowledge the GFDL Coupled Climate Model Development Team for providing a public version of the model and for all technical support.</t>
  </si>
  <si>
    <t>e20210800</t>
  </si>
  <si>
    <t>10.1590/0001-3765202220210800</t>
  </si>
  <si>
    <t>1K7ZX</t>
  </si>
  <si>
    <t>WOS:000798817300001</t>
  </si>
  <si>
    <t>Vasconcellos, FC; Oliva, FG; Pizzochero, RM; Da Silva, TM; Parise, CK; De Caldas, CF</t>
  </si>
  <si>
    <t>Vasconcellos, Fernanda C.; Oliva, Fabio G.; Pizzochero, Renan M.; Da Silva, Telma M.; Parise, Claudia K.; De Caldas, Catharine F.</t>
  </si>
  <si>
    <t>Combined performance of September's Weddell sea ice extent, Southern Annular Mode, and Atlantic SST anomalies over the South American temperature and precipitation</t>
  </si>
  <si>
    <t>Antartic sea ice; variability modes; South America; precipitaion; temperature</t>
  </si>
  <si>
    <t>HEMISPHERE ATMOSPHERE; INTERANNUAL ACTIVITY; SURFACE TEMPERATURE; COUPLED VARIABILITY; CONVERGENCE ZONE; DIPOLE; CLIMATOLOGY; CIRCULATION; INTENSITY; PHASES</t>
  </si>
  <si>
    <t>Th is paper aims to analyze the relationships amongtropicaL (Atlantic MeridionaL Mode - AMM), subtropical (South Atlantic Subtropical Gradient - SASG), and extratropicaL (Southern Annular Mode - SAM) teLeconnection patterns, the Weddell Sea (WS) sea ice extents, and the climate in South America. Warm anomalies are observed in most of South America for maximum WS ice extent combinations (negative SAM/positive AMM and negative SAM/positive SASG composites), with an opposite signaL at tropical South America for minimum WS ice extent combinations (positive SAM/negative AMM and positive SAM/negative SASG). Over Southern Argentina, colder (warmer) temperatures are seen at the negative SAM/positive SASG (positive SAM/negative SASG). Drier (wetter) conditions are found over most South America at maximum (minimum) WS ice extent combinations. Wavetrains from different Pacific and Indian Oceans regions are related to high-level anomalous cyclonic (anticyclonic) circulation over the continent at maximum (minimum) WS ice extent configuration, which explains the climate impacts found. The SASG signaL displaces the anomaly circulations eastward from South America, impacting the adjacent Atlantic Ocean region more intensely concerning the other modes. The results discussed here indicated that these patterns (SAM, AMM, SASG, and sea ice extent) have significant Links with the South American climate variability.</t>
  </si>
  <si>
    <t>[Vasconcellos, Fernanda C.; De Caldas, Catharine F.] Univ Fed Rio de Janeiro UFRJ, Grp Estudos Previsoes &amp; Anal Climat GEPAC, Dept Meteorol, Av Athos da Silveira Ramos 274, BR-21941916 Rio De Janeiro, RJ, Brazil; [Oliva, Fabio G.; Da Silva, Telma M.] Univ Fed Rio de Janeiro UFRJ, Programa Posgrad Geog PPGG, Av Athos da Silveira Ramos 274, BR-21941916 Rio De Janeiro, RJ, Brazil; [Parise, Claudia K.] Univ Fed Maranhao UFMA, Lab Estudos Oceanog Geol LEOG, Dept Oceanog &amp; Limnol, Ave Portugueses 1966, BR-65080805 Sao Luis, Maranhao, Brazil; [Pizzochero, Renan M.] Inst Nacl Pesquisas Espaciais INPE, Rodovia Presidente Dutra,Km 39, Cachoeira Paulista, SP, Brazil</t>
  </si>
  <si>
    <t>Universidade Federal do Rio de Janeiro; Universidade Federal do Rio de Janeiro; Universidade Federal do Maranhao; Instituto Nacional de Pesquisas Espaciais (INPE)</t>
  </si>
  <si>
    <t>Vasconcellos, FC (corresponding author), Univ Fed Rio de Janeiro UFRJ, Grp Estudos Previsoes &amp; Anal Climat GEPAC, Dept Meteorol, Av Athos da Silveira Ramos 274, BR-21941916 Rio De Janeiro, RJ, Brazil.</t>
  </si>
  <si>
    <t>fernandavasconcellos@igeo.ufrj.br</t>
  </si>
  <si>
    <t>Mendes Silva, Telma/GON-5216-2022; Vasconcellos, Fernanda/AAB-9015-2021</t>
  </si>
  <si>
    <t>Vasconcellos, Fernanda/0000-0002-5931-1503; Martins, Renan/0000-0002-1723-2655; Silva, Telma/0000-0002-8295-6158</t>
  </si>
  <si>
    <t>Conselho Nacional de Desenvolvimento Cientifico e Tecnologico (CNPq); Project Antarctic Modeling Observation System -ATMOS [443013/2018-7]</t>
  </si>
  <si>
    <t>Conselho Nacional de Desenvolvimento Cientifico e Tecnologico (CNPq)(Conselho Nacional de Desenvolvimento Cientifico e Tecnologico (CNPQ)); Project Antarctic Modeling Observation System -ATMOS</t>
  </si>
  <si>
    <t>The authors would like to thank the funding support of Conselho Nacional de Desenvolvimento Cientifico e Tecnologico (CNPq) for the Ph.D. scholarship granted to Fabio Oliva and the Project Antarctic Modeling Observation System -ATMOS (Process 443013/2018-7).</t>
  </si>
  <si>
    <t>10.1590/0001-3765202220210803</t>
  </si>
  <si>
    <t>1K8AD</t>
  </si>
  <si>
    <t>WOS:000798817900001</t>
  </si>
  <si>
    <t>Liang, ZY; Pang, XP; Ji, Q; Zhao, X; Li, GY; Chen, YZ</t>
  </si>
  <si>
    <t>Liang, Zeyu; Pang, Xiaoping; Ji, Qing; Zhao, Xi; Li, Guoyuan; Chen, Yizhuo</t>
  </si>
  <si>
    <t>An Entropy-Weighted Network for Polar Sea Ice Open Lead Detection From Sentinel-1 SAR Images</t>
  </si>
  <si>
    <t>Sea ice; Radar polarimetry; Lead; Synthetic aperture radar; Entropy; Remote sensing; Deep learning; Antarctic Ocean; Arctic Ocean; deep learning; entropy; sea ice lead; synthetic aperture radar (SAR)</t>
  </si>
  <si>
    <t>NEURAL-NETWORK; CLASSIFICATION</t>
  </si>
  <si>
    <t>Sea ice leads in the Arctic Ocean and Antarctic Ocean are of great significance to polar ecology, climate change, and ship navigation. While rule-based remote-sensing classification methods, such as the threshold method, have been widely used for surveying and mapping polar sea ice leads, they have difficulty in overcoming the problems of noise and poor generalization. In this article, we presented an automated, deep learning sea ice open lead detection network in low wind speed conditions, entropy-weighted network (EW-Net). In EW-Net, a dense block was introduced into a U-Net baseline network to strengthen feature propagation, and an entropy sampling structure was designed to improve the pertinence of the network to leads and alleviate the influence of noise. Furthermore, an entropy-weighted feature fusion block was designed to better restore features. EW-Net was trained on the Sentinel-1 synthetic aperture radar (SAR) dataset in order to obtain lead maps of different polar regions from Sentinel-1 images. The results showed that the proposed EW-Net model was more effective and more generalizable for polar sea ice lead detection than the threshold method and the deep learning methods U-Net and DeepLab V3 Plus, with an overall accuracy (OA) exceeding 0.97. In addition, EW-Net showed advantages in terms of outstanding generalization from cross-sensor image monitoring of leads. The method proposed in this article could be beneficial for providing accurate maps of polar sea ice leads in open water and contribute to further research on polar science.</t>
  </si>
  <si>
    <t>[Liang, Zeyu; Pang, Xiaoping; Ji, Qing; Chen, Yizhuo] Wuhan Univ, Chinese Antarctic Ctr Surveying &amp; Mapping, Wuhan 430079, Peoples R China; [Zhao, Xi] Sun Yat Sen Univ, Sch Geospatial Engn &amp; Sci, Zhuhai 519082, Peoples R China; [Li, Guoyuan] Minist Nat Resources, Land Satellite Remote Sensing Applicat Ctr, Beijing 100048, Peoples R China</t>
  </si>
  <si>
    <t>Wuhan University; Sun Yat Sen University; Ministry of Natural Resources of the People's Republic of China</t>
  </si>
  <si>
    <t>Pang, XP; Ji, Q (corresponding author), Wuhan Univ, Chinese Antarctic Ctr Surveying &amp; Mapping, Wuhan 430079, Peoples R China.</t>
  </si>
  <si>
    <t>pxp@whu.edu.cn; jiqing@whu.edu.cn</t>
  </si>
  <si>
    <t>zhao, xi/HJY-6017-2023</t>
  </si>
  <si>
    <t>Ji, Qing/0000-0003-1386-5604; Zhao, Xi/0000-0003-2274-891X; Guoyuan, Li/0000-0001-8208-5228</t>
  </si>
  <si>
    <t>National Natural Science Foundation of China [42076235, 41876223]; Special Fund for High Resolution Images Surveying and Mapping Application System [42-Y30B04-9001-19/]</t>
  </si>
  <si>
    <t>National Natural Science Foundation of China(National Natural Science Foundation of China (NSFC)); Special Fund for High Resolution Images Surveying and Mapping Application System</t>
  </si>
  <si>
    <t>This work was supported in part by the National Natural Science Foundation of China under Grant 42076235 and Grant 41876223 and in part by the Special Fund for High Resolution Images Surveying and Mapping Application System under Grant 42-Y30B04-9001-19/</t>
  </si>
  <si>
    <t>10.1109/TGRS.2022.3169892</t>
  </si>
  <si>
    <t>1I8XJ</t>
  </si>
  <si>
    <t>WOS:000797510100005</t>
  </si>
  <si>
    <t>Farias, GS; Santos, JA; Giovanella, P; Sette, LD</t>
  </si>
  <si>
    <t>Farias, Gabriele S.; Santos, Juliana A.; Giovanella, Patricia; Sette, Lara D.</t>
  </si>
  <si>
    <t>Antarctic-derived yeasts: taxonomic identification and resistance to adverse conditions</t>
  </si>
  <si>
    <t>Antarctica; environmental stress; extremophiles; UV radiation</t>
  </si>
  <si>
    <t>SP NOV.; ULTRAVIOLET-RADIATION; PSYCHROPHILIC YEASTS; ENZYMES; MARINE; ENVIRONMENTS; TERRESTRIAL; ADAPTATION; NAGANISHIA; STRATEGIES</t>
  </si>
  <si>
    <t>Antarctic harsh conditions favor the development of microbial adaptations. In this study, a molecular approach was applied to identify/refine the taxonomy of five yeasts isolated from different Antarctic samples, which were tested against ranges of temperature, UV radiations, salinity, and pH. Based on sequencing and phylogenetic analysis, strain CRM 1839 was confirmed as Naganishia sp., and strains CRM 1874, CRM 1565, CRM 2571, and CRM 2576 were identified as Goffeauzyma gilvescens, Goffeauzyma gastrica, Candida atlantica, and Camptobasidium sp., respectively, being this last one possibly a new species. Growth at different temperatures indicates that these yeasts are psych rotolerant, with the exception of Camptobasidium sp., which presents psychrophilic characteristics. G. gastrica recovered from marine sediment showed the best results of resistance to UV radiation, being able to grow even after the exposure to UVB dose of 91441/m(2) and UVC dose of 61021/m(2). C. atlantica isolated from glacier soil showed high cellular growth from 3 to 10% NaCl. The majority of the strains produced higher biomass at pH 7; nevertheless, G. gilvescens showed higher biomass production at pH 9. The studied Antarctic-derived yeasts have adaptations to extreme conditions, which makes them useful for biotechnological applications and studies of extremophiles.</t>
  </si>
  <si>
    <t>[Farias, Gabriele S.; Santos, Juliana A.; Giovanella, Patricia; Sette, Lara D.] Univ Estadual Paulista Julio de Mesquita Filho UN, Inst Biociencias, Dept Biol Geral &amp; Aplicada, Av 24A,1515, BR-13506900 Rio Claro, SP, Brazil; [Giovanella, Patricia; Sette, Lara D.] Univ Estadual Paulista Julio de Mesquita Filho UN, Inst Biociencias, Ctr Estudos Ambientais, Av 24A,1515, BR-13506900 Rio Claro, SP, Brazil</t>
  </si>
  <si>
    <t>Universidade Estadual Paulista; Universidade Estadual Paulista</t>
  </si>
  <si>
    <t>Sette, LD (corresponding author), Univ Estadual Paulista Julio de Mesquita Filho UN, Inst Biociencias, Dept Biol Geral &amp; Aplicada, Av 24A,1515, BR-13506900 Rio Claro, SP, Brazil.;Sette, LD (corresponding author), Univ Estadual Paulista Julio de Mesquita Filho UN, Inst Biociencias, Ctr Estudos Ambientais, Av 24A,1515, BR-13506900 Rio Claro, SP, Brazil.</t>
  </si>
  <si>
    <t>lara.sette@unesp.br</t>
  </si>
  <si>
    <t>dos Santos, Juliana Aparecida/ITW-1493-2023; Sette, Lara Durães/C-8298-2013</t>
  </si>
  <si>
    <t>dos Santos, Juliana Aparecida/0000-0003-4654-4698; Sette, Lara Durães/0000-0002-5980-3786</t>
  </si>
  <si>
    <t>Fundacao de Amparo a Pesquisa do Estado de Sao Paulo (FAPESP) [2013/19486-0, 2016/07957-7]; Conselho Nacional de Desenvolvimento Cientifico e Tecnologico (CNPq) [407986/2018-9]; FAPESP [2015/25170-1, 2017/14216-6]; CNPq [303218/2019-3]</t>
  </si>
  <si>
    <t>Fundacao de Amparo a Pesquisa do Estado de Sao Paulo (FAPESP)(Fundacao de Amparo a Pesquisa do Estado de Sao Paulo (FAPESP)); Conselho Nacional de Desenvolvimento Cientifico e Tecnologico (CNPq)(Conselho Nacional de Desenvolvimento Cientifico e Tecnologico (CNPQ)); FAPESP(Fundacao de Amparo a Pesquisa do Estado de Sao Paulo (FAPESP)); CNPq(Conselho Nacional de Desenvolvimento Cientifico e Tecnologico (CNPQ))</t>
  </si>
  <si>
    <t>This research was supported by Fundacao de Amparo a Pesquisa do Estado de Sao Paulo (FAPESP) (grants #2013/19486-0 and #2016/07957-7) and by Conselho Nacional de Desenvolvimento Cientifico e Tecnologico (CNPq) (grant #407986/2018-9). GSF thanks FAPESP for the Scientific Initiation scholarship (#2017/14216-6). JAS thanks FAPESP for the PhD scholarship (#2015/25170-1). LDS thanks CNPq for the Productivity Fellowship (303218/2019-3). The authors thank the MICROSFERA project (PROANTAR/CNPq) for the support with sample collection, Iago Duarte and Elisa Pellizzer for contributing with the map preparation, and Guilherme Rodrigues de Lima and Lucas Fugikawa Santos for the help with the irradiance calculations.</t>
  </si>
  <si>
    <t>e20210592</t>
  </si>
  <si>
    <t>10.1590/0001-3765202220210592</t>
  </si>
  <si>
    <t>1J3BH</t>
  </si>
  <si>
    <t>WOS:000797794600001</t>
  </si>
  <si>
    <t>Silva, MB; Feitosa, AO; Lima, IGO; Bispo, JRS; Santos, ACM; Moreira, MSA; Câmara, PEAS; Rosa, LH; Oliveira, VM; Duarte, AWF; Queiroz, AC</t>
  </si>
  <si>
    <t>Silva, Mauricio B.; Feitosa, Alexya O.; Lima, Igor G. O.; Bispo, James R. S.; Santos, Ana Caroline M.; Moreira, Magna S. A.; Camara, Paulo E. A. S.; Rosa, Luiz Henrique; Oliveira, Valeria M.; Duarte, Alysson W. F.; Queiroz, Aline C.</t>
  </si>
  <si>
    <t>Antarctic organisms as a source of antimicrobial compounds: a patent review</t>
  </si>
  <si>
    <t>Antarctica; antimicrobial activity; antimicrobial resistance; natural antimicrobials; secondary metabolites</t>
  </si>
  <si>
    <t>DRUG DISCOVERY; SOIL; ACTINOBACTERIA; PURIFICATION; PEPTIDES; LICHENS; HISTORY</t>
  </si>
  <si>
    <t>Currently, antimicrobial resistance has become a global public health problem, which has made the need for new antimicrobial compounds to deal with resistant infections an emergency. However, environments that once offered so many innovative molecules, now already exhaustively exploited, do not meet this need. In this context, a geographically isolated, under-explored and extreme environment, such as Antarctica, which holds organisms with unique physiological and biochemical characteristics, assumes great importance as a potential source of new compounds with antimicrobial activity. In this patent review, we investigate the state of technological development in the field of antimicrobial compounds obtained from Antarctic organisms, highlighting the main countries and researchers active in the field, the species utilized, the compounds obtained, and their possible therapeutic applications. As results, few patent documents were found, however they encompass a wide diversity of compounds and species, indicating a great antimicrobial potential present in Antarctic biota, including compounds active against the most important human pathogenic microorganisms, such as including methicillin-resistant Staphylococcus aureus, vancomycin-resistant Enterococcus spp. and multi-resistant Mycobacterium tuberculosis. Furthermore, due to the increasing trend in patent applications, a significant rise in the number of patents in this area is expected in the coming years.</t>
  </si>
  <si>
    <t>[Silva, Mauricio B.; Feitosa, Alexya O.; Lima, Igor G. O.; Bispo, James R. S.; Santos, Ana Caroline M.; Duarte, Alysson W. F.; Queiroz, Aline C.] Univ Fed Alagoas, Lab Microbiol Imunol &amp; Parasitol, Complexo Ciencias Med &amp; Enfermagem, Av Manoel Severino Barbosa S-N, BR-57309005 Arapiraca, AL, Brazil; [Moreira, Magna S. A.; Queiroz, Aline C.] Univ Fed Alagoas, Inst Ciencias Biol &amp; Saude, Lab Farmacol &amp; Imunol, Av Paulo Holanda 143, BR-57072900 Maceio, Alagoas, Brazil; [Camara, Paulo E. A. S.] Univ Brasilia, Dept Bot, Campus Darcy Ribeiro,Asa Norte S-N, BR-70910900 Brasilia, DF, Brazil; [Rosa, Luiz Henrique] Univ Fed Minas Gerais, Dept Microbiol, Av Presidente Ant6nio Carlos 6627, BR-31270901 Belo Horizonte, MG, Brazil; [Oliveira, Valeria M.] Univ Estadual Campinas, Ctr Pluridisciplinar Pesquisas Quim Biol &amp; Agr, Div Recursos Microbianos, Rua Alexandre Cazelatto 999, BR-13148218 Paulinia, SP, Brazil</t>
  </si>
  <si>
    <t>Universidade Federal de Alagoas; Universidade Federal de Alagoas; Universidade de Brasilia; Universidade Federal de Minas Gerais; Universidade Estadual de Campinas</t>
  </si>
  <si>
    <t>Queiroz, AC (corresponding author), Univ Fed Alagoas, Lab Microbiol Imunol &amp; Parasitol, Complexo Ciencias Med &amp; Enfermagem, Av Manoel Severino Barbosa S-N, BR-57309005 Arapiraca, AL, Brazil.;Queiroz, AC (corresponding author), Univ Fed Alagoas, Inst Ciencias Biol &amp; Saude, Lab Farmacol &amp; Imunol, Av Paulo Holanda 143, BR-57072900 Maceio, Alagoas, Brazil.</t>
  </si>
  <si>
    <t>aline.queiroz@arapiraca.ufal.br</t>
  </si>
  <si>
    <t>SANTOS, ANA/JPK-6411-2023; Duarte, Alysson Wagner Fernandes/S-8062-2019; Queiroz, Aline Cavalcanti de/GLS-3284-2022; Santos, Ana Carolina/GWR-2410-2022; Camara, Paulo/GPP-2054-2022; Oliveira, Valéria Maia/L-2422-2014; Santos, Ana/KHY-6833-2024</t>
  </si>
  <si>
    <t>Duarte, Alysson Wagner Fernandes/0000-0001-9626-7524; Queiroz, Aline Cavalcanti de/0000-0002-6362-2726; Camara, Paulo/0000-0002-3944-996X; Oliveira, Valéria Maia/0000-0001-8817-4758; Bernardo da Silva, Mauricio/0000-0002-9462-8768; Melo dos Santos, Ana Caroline/0000-0003-0280-6107; Alexandre Moreira, Magna Suzana/0000-0002-9979-1994</t>
  </si>
  <si>
    <t>Conselho Nacional de Desenvolvimento Cientifico e Tecnologico (CNPq) [Mycoantar/PROANTAR 442258/2018-6, 433388/2018-8]; Fundacao de Amparo a Pesquisa do Estado de Alagoas (FAPEAL); Universidade Federal de Alagoas (UFAL)</t>
  </si>
  <si>
    <t>Conselho Nacional de Desenvolvimento Cientifico e Tecnologico (CNPq)(Conselho Nacional de Desenvolvimento Cientifico e Tecnologico (CNPQ)); Fundacao de Amparo a Pesquisa do Estado de Alagoas (FAPEAL)(Fundacao de Amparo a Pesquisa do Estado de Alagoas (FAPEAL)); Universidade Federal de Alagoas (UFAL)</t>
  </si>
  <si>
    <t>This work has been supported by the Conselho Nacional de Desenvolvimento Cientifico e Tecnologico (CNPq, Grant no. Mycoantar/PROANTAR 442258/2018-6 and Universal 433388/2018-8, Programa Institucional de Bolsas de Iniciacao em Desenvolvimento Tecnologico e Inovacao), Fundacao de Amparo a Pesquisa do Estado de Alagoas (FAPEAL), and Universidade Federal de Alagoas (UFAL). The authors thank parliamentarian Tereza Nelma da Silva Porto Viana Soares for supporting the Brazilian Antartic research. The authors would also like to thank the Coordenacao de Aperfeicoamento de Pessoal de Nivel Superior (CAPES), Conselho Nacional de Desenvolvimento Cientifico e Tecnologico (CNPq), Ministerio de Ciencia, Tecnologia, Inovacoes e Comunicacao (MCTIC), Financiadora de Estudos e Projetos (FINEP), and Fundacao de Amparo a Pesquisa do Estado de Alagoas (FAPEAL). Moreover, the authors would like to thank several colleagues working at the UFAL for constructive criticism of and assistance with this project.</t>
  </si>
  <si>
    <t>10.1590/0001-3765202220210840</t>
  </si>
  <si>
    <t>1J3BT</t>
  </si>
  <si>
    <t>WOS:000797795800001</t>
  </si>
  <si>
    <t>Soto, FA; Negrete, J; Klaich, MJ; Leonardi, MS</t>
  </si>
  <si>
    <t>Soto, Florencia A.; Negrete, Javier; Klaich, Matias J.; Soledad Leonardi, Maria</t>
  </si>
  <si>
    <t>Effect of host age, sex and life stage on the prevalence and abundance of sucking lice on Weddell seal in the Antarctic Peninsula</t>
  </si>
  <si>
    <t>Antarctophthirus carlinii; infestation parameters; GLM; Leptonychotes weddellii</t>
  </si>
  <si>
    <t>ANOPLURA ECHINOPHTHIRIIDAE; MCMURDO-SOUND; HABITAT USE; VARIABILITY; INSECTA; ECOLOGY</t>
  </si>
  <si>
    <t>Through evolutionary time, seal lice have developed morphological, behavioral,and ecological adaptations to cope with the amphibious lifestyle of their hosts in a co-evolutionary process. Consequently, the dynamics of lice populations are determined by seals behavior. We aim to study the effects of host sex, age class, year, and sampling location, on the prevalence and mean abundance of Antarctophthirus carlinii, on Weddell seals (WS) Leptonychotes wedelli. The study was conducted at two sites in the Antarctic Peninsula, namely, Marambio/Seymour Island (MI) and the Danco Coast (DC). We collected lice from 71 WS: 33 from MI, during the reproductive season, and 38 from DC,during the molting season, between 2014 and 2017. According to our analyses, host age class and sex were the variables that affected prevalence levels of lice on WS. Whereas,age class, year, site, and sex affected lice mean abundance. Juveniles presented higher prevalence and mean abundance than adults, possibly acting as reservoirs for lice as they move through different colonies until they reach reproductive age. Concurrently,seals during molting season were more infested. Unlike nursing, during the molting season seals spend much time ashore forming mixed groups that favor both egg development and lice transmission.</t>
  </si>
  <si>
    <t>[Soto, Florencia A.; Soledad Leonardi, Maria] Consejo Nacl Invest Cient &amp; Tecn CONICET, Inst Biol Organismos Marinos IBIOMAR, Blvd Brown 2915, RA-9120 Puerto Madryn, Chubut, Argentina; [Negrete, Javier] Univ Nacl La Plata, Fac Ciencias Nat &amp; Museo, Ave 122 &amp; 60, RA-1900 La Plata, Argentina; [Negrete, Javier] Inst Antartico Argentino, Dept Biol Predadores Tope, Cerrito 1248, RA-1010 Buenos Aires, DF, Argentina; [Klaich, Matias J.] Univ Nacl Patagonia San Juan Bosco, Blvd Brown 3051, RA-9120 Puerto Madryn, Chubut, Argentina</t>
  </si>
  <si>
    <t>Consejo Nacional de Investigaciones Cientificas y Tecnicas (CONICET); National University of La Plata; Museo La Plata; Instituto Antartico Argentino; Universidad Nacional de la Patagonia San Juan Bosco</t>
  </si>
  <si>
    <t>Leonardi, MS (corresponding author), Consejo Nacl Invest Cient &amp; Tecn CONICET, Inst Biol Organismos Marinos IBIOMAR, Blvd Brown 2915, RA-9120 Puerto Madryn, Chubut, Argentina.</t>
  </si>
  <si>
    <t>leonardi@cenpat-conicet.gob.ar</t>
  </si>
  <si>
    <t>Soto, Florencia/0000-0003-0139-9327; Negrete, Javier/0000-0001-6853-8307; Leonardi, Maria Soledad/0000-0002-1736-7031</t>
  </si>
  <si>
    <t>Instituto Antartico Argentino; Direccion Nacional del Antartico; Agencia Nacional de Promocion de la Investigacion, el Desarrollo Tecnologico y la Innovacion [PICT 2015-0082, PICT 2018-0537]; Lerner-Grey Fund for Marine Research; Ministerio de Ciencia, Tecnologia e Innovacion Productiva de la Nacion</t>
  </si>
  <si>
    <t>Instituto Antartico Argentino; Direccion Nacional del Antartico; Agencia Nacional de Promocion de la Investigacion, el Desarrollo Tecnologico y la Innovacion; Lerner-Grey Fund for Marine Research; Ministerio de Ciencia, Tecnologia e Innovacion Productiva de la Nacion</t>
  </si>
  <si>
    <t>We want to thank those involved in field work assistance at Danco Coast and Marambio Island. Thanks to Julieta Cebuhar, Esteban Soibelzon, Pedro Carlini, Pablo Moscoso, Sebastian Poljak, Juan Galliari and Magali Bobinac for fieldwork. We are very grateful to Dr. Juan Pablo Livore for helpful criticisms of a draft of this manuscript and his useful comments and suggestions. Thanks to Julieta Cebuhar for making the map. This work was supported by the financial and logistic aid of the Instituto Antartico Argentino and the Direccion Nacional del Antartico. All permits for sampling procedures were granted by the environmental office of Direccion Nacional del Antartico (Environmental Office). This research was funded by the Agencia Nacional de Promocion de la Investigacion, el Desarrollo Tecnologico y la Innovacion (PICT 2015-0082 and PICT 2018-0537) and the Lerner-Grey Fund for Marine Research. Thanks are also given to the restored Ministerio de Ciencia, Tecnologia e Innovacion Productiva de la Nacion for the promotion of the scientific Argentinean program and the support to public education. We also want to express our heartfelt gratitude and appreciation to all the healthcare workers and researchers working in the frontline against the pandemic for COVID-19.</t>
  </si>
  <si>
    <t>e20210566</t>
  </si>
  <si>
    <t>10.1590/0001-3765202220210566</t>
  </si>
  <si>
    <t>1J3AV</t>
  </si>
  <si>
    <t>WOS:000797793400001</t>
  </si>
  <si>
    <t>Fonseca, EL; Dos Santos, EC; De Figueiredo, AR; Simoes, JC</t>
  </si>
  <si>
    <t>Fonseca, Eliana L.; Dos Santos, Edvan C.; De Figueiredo, Anderson R.; Simoes, Jefferson C.</t>
  </si>
  <si>
    <t>Antarctic biological soil crusts surface reflectance patterns from landsat and sentinel-2 images</t>
  </si>
  <si>
    <t>biophysical parameters; cross calibration; classification; Google Earth Engine; time-series analysis; vegetation</t>
  </si>
  <si>
    <t>DIFFERENCE VEGETATION INDEX; SPECTRAL RESPONSE FUNCTION; PRASIOLA-CRISPA; DESERT; MOSS; SUCCESSION; DIVERSITY; PENINSULA; LICHENS; GROWTH</t>
  </si>
  <si>
    <t>The remote sensing techniques must be used to obtain long-term information in remote areas, like the Antarctic continent, to monitor the environmental productivity and its changes. The aim of this work was to analyze the surface reflectance profile patterns for the Antarctic biological soil crusts (algae, lichens, and mosses) in an area of Nelson Island (South Shetland Islands, maritime Antarctic), calculated from Landsat and Sentinel-2 images to identify its similarities and differences due to targets, sensors and acquired date. The surface reflectance values for Antarctic biological soil crusts are similar for those observed for biological soil crusts in other Earth extreme environments, like deserts. In Landsat images, the differences among biological soil crusts surface reflectance were identified at visible and near-infrared wavelengths and for Sentinel-2 images, the differences occur at visible, red-edge and shortwave infrared wavelengths, showing the feasibility of using surface reflectance products to identify these different crusts, despite its inherent pixel spectral mixture. Long-term biophysical parameters from such crusts as retrieved from orbital data is not possible due to very low cloud-free images over the Antarctic, which prevents building a consistent surface reflectance time-series which covers all biological soil crusts growth season.</t>
  </si>
  <si>
    <t>[Fonseca, Eliana L.; Simoes, Jefferson C.] Univ Fed Rio Grande do Sul, Ctr Polar &amp; Climat, Dept Geog, Av Bento Goncalves 9500, BR-91501970 Porto Alegre, RS, Brazil; [Dos Santos, Edvan C.; De Figueiredo, Anderson R.] Univ Fed Rio Grande do Sul, Ctr Polar &amp; Climat, Av Bento Goncalves 9500, BR-91501970 Porto Alegre, RS, Brazil; [Simoes, Jefferson C.] Univ Maine, Climate Change Inst, Bryand Global Sci Bldg, Orono, ME 04469 USA</t>
  </si>
  <si>
    <t>Universidade Federal do Rio Grande do Sul; Universidade Federal do Rio Grande do Sul; University of Maine System; University of Maine Orono</t>
  </si>
  <si>
    <t>Fonseca, EL (corresponding author), Univ Fed Rio Grande do Sul, Ctr Polar &amp; Climat, Dept Geog, Av Bento Goncalves 9500, BR-91501970 Porto Alegre, RS, Brazil.</t>
  </si>
  <si>
    <t>eliana.fonseca@ufrgs.br</t>
  </si>
  <si>
    <t>Simoes, Jefferson Cardia/D-7232-2013; Ribeiro de Figueiredo, Anderson/HJZ-2924-2023; da Fonseca, Eliana Lima/AAK-8246-2021</t>
  </si>
  <si>
    <t>Simoes, Jefferson Cardia/0000-0001-5555-3401; Ribeiro de Figueiredo, Anderson/0000-0002-0228-249X; da Fonseca, Eliana Lima/0000-0002-9129-2939; Casagrande dos Santos, Edvan/0000-0001-8008-2509</t>
  </si>
  <si>
    <t>Conselho Nacional de Desenvolvimento Cientifico e Tecnologico (CNPq) [465680/2014-3]; Fundacao de Amparo a Pesquisa do Estado do Rio Grande do Sul (FAPERGS) through the Brazilian National Institute for Cryospheric Sciences (INCT da Criosfera) [17/25510000518-0]</t>
  </si>
  <si>
    <t>Conselho Nacional de Desenvolvimento Cientifico e Tecnologico (CNPq)(Conselho Nacional de Desenvolvimento Cientifico e Tecnologico (CNPQ)); Fundacao de Amparo a Pesquisa do Estado do Rio Grande do Sul (FAPERGS) through the Brazilian National Institute for Cryospheric Sciences (INCT da Criosfera)</t>
  </si>
  <si>
    <t>This work was supported financially by Conselho Nacional de Desenvolvimento Cientifico e Tecnologico (CNPq) - Process 465680/2014-3 and the Fundacao de Amparo a Pesquisa do Estado do Rio Grande do Sul (FAPERGS) - Process 17/25510000518-0 through the Brazilian National Institute for Cryospheric Sciences (INCT da Criosfera).</t>
  </si>
  <si>
    <t>e20210596</t>
  </si>
  <si>
    <t>10.1590/0001-3765202220210596</t>
  </si>
  <si>
    <t>1H9AE</t>
  </si>
  <si>
    <t>WOS:000796830700001</t>
  </si>
  <si>
    <t>Queiroz, MGS; Parise, CK; Pezzi, LP; Carpenedo, CB; Vasconcellos, FC; Torres, ALR; Barbosa, WL; Lima, LG</t>
  </si>
  <si>
    <t>Queiroz, Michelly G. S.; Parise, Claudia K.; Pezzi, Luciano P.; Carpenedo, Camila B.; Vasconcellos, Fernanda C.; Torres, Ana Laura R.; Barbosa, Wesley L.; Lima, Leonardo G.</t>
  </si>
  <si>
    <t>Response of southern troposphere meridional circulation to historical maxima of Antarctic sea ice</t>
  </si>
  <si>
    <t>Antarctic Sea Ice; Atmospheric Circulation; South Atlantic Ocean; Hadley Cell; Polar Cell</t>
  </si>
  <si>
    <t>COUPLED CLIMATE MODELS; ATMOSPHERIC RESPONSE; ANNULAR MODE; PART II; DRIVEN; VARIABILITY; DYNAMICS; TRENDS; EXTENT</t>
  </si>
  <si>
    <t>The variability of Antarctic sea ice (ASI) has great potential to affect atmospheric circulation, with impacts that can extend from the surface to the middle and high levels of troposphere. The present study has evaluated the response of South Atlantic tropospheric circulation to increased coverage in area and volume of ASI. Monthly data of air temperature, zonal and meridional wind and mean sea level pressure were obtained from two ensemble simulations performed with the GDFL/CM2:1 model, covering the period from July 2020 to June 2030. In general, the response of South Atlantic tropospheric circulation to increased ASI showed that the climatic signal extended up from the surface to the high levels, propagating as a South Pole-Tropics teleconnection. The results show a general cooling of the southern troposphere, which for instance lead to the strengthening and northward shift of the polar jet and the southward shift of the subtropical jet and to an inversion from the positive to negative phase of the Southern Annular Mode. This study has great relevance for understanding the global climate changes in short term, by assessing the sensitivity of South Atlantic tropospheric circulation to extreme variations in ASI.</t>
  </si>
  <si>
    <t>[Queiroz, Michelly G. S.; Parise, Claudia K.; Torres, Ana Laura R.; Barbosa, Wesley L.] Univ Fed Maranhao UFMA, Dept Oceanog &amp; Limnol DEOLI, Lab Estudo &amp; Modelagem Climat LACLIMA, Ave Portugueses 1966, BR-65080805 Sao Luis, Maranhao, Brazil; [Pezzi, Luciano P.] Inst Nacl Pesquisas Espaciais INPE, Div Observacao Terra &amp; Geoinformat DIOTG, Lab Estudos Oceano &amp; Atmosfera LOA, Ave Astronautas 1758, BR-12227010 Sao Jose Dos Campos, SP, Brazil; [Carpenedo, Camila B.] Univ Fed Parana UFPR, Dept Solos &amp; Engn Agr DSEA, Rua Funcionarios 1540, BR-80035050 Curitiba, Parana, Brazil; [Vasconcellos, Fernanda C.] Univ Fed Rio de Janeiro UFRJ, Dept Meteorol, Ave Athos Silveira Ramos 274, BR-21941916 Rio De Janeiro, RJ, Brazil; [Lima, Leonardo G.] Univ Fed Maranhao UFMA, Dept Oceanog &amp; Limnol DEOLI, Lab Estudos Oceanog Geol LEOG, Ave Portugueses 1966, BR-65080805 Sao Luis, Maranhao, Brazil</t>
  </si>
  <si>
    <t>Parise, CK (corresponding author), Univ Fed Maranhao UFMA, Dept Oceanog &amp; Limnol DEOLI, Lab Estudo &amp; Modelagem Climat LACLIMA, Ave Portugueses 1966, BR-65080805 Sao Luis, Maranhao, Brazil.</t>
  </si>
  <si>
    <t>Pezzi, Luciano Ponzi/N-7271-2017; Gonçalves de Lima, Leonardo/AGJ-5858-2022; Carpenedo, Camila/AHA-7140-2022; Vasconcellos, Fernanda/AAB-9015-2021; Camara, Paulo/J-5482-2014</t>
  </si>
  <si>
    <t>Pezzi, Luciano Ponzi/0000-0001-6016-4320; Gonçalves de Lima, Leonardo/0000-0001-7449-8639; Carpenedo, Camila/0000-0001-9034-789X; Vasconcellos, Fernanda/0000-0002-5931-1503; Camara, Paulo/0000-0002-3944-996X; Rodrigues Torres, Ana Laura/0000-0003-0155-4059</t>
  </si>
  <si>
    <t>Coordenacao de Aperfeicoamento de Pessoal de Nivel Superior (CAPES) [23038.004304/2014-28, 145668/2017-00]; Conselho Nacional de Desenvolvimento Cientifico e Tecnologico (CNPq) [420406/2016-6, 443013/2018-7]; Fundacao de Amparo a Pesquisa e ao Desenvolvimento Cientifico e Tecnologico do Maranhao (FAPEMA) [00850/17]; CNPq [304009/2016-4]</t>
  </si>
  <si>
    <t>Coordenacao de Aperfeicoamento de Pessoal de Nivel Superior (CAPES)(Coordenacao de Aperfeicoamento de Pessoal de Nivel Superior (CAPES)); Conselho Nacional de Desenvolvimento Cientifico e Tecnologico (CNPq)(Conselho Nacional de Desenvolvimento Cientifico e Tecnologico (CNPQ)); Fundacao de Amparo a Pesquisa e ao Desenvolvimento Cientifico e Tecnologico do Maranhao (FAPEMA)(Fundacao de Amparo a Pesquisa e Desenvolvimento Cientifico do Maranhao (FAPEMA)); CNPq(Conselho Nacional de Desenvolvimento Cientifico e Tecnologico (CNPQ))</t>
  </si>
  <si>
    <t>The authors would like to thank the funding support of Coordenacao de Aperfeicoamento de Pessoal de Nivel Superior (CAPES) to the Projects Advanced Studies in Oceanography of Medium and High Latitudes (Process 23038.004304/2014-28) and Use and Development of the Brazilian Earth System Model for the Study of the Ocean-Atmosphere-Cryosphere System in High and Medium Latitudes -BESM/SOAC (Process 145668/2017-00) and to the funding support of Conselho Nacional de Desenvolvimento Cientifico e Tecnologico (CNPq) to the Projects Impactos do Aumento do Gelo Marinho da Antartica no Clima da America do Sul: Simulacoes por Conjunto x Reanalises (Process 420406/2016-6) and Antarctic Modeling Observation System -ATMOS (Process 443013/2018-7). This publication was also supported by Fundacao de Amparo a Pesquisa e ao Desenvolvimento Cientifico e Tecnologico do Maranhao (FAPEMA) (Process 00850/17). CNPq funds L. P. Pezzi through fellowship of the Research Productivity Program (Process 304009/2016-4). The authors also acknowledge the GFDL Coupled Climate Model Development Team for providing a public version of the model and for all technical support.</t>
  </si>
  <si>
    <t>e20210795</t>
  </si>
  <si>
    <t>10.1590/0001-3765202220210795</t>
  </si>
  <si>
    <t>1J3BQ</t>
  </si>
  <si>
    <t>WOS:000797795500001</t>
  </si>
  <si>
    <t>Orselli, IBM; Carvalho, ACO; Monteiro, T; Damini, BY; de Carvalho-Borges, M; Albuquerque, C; Kerr, R</t>
  </si>
  <si>
    <t>Orselli, Iole B. M.; Carvalho, Andrea C. O.; Monteiro, Thiago; Damini, Brendon Y.; de Carvalho-Borges, Mariah; Albuquerque, Cintia; Kerr, Rodrigo</t>
  </si>
  <si>
    <t>The marine carbonate system along the northern Antarctic Peninsula: current knowledge and future perspectives</t>
  </si>
  <si>
    <t>CO2 fluxes; anthropogenic carbon; ocean variability; carbon cycle; Southern Ocean; biogeochemistry</t>
  </si>
  <si>
    <t>CIRCUMPOLAR DEEP-WATER; OCEANIC CO2 UPTAKE; SOUTHERN-OCEAN; BRANSFIELD STRAIT; ANTHROPOGENIC CO2; SEA-ICE; GERLACHE STRAIT; WEDDELL SEA; EL-NINO; PHYTOPLANKTON COMMUNITIES</t>
  </si>
  <si>
    <t>Among the regions of the Southern Ocean, the northern Antarctic Peninsula (NAP) has emerged as a hotspot of climate change investigation. Nonetheless, studies have indicated issues and knowledge gaps that must be addressed to expand the understanding of the carbonate system in the region. Therefore, we focused on identifying current knowledge about sea-air CO2 fluxes (FCO2), anthropogenic carbon (C-ant) and ocean acidification along NAP and provide a better comprehension of the key physical processes controlling the carbonate system. Regarding physical dynamics, we discuss the role of water masses formation, climate modes, upwelling and intrusions of Circumpolar Deep Water, and mesoscale processes. For FCO2, we show that the summer season corresponds to a strong sink in coastal areas, leading to CO2 uptake that is greater than or equal to that of the open ocean. We highlight that the prevalence of summer studies prevents comprehending processes occurring throughout the year and the net annual CO2 balance in the region. Thus, temporal investigations are necessary to determine natural environmental fluctuations and to distinguish natural variability from anthropogenically driven changes. We emphasize the importance of more studies regarding C-ant uptake rate, accumulation, and export to global oceans.</t>
  </si>
  <si>
    <t>[Orselli, Iole B. M.; Carvalho, Andrea C. O.; Monteiro, Thiago; Damini, Brendon Y.; de Carvalho-Borges, Mariah; Albuquerque, Cintia; Kerr, Rodrigo] Univ Fed Rio Grande, Inst Oceanog, Lab Estudos Oceanos &amp; Clima LEOC, Av Italia S-N, BR-96203900 Rio Grande, RS, Brazil; [Orselli, Iole B. M.; Carvalho, Andrea C. O.; Monteiro, Thiago; Damini, Brendon Y.; de Carvalho-Borges, Mariah; Albuquerque, Cintia; Kerr, Rodrigo] Brazilian Ocean Acidificat Network BrOA, Av Italia S-N, BR-96203900 Rio Grande, RS, Brazil; [Orselli, Iole B. M.; Carvalho, Andrea C. O.; Monteiro, Thiago; Damini, Brendon Y.; de Carvalho-Borges, Mariah; Albuquerque, Cintia; Kerr, Rodrigo] Inst Nacl Ciencia &amp; Tecnol Criosfera, Grp Estudos Oceano Austral &amp; Gelo Marinho, Av Italia S-N, BR-96203900 Rio Grande, RS, Brazil; [Orselli, Iole B. M.; Carvalho, Andrea C. O.; Monteiro, Thiago; Damini, Brendon Y.; Albuquerque, Cintia; Kerr, Rodrigo] Univ Fed Rio Grande, Inst Oceanog, Programa Posgrad Oceanol, Av Italia S-N, BR-96203900 Rio Grande, RS, Brazil</t>
  </si>
  <si>
    <t>Universidade Federal do Rio Grande; Universidade Federal do Rio Grande</t>
  </si>
  <si>
    <t>Orselli, IBM (corresponding author), Univ Fed Rio Grande, Inst Oceanog, Lab Estudos Oceanos &amp; Clima LEOC, Av Italia S-N, BR-96203900 Rio Grande, RS, Brazil.;Orselli, IBM (corresponding author), Brazilian Ocean Acidificat Network BrOA, Av Italia S-N, BR-96203900 Rio Grande, RS, Brazil.;Orselli, IBM (corresponding author), Inst Nacl Ciencia &amp; Tecnol Criosfera, Grp Estudos Oceano Austral &amp; Gelo Marinho, Av Italia S-N, BR-96203900 Rio Grande, RS, Brazil.;Orselli, IBM (corresponding author), Univ Fed Rio Grande, Inst Oceanog, Programa Posgrad Oceanol, Av Italia S-N, BR-96203900 Rio Grande, RS, Brazil.</t>
  </si>
  <si>
    <t>iole.orselli@furg.br</t>
  </si>
  <si>
    <t>Orselli, Iole/AAP-1267-2021; Monteiro, Thiago/AAJ-7902-2020; Carvalho, Andrea/JGE-0813-2023; Kerr, Rodrigo/I-2494-2012</t>
  </si>
  <si>
    <t>Monteiro, Thiago/0000-0001-7643-0646; Kerr, Rodrigo/0000-0002-2632-3137; Damini, Brendon Yuri/0000-0003-4792-6057; Carvalho, Andrea/0000-0002-9159-9498; Orselli, Iole/0000-0003-2991-292X</t>
  </si>
  <si>
    <t>Ministerio do Meio Ambiente (MMA); Brazilian Navy; Secretaria da Comissao Interministerial para os Recursos do Mar (SECIRM); Ministerio da Ciencia, Tecnologia e Inovacao (MCTI); Instituto Nacional para Ciencia e Tecnologia da Criosfera (INCT-CRIOSFERA) [573720/2008-8, 465680/2014-3]; CNPq [573720/2008-8, 465680/2014-3, 550370/20021, 520189/2006-0, 556848/2009-8, 565040/2010-3, 405869/2013-4, 407889/2013-2, 442628/2018-8, 442637/2018-7, 151130/2020-5, 304937/2018-5,]; Fundacao de Amparo a Pesquisa do Estado do Rio Grande do Sul (FAPERGS) [17/2551-000518-0]; Coordenacao de Aperfeicoamento de Pessoal de Nivel Superior (CAPES, Brazil) [23038.001421/2014-30]; CNPq: PDJ scholarship [151130/2020-5, 304937/2018-5]</t>
  </si>
  <si>
    <t>Ministerio do Meio Ambiente (MMA); Brazilian Navy; Secretaria da Comissao Interministerial para os Recursos do Mar (SECIRM); Ministerio da Ciencia, Tecnologia e Inovacao (MCTI); Instituto Nacional para Ciencia e Tecnologia da Criosfera (INCT-CRIOSFERA); CNPq(Conselho Nacional de Desenvolvimento Cientifico e Tecnologico (CNPQ)); Fundacao de Amparo a Pesquisa do Estado do Rio Grande do Sul (FAPERGS)(Fundacao de Amparo a Ciencia e Tecnologia do Estado do Rio Grande do Sul (FAPERGS)); Coordenacao de Aperfeicoamento de Pessoal de Nivel Superior (CAPES, Brazil)(Coordenacao de Aperfeicoamento de Pessoal de Nivel Superior (CAPES)); CNPq: PDJ scholarship</t>
  </si>
  <si>
    <t>We thank researchers, students, and technicians from the Grupo de Oceanografia de Altas Latitudes (GOAL; www.goal.furg.br), the Brazilian Ocean Acidification Network (BrOA; www.broa.furg.br) and CARBON Team (www.carbonteam.furg.br) for their contribution to cruise planning, sampling, laboratory and data analysis, and scientific discussions. We also thank the Brazilian Navy, especially the crew, officers, and all the researchers onboard of the RV Ary Rongel and the RV Almirante Maximiano, for providing logistical and sampling support during GOAL cruises, which is part of the Programa Antartico Brasileiro (PROANTAR). GOAL has been funded by, and/or has received logistical support from, the following: Ministerio do Meio Ambiente (MMA); Brazilian Navy; Secretaria da Comissao Interministerial para os Recursos do Mar (SECIRM); and Ministerio da Ciencia, Tecnologia e Inovacao (MCTI). Through the Conselho Nacional de Desenvolvimento Cientifico e Tecnologico (CNPq), GOAL was supported through grants from the Instituto Nacional para Ciencia e Tecnologia da Criosfera (INCT-CRIOSFERA; CNPq grant nos. 573720/2008-8 and 465680/2014-3) and the following activities: REDE-1, SOS-CLIMATE, POLARCANION, PRO-OASIS, NAUTILUS, INTERBIOTA, PROVOCCAR, and ECOPELAGOS projects (CNPq grant nos. 550370/20021, 520189/2006-0, 556848/2009-8, 565040/2010-3,405869/2013-4, 407889/2013-2, 442628/2018-8 and 442637/2018-7, respectively). Additionally, GOAL received financial support from the Fundacao de Amparo a Pesquisa do Estado do Rio Grande do Sul (FAPERGS grant No. 17/2551-000518-0); and the Coordenacao de Aperfeicoamento de Pessoal de Nivel Superior (CAPES, Brazil) through the project CAPES Ciencias do Mar (CAPES grant n degrees 23038.001421/2014-30). CAPES also provided free access to many relevant journals though the portal Periodicos CAPES and the activities of the Graduate Program in Oceanology. I.B. M. Orselli and R. Kerr acknowledge financial support from CNPq: PDJ scholarship grant n degrees 151130/2020-5 and researcher fellowship 304937/2018-5, respectively. We would also like to thank the producers, supporters, collaborators, and distributers of Surface Ocean CO2 Atlas (SOCAT) and Global Ocean Data Analysis Project (GLODAP) for providing freely available high-quality datasets. The GOAL biogeochemical dataset is provided by request. The authors thank the two anonymous reviewers for their comments and suggestions, which have improved the manuscript.</t>
  </si>
  <si>
    <t>e20210825</t>
  </si>
  <si>
    <t>10.1590/0001-3765202220210825</t>
  </si>
  <si>
    <t>1H9AO</t>
  </si>
  <si>
    <t>WOS:000796831700001</t>
  </si>
  <si>
    <t>Sampaio, DP</t>
  </si>
  <si>
    <t>Sampaio, Daniela P.</t>
  </si>
  <si>
    <t>Diplomatic culture and institutional design: Analyzing sixty years of Antarctic Treaty governance</t>
  </si>
  <si>
    <t>Antarctic Treaty; Diplomatic Culture; Institutional Design; Environmental Governance; International Regimes</t>
  </si>
  <si>
    <t>Since 1961 the Antarctic Treaty has been acknowledged internationally as the legitimate forum through which decision-making for the region takes place. Membership growth and the establishment of new conventions are strong indicators of how this international regime has overcome challenges to its functioning, while preserving peace maintenance, scientific cooperation and environmental protection as the main pillars of Antarctic governance. For this special volume of Annals of the Brazilian Academy of Science, this work provides an overview of the Antarctic Treaty Consultative Meetings' operation, highlighting how they established specific diplomatic practices: the progressive introduction of issues, the avoidance of contentious issues, and watered-down, ambiguous text, all of which have enabled parties to circumvent conflict and reach consensual agreement. Based on analysis of the Antarctic Treaty Database, this work shows the main practices developed through the Antarctic Treaty and concludes that the adaptability of Treaty Parties to manage challenges over the last 60 years will unquestionably continue to underpin the regime.</t>
  </si>
  <si>
    <t>[Sampaio, Daniela P.] Univ Bielefeld, Fak Soziol, Univ Str 25, D-33615 Bielefeld, Germany; [Sampaio, Daniela P.] Univ London, Business Sch Formerly Cass City, 106 Bunhill Row, London EC1Y 8TZ, England</t>
  </si>
  <si>
    <t>University of Bielefeld; University of London</t>
  </si>
  <si>
    <t>Sampaio, DP (corresponding author), Univ Bielefeld, Fak Soziol, Univ Str 25, D-33615 Bielefeld, Germany.;Sampaio, DP (corresponding author), Univ London, Business Sch Formerly Cass City, 106 Bunhill Row, London EC1Y 8TZ, England.</t>
  </si>
  <si>
    <t>danirics@alumni.usp.br</t>
  </si>
  <si>
    <t>Portella Sampaio, Daniela/0000-0002-1400-8957</t>
  </si>
  <si>
    <t>e20210539</t>
  </si>
  <si>
    <t>10.1590/0001-3765202220210539</t>
  </si>
  <si>
    <t>1J3AO</t>
  </si>
  <si>
    <t>WOS:000797792700001</t>
  </si>
  <si>
    <t>Lacka, M; Lubczonek, J</t>
  </si>
  <si>
    <t>Lacka, Malgorzata; Lubczonek, Jacek</t>
  </si>
  <si>
    <t>Analysis of qualitative and quantitative assessment methods for shoreline extraction</t>
  </si>
  <si>
    <t>SCIENTIFIC JOURNALS OF THE MARITIME UNIVERSITY OF SZCZECIN-ZESZYTY NAUKOWE AKADEMII MORSKIEJ W SZCZECINIE</t>
  </si>
  <si>
    <t>shoreline; coastline; remote sensing data; quality assessment; quantity assessment; accuracy assessment</t>
  </si>
  <si>
    <t>ANTARCTIC ICE-SHEET; COASTLINE EXTRACTION; IMAGES</t>
  </si>
  <si>
    <t>The shoreline is an important geographical zone, and knowledge of its accurate location can be crucial for coastal management and mapping. The ever-increasing number of aerial and satellite sensors is leading to research related to the development of new methods for the automatic extraction of the shoreline. Currently, there is a lot of research in this area with different research methodologies. In this paper, an analysis of shoreline extraction methods was carried out. Based on the analysis undertaken, current research processes in this field can be verified. This enabled the further evaluation of the research methodologies studied, including the identification of basic assessment elements for shoreline extraction accuracy. Practical aspects of this work include the ability to establish the correct methods to assess the accuracy of extracted shorelines for both research and production processes related to data extracted from remotely sensed images.</t>
  </si>
  <si>
    <t>[Lacka, Malgorzata] Fac Nav, Dept Geoinformat, 46 Zolnierska St, PL-71250 Szczecin, Poland; [Lubczonek, Jacek] Chair Geoinformat, 46 Zolnierska St, PL-71250 Szczecin, Poland</t>
  </si>
  <si>
    <t>Lacka, M (corresponding author), Fac Nav, Dept Geoinformat, 46 Zolnierska St, PL-71250 Szczecin, Poland.</t>
  </si>
  <si>
    <t>1m.lacka@am.szczecin.pl; j.lubczonek@am.szczecin.pl</t>
  </si>
  <si>
    <t>Lacka, Malgorzata/0000-0001-5899-4659</t>
  </si>
  <si>
    <t>MARITIME UNIV SZCZECIN</t>
  </si>
  <si>
    <t>SZCZECIN</t>
  </si>
  <si>
    <t>WALY CHROBREGO 1, SZCZECIN, 70-500, POLAND</t>
  </si>
  <si>
    <t>1733-8670</t>
  </si>
  <si>
    <t>2392-0378</t>
  </si>
  <si>
    <t>SCI J MARIT UNIV SZC</t>
  </si>
  <si>
    <t>Sci. J. Marit. Univ. Szczec.</t>
  </si>
  <si>
    <t>10.17402/495</t>
  </si>
  <si>
    <t>1I2GY</t>
  </si>
  <si>
    <t>WOS:000797053600002</t>
  </si>
  <si>
    <t>Correia, E; Fernandez, JH; Bageston, JV; Macho, EP; Raunheitte, LTM</t>
  </si>
  <si>
    <t>Correia, Emilia; Fernandez, Jose Henrique; Bageston, Jose Valentin; Macho, Eduardo P.; Raunheitte, Luis Tiago M.</t>
  </si>
  <si>
    <t>Highlights of ionospheric investigations at Comandante Ferraz Brazilian Antarctic Station</t>
  </si>
  <si>
    <t>ionosphere; Antarctica; Sun-Earth interactions; atmospheric waves; atmosphere coupling; geospace connections</t>
  </si>
  <si>
    <t>ELECTRON-PRECIPITATION EVENTS; LATITUDE IONOSPHERE; GEOMAGNETIC STORM; VLF WAVES; D-REGION; AMERICAN; PHASE; ELECTRODYNAMICS; SCINTILLATIONS; CLIMATOLOGY</t>
  </si>
  <si>
    <t>The ionospheric investigations have improved our understanding of the space weather role in the upper atmosphere conditions, particularly at higher latitudes where the geospace phenomena print their signatures. The simultaneous observations using multi-instruments have improved our knowledge of the coupling processes inside the ionosphere, and their connection with the magnetosphere and neutral atmosphere processes under the space weather phenomena. The ionosphere probing at EACF started on 1986 using an analogical very low frequency (VLF) system, and after the year 2004 using digital VLF system, global navigation satellite system (GNSS), riometers and Canadian digital ionosonde (CADI). This paper presents the different radio techniques that have been used at Brazilian Antarctic Station Comandante Ferraz (EACF) to characterize the ionospheric conditions, and the highlights of the studies using multi-instrument observations performed in the last few decades.</t>
  </si>
  <si>
    <t>[Correia, Emilia] Inst Nacl Pesquisas Espaciais INPE, Div Clima Espacial, Av Astronautas 1758, BR-12227010 Sao Jose Dos Campos, SP, Brazil; [Correia, Emilia; Macho, Eduardo P.; Raunheitte, Luis Tiago M.] Univ Presbiteriana Mackenzie, Ctr Radio Astron &amp; Astrofis Mackenzie, Rua Consolacao 930, BR-01302907 Sao Paulo, SP, Brazil; [Fernandez, Jose Henrique] Univ Fed Rio Grande do Norte UFRN, Escola Ciencias &amp; Tecnol, Campus Univ Lagoa Nova, BR-59078970 Natal, RN, Brazil; [Bageston, Jose Valentin] Inst Nacl Pesquisas Espaciais, Coordenacao Espacial Sul, Campus Univ Fed Santa Maria,Av Roraima 1000, BR-97105970 Santa Maria, RS, Brazil</t>
  </si>
  <si>
    <t>Instituto Nacional de Pesquisas Espaciais (INPE); Universidade Federal do Rio Grande do Norte; Universidade Federal de Santa Maria (UFSM); Instituto Nacional de Pesquisas Espaciais (INPE)</t>
  </si>
  <si>
    <t>Correia, E (corresponding author), Inst Nacl Pesquisas Espaciais INPE, Div Clima Espacial, Av Astronautas 1758, BR-12227010 Sao Jose Dos Campos, SP, Brazil.;Correia, E (corresponding author), Univ Presbiteriana Mackenzie, Ctr Radio Astron &amp; Astrofis Mackenzie, Rua Consolacao 930, BR-01302907 Sao Paulo, SP, Brazil.</t>
  </si>
  <si>
    <t>ecorreia@craam.mackenzie.br</t>
  </si>
  <si>
    <t>Correia, Emilia/F-6802-2012</t>
  </si>
  <si>
    <t>Correia, Emilia/0000-0003-4778-3834; Macho, Eduardo/0000-0002-0890-7008; Bageston, Jose V/0000-0003-2931-8488</t>
  </si>
  <si>
    <t>Conselho Nacional de Desenvolvimento Cientifico e Tecnologico (CNPq, Brazil) [406690/2013-8, 442101/2018-0, 306818/2019-1]; Fundacao de Amparo a Pesquisa do Estado de Sao Paulo (FAPESP, Brazil) [2019/05455-2]; Instituto Nacional de Pesquisas Espaciais (INPE/MCTI); INCT-APA (Instituto Nacional de Ciencia e Tecnologia Antartico de Pesquisas Ambientais, CNPq) [574018/2008-5]; INCT-APA (Instituto Nacional de Ciencia e Tecnologia Antartico de Pesquisas Ambientais, Fundacao de Amparo a Pesquisa do Estado do Rio de Janeiro -FAPERJ) [E-16/170.023/2008]; Ministerio da Ciencia, Tecnologia e Inovacoes (MCTI); Ministerio do Meio Ambiente (MMA); Comissao Interministerial para os Recursos do Mar (CIRM); Coordenacao de Aperfeicoamento de Pessoal de Nivel Superior Brasil (CAPES, Brazil) [001]</t>
  </si>
  <si>
    <t>Conselho Nacional de Desenvolvimento Cientifico e Tecnologico (CNPq, Brazil)(Conselho Nacional de Desenvolvimento Cientifico e Tecnologico (CNPQ)); Fundacao de Amparo a Pesquisa do Estado de Sao Paulo (FAPESP, Brazil)(Fundacao de Amparo a Pesquisa do Estado de Sao Paulo (FAPESP)); Instituto Nacional de Pesquisas Espaciais (INPE/MCTI); INCT-APA (Instituto Nacional de Ciencia e Tecnologia Antartico de Pesquisas Ambientais, CNPq)(Conselho Nacional de Desenvolvimento Cientifico e Tecnologico (CNPQ)Fundacao de Apoio a Pesquisa do Distrito Federal (FAPDF)); INCT-APA (Instituto Nacional de Ciencia e Tecnologia Antartico de Pesquisas Ambientais, Fundacao de Amparo a Pesquisa do Estado do Rio de Janeiro -FAPERJ); Ministerio da Ciencia, Tecnologia e Inovacoes (MCTI); Ministerio do Meio Ambiente (MMA); Comissao Interministerial para os Recursos do Mar (CIRM)(California Institute for Regenerative Medicine); Coordenacao de Aperfeicoamento de Pessoal de Nivel Superior Brasil (CAPES, Brazil)</t>
  </si>
  <si>
    <t>EC thanks the Conselho Nacional de Desenvolvimento Cientifico e Tecnologico (CNPq, Brazil, nos.: 406690/20138, 442101/2018-0 and 306818/2019-1), Fundacao de Amparo a Pesquisa do Estado de Sao Paulo (FAPESP, Brazil, no.: 2019/05455-2) for individual research support, and the Instituto Nacional de Pesquisas Espaciais (INPE/MCTI). The INCT-APA (Instituto Nacional de Ciencia e Tecnologia Antartico de Pesquisas Ambientais, CNPq proc.574018/2008-5 and Fundacao de Amparo a Pesquisa do Estado do Rio de Janeiro -FAPERJ proc. E-16/170.023/2008). The authors also acknowledge the support of the Ministerio da Ciencia, Tecnologia e Inovacoes (MCTI); Ministerio do Meio Ambiente (MMA); and Comissao Interministerial para os Recursos do Mar (CIRM) for supporting the Antarctic activities. These studies are part of the activities inside the GRAPE Expert group (www.grape.scar.org), endorsed by SCAR to facilitate the collaboration (http://www.grape.scar.org/).The GNSS data from the DMC and BTN Italian Stations were obtained in the framework of the Programma Nazionale di Ricerche in Antartide (PNRA, Italian National Program for Antarctic Research). Ionosonde data from the Argentinean San Martin Station were available upon request from Adriana Gulisano (adrianagulisano@gmail.com) from the Argentine Antarctic Institute. The GNSS data were obtained in the International GNSS Service (IGS) and Brazilian Continuous Monitoring Network (RBMC). The ionosonde data were obtained from UK Solar System Data Center (UKSSDC -http://www.ukssdc.ac.uk) and from Brazilian Studies and Monitoring of Space Weather (EMBRACE -http://www.inpe.br/climaespacial/SWMonitorUser).EPM and LTMR thank the Coordenacao de Aperfeicoamento de Pessoal de Nivel Superior Brasil (CAPES, Brazil) for the financial support providing scholarship through Financial Code 001.</t>
  </si>
  <si>
    <t>e20210600</t>
  </si>
  <si>
    <t>10.1590/0001-3765202220210600</t>
  </si>
  <si>
    <t>1G5DM</t>
  </si>
  <si>
    <t>WOS:000795867800001</t>
  </si>
  <si>
    <t>Gonçalves, SJ; Magalhaes, N; Charello, RC; Evangelista, H; Godoi, RHM</t>
  </si>
  <si>
    <t>Goncalves, Sergio J., Jr.; Magalhaes, Newton; Charello, Renata C.; Evangelista, Heitor; Godoi, Ricardo H. M.</t>
  </si>
  <si>
    <t>Relative contributions of fossil fuel and biomass burning sources to black carbon aerosol on the Southern Atlantic Ocean Coast and King George Island (Antarctic Peninsula)</t>
  </si>
  <si>
    <t>Antarctica; Southern Ocean; aerosols; black carbon; climate changes; Aethalometer</t>
  </si>
  <si>
    <t>LIGHT-ABSORPTION; BROWN CARBON; OPTICAL-PROPERTIES; URBAN; POLAR; SOOT; COEFFICIENT; ATMOSPHERE; DEPOSITION; PARTICLES</t>
  </si>
  <si>
    <t>Carbonaceous aerosols can affect climate, especially particles containing black carbon (BC). BC originated from the incomplete combustion of fossil fuel and biomass, which can heat the atmosphere and increase ice melting, but little is known about BC sources to Antarctica. We quantified the contribution of distant origin (biomass burning) and local emissions (fossil fuel) to atmospheric BC concentration in the King George Island (Antarctic Peninsula) and the Southern Ocean. We examine the BC concentrations using a multi-wavelength Aethalometer AE-33 and AE-42 aboard the Brazilian Oceanographic Research Ship Almirante Maximiano. The results indicate that the region is influenced by local sources and air masses coming from surrounding continents. Fossil fuel combustion was the major source of carbonaceous aerosols in the region, whereas the total average concentration was 41.8 +/- 22.8 ng m(-3). The findings indicate a contribution of biomass burning coming from low and mid-latitudes of South America over the Antarctic Peninsula and the Southern Ocean around 62 degrees S latitude. We demonstrated that fossil fuel is the main contributor to atmospheric BC concentration for the Austral summer and autumn. Scientific stations, local tourism, and traffic are possible local BC sources. Our work invokes the urgency of questionable sustainability issues about Antarctica exploration.</t>
  </si>
  <si>
    <t>[Goncalves, Sergio J., Jr.; Charello, Renata C.; Godoi, Ricardo H. M.] Univ Fed Parana, Ctr Politecn, Dept Engn Ambiental, Setor Tecnol, Edificio Adm 3 Andar,Rua Francisco H Santos 210, BR-81531980 Curitiba, Parana, Brazil; [Goncalves, Sergio J., Jr.; Magalhaes, Newton; Evangelista, Heitor] Univ Estado Rio de Janeiro UERJ, Lab Radioecol &amp; Mudancas Globais LARAMG IBRAG, Pavilhao Haroldo L Cunha, BR-20550013 Rio De Janeiro, RJ, Brazil; [Magalhaes, Newton] Univ Estado Rio de Janeiro UERJ, Dept Geog Fis, Lab Modelagem Geog, Pavilhao Reitor Joao Lyra Filho,4 Andar, BR-20550900 Maracana, RJ, Brazil</t>
  </si>
  <si>
    <t>Universidade Federal do Parana; Universidade do Estado do Rio de Janeiro; Universidade do Estado do Rio de Janeiro</t>
  </si>
  <si>
    <t>Gonçalves, SJ (corresponding author), Univ Fed Parana, Ctr Politecn, Dept Engn Ambiental, Setor Tecnol, Edificio Adm 3 Andar,Rua Francisco H Santos 210, BR-81531980 Curitiba, Parana, Brazil.;Gonçalves, SJ (corresponding author), Univ Estado Rio de Janeiro UERJ, Lab Radioecol &amp; Mudancas Globais LARAMG IBRAG, Pavilhao Haroldo L Cunha, BR-20550013 Rio De Janeiro, RJ, Brazil.</t>
  </si>
  <si>
    <t>sjrgoncalves@gmail.com</t>
  </si>
  <si>
    <t>Gonçalves, Sérgio/JFS-3614-2023; Gonçalves, Sérgio/GQZ-4378-2022; godoi, ricardo henrique moreton/P-6795-2019; Evangelista, Heitor/C-7561-2013</t>
  </si>
  <si>
    <t>godoi, ricardo henrique moreton/0000-0002-4774-4870; Evangelista, Heitor/0000-0001-9832-1141; Goncalves Junior, Sergio Jose/0000-0002-1852-0894; de Magalhaes Neto, Newton/0000-0003-0294-9319</t>
  </si>
  <si>
    <t>Brazilian Antarctic Program; Programa Institutos Nacionais de Ciencia e Tecnologia do Ministerio da Ciencia, Tecnologia e Inovacao (MCTI/INCT-Criosfera) [573720/2008]; Coordenacao de Aperfeicoamento de Pessoal de Nivel Superior (CAPES) [23075.054449/2014-23]; CAPES [99999.001833/2015-04]; CNPq; Fundacao Araucaria</t>
  </si>
  <si>
    <t>Brazilian Antarctic Program; Programa Institutos Nacionais de Ciencia e Tecnologia do Ministerio da Ciencia, Tecnologia e Inovacao (MCTI/INCT-Criosfera); Coordenacao de Aperfeicoamento de Pessoal de Nivel Superior (CAPES)(Coordenacao de Aperfeicoamento de Pessoal de Nivel Superior (CAPES)); CAPES(Coordenacao de Aperfeicoamento de Pessoal de Nivel Superior (CAPES)); CNPq(Conselho Nacional de Desenvolvimento Cientifico e Tecnologico (CNPQ)); Fundacao Araucaria(Fundacao Araucaria de Apoio ao Desenvolvimento Cientifico e Tecnologico do Estado do Parana FA)</t>
  </si>
  <si>
    <t>Samples were collected (S.J.G.JR, H.E, R. C.C.) at the research Bellinghausen Station (Russian Antarctica station) at OPERANTAR XXXIII/2015 and XXXI/2013, which is supported by the Brazilian Antarctic Program in the context of the Conselho Nacional de Desenvolvimento Cientifico e Tecnologico (CNPq) with Programa Institutos Nacionais de Ciencia e Tecnologia do Ministerio da Ciencia, Tecnologia e Inovacao (MCTI/INCT-Criosfera), number 573720/2008. R.H.M.Godoi by Coordenacao de Aperfeicoamento de Pessoal de Nivel Superior (CAPES) -number 23075.054449/2014-23 and S.J.G. JR. by CAPES number 99999.001833/2015-04 -with support from Brazilian government agencies (CNPq and Fundacao Araucaria). We greatly thank Bellingshausen Station Staff and Brazilian Navy for providing the essential support for sampling collections.</t>
  </si>
  <si>
    <t>e20210805</t>
  </si>
  <si>
    <t>10.1590/0001-3765202220210805</t>
  </si>
  <si>
    <t>1G5EB</t>
  </si>
  <si>
    <t>WOS:000795869400001</t>
  </si>
  <si>
    <t>Maggio, LP; Schmitz, D; Putzke, J; Schaefer, CEGR; Pereira, AB</t>
  </si>
  <si>
    <t>Maggio, Lilian P.; Schmitz, Daniela; Putzke, Jair; Schaefer, Carlos E. G. R.; Pereira, Antonio B.</t>
  </si>
  <si>
    <t>Pellets of Stercorarius spp. (skua) as plant dispersers in the Antarctic Peninsula</t>
  </si>
  <si>
    <t>Antarctica; birds; propagation; vegetation</t>
  </si>
  <si>
    <t>KING GEORGE ISLAND; CATHARACTA-MACCORMICKI; SEXUAL REPRODUCTION; BRYOPHYTE DISPERSAL; LARUS-PACIFICUS; KELP GULL; MOSS; DIET; LONNBERGI; PROPAGULES</t>
  </si>
  <si>
    <t>The Antarctic Peninsula has experienced some of the most accelerated warming worldwide, resulting in the retreat of glaciers and creation of new areas for plant development. Information regarding the plant dispersal processes to these new niches is scarce in Antarctica, despite birds being important vectors elsewhere. Many bird pellets (with feed remains such as bones and feathers) are generated annually in Antarctica, which are light and easily transported by the wind and include vegetation that is accidentally or purposely swallowed. The aim of this study was to analyze the presence of plant fragments within skua (Stercorarius/Catharacta spp.) pellets collected from two sampling areas in the Maritime Antarctic: Stinker Point (Elephant Island, 17 samples) and Byers Peninsula (Livingston Island, 60 samples), in the South Shetland Archipelago, during the austral summers of 2018 and 2020. In both study areas, five species of Bryophyta were found that were associated with the pellets and viable in germination tests in a humid chamber. The ingestion of Bryophyta for the skuas contribute to the dispersion of different moss species, including to areas recently exposed by the ice retreat. This is the first demonstration that skua pellets effectively act in the dispersion of Antarctic mosses.</t>
  </si>
  <si>
    <t>[Maggio, Lilian P.; Putzke, Jair; Pereira, Antonio B.] Univ Fed Pampa, Programa Posgrad Ciencias Biol, Lab Taxon Fungos, Av Antonio Trilha 1847, BR-97300162 Sao Gabriel, RS, Brazil; [Schmitz, Daniela] Univ Fed Vicosa, Dept Biol Vegetal, Av Peter Henry Rolfs S-N,Campus Univ, BR-36570900 Vicosa, MG, Brazil; [Schaefer, Carlos E. G. R.] Univ Fed Vicosa, Dept Solos, Av Peter Henry Rolfs S-N,Campus Univ, BR-36570900 Vicosa, MG, Brazil</t>
  </si>
  <si>
    <t>Universidade Federal do Pampa; Universidade Federal de Vicosa; Universidade Federal de Vicosa</t>
  </si>
  <si>
    <t>Putzke, J (corresponding author), Univ Fed Pampa, Programa Posgrad Ciencias Biol, Lab Taxon Fungos, Av Antonio Trilha 1847, BR-97300162 Sao Gabriel, RS, Brazil.</t>
  </si>
  <si>
    <t>jrputzhebr@yahoo.com</t>
  </si>
  <si>
    <t>Schmitz, Daniela/AAY-8008-2020; Putzke, Jair/P-9380-2019; Pereira, Antonio B/I-8201-2014</t>
  </si>
  <si>
    <t>Schmitz, Daniela/0000-0002-3162-2430; Pereira, Antonio B/0000-0003-0368-4594; , jair/0000-0002-9018-9024</t>
  </si>
  <si>
    <t>Coordenacao de Aperfeicoamento de Pessoal de Nivel Superior (CAPES), Brazil; Conselho Nacional de Desenvolvimento Cientifico e Tecnologico (CNPq), Brazil</t>
  </si>
  <si>
    <t>Coordenacao de Aperfeicoamento de Pessoal de Nivel Superior (CAPES), Brazil(Coordenacao de Aperfeicoamento de Pessoal de Nivel Superior (CAPES)); Conselho Nacional de Desenvolvimento Cientifico e Tecnologico (CNPq), Brazil(Conselho Nacional de Desenvolvimento Cientifico e Tecnologico (CNPQ))</t>
  </si>
  <si>
    <t>We acknowledge the Coordenacao de Aperfeicoamento de Pessoal de Nivel Superior (CAPES), Brazil, for concession the scholarship of the first author. This work is a contribution of the INCT-Criosfera TERRANTAR and PERMACLIMA projects, with financial support of Conselho Nacional de Desenvolvimento Cientifico e Tecnologico (CNPq), Brazil.</t>
  </si>
  <si>
    <t>e20210436</t>
  </si>
  <si>
    <t>10.1590/0001-3765202220210436</t>
  </si>
  <si>
    <t>1G5DD</t>
  </si>
  <si>
    <t>WOS:000795866900001</t>
  </si>
  <si>
    <t>Martins, MD; Ferreira, F; Neto, AA; Vieira, R</t>
  </si>
  <si>
    <t>Martins, Mateus Dos Santos; Ferreira, Fabricio; Neto, Arthur Ayres; Vieira, Rosemary</t>
  </si>
  <si>
    <t>Geophysical investigation in sediment cores and its relationship with the governing sedimentary processes at Bransfield Basin, Antarctica</t>
  </si>
  <si>
    <t>Antarctic Peninsula; Glaciomarine environment; petrophysical properties; sediment cores</t>
  </si>
  <si>
    <t>SOUTH SHETLAND ISLANDS; GLACIOMARINE SEDIMENTATION; MARINE-SEDIMENTS; LATE-HOLOCENE; ROSS SEA; PENINSULA; EVOLUTION; ICE; METHANOGENESIS; STRATIGRAPHY</t>
  </si>
  <si>
    <t>This research aims to investigate sediment cores from a glaciomarine environment based on their petrophysical parameters to elucidate lithological and sedimentary issues, as well as to identify a geophysical signature based on their parameter's response. To achieve this objective, six marine sediment cores were collected in the Central Bransfield Basin - Antarctica, the lengths ranging from 1.5 to 5.2 meters in water depths ranging from 304 to 1463 meters. The cores were submitted to different analyses and values from density, magnetic susceptibility, electrical resistivity, p-wave velocity, total gamma radiation, silt, clay and sand contents, and mean grain size for each core location were considered. Four large lithologies were identified according to their geological and geophysical characteristics. The first group is subglacial deformation till (GC16); the second is massive diamicton (GC13 and GC12), the third group is composed of diamictons from the basin (AM10) and lower slope (GC09); the fourth lithological group is composed of siliceous mud from an upper slope location (GC06A). The characteristics recorded across Central Bransfield Basin (from South Shetlands Islands to Antarctic Peninsula) highlighted the relationship between the lithological content and associated depositional processes with the geophysical proprieties as density and magnetic susceptibility.</t>
  </si>
  <si>
    <t>[Martins, Mateus Dos Santos; Ferreira, Fabricio; Neto, Arthur Ayres; Vieira, Rosemary] Univ Fed Fluminense DOT UFF, Programa Posgrad Dinam Oceanos &amp; Terra, Inst Geociencias, Av Gal Milton Tavares Souza,S-N,Campus Praia Verm, BR-24210346 Niteroi, RJ, Brazil; [Ferreira, Fabricio; Vieira, Rosemary] Univ Fed Fluminense UFF, Inst Geociencias Lab Proc Sedimentares &amp; Ambienta, Av Gal Milton Tavares de Souza,S-N,Campus Praia V, BR-24210346 Niteroi, RJ, Brazil</t>
  </si>
  <si>
    <t>Universidade Federal Fluminense</t>
  </si>
  <si>
    <t>Martins, MD (corresponding author), Univ Fed Fluminense DOT UFF, Programa Posgrad Dinam Oceanos &amp; Terra, Inst Geociencias, Av Gal Milton Tavares Souza,S-N,Campus Praia Verm, BR-24210346 Niteroi, RJ, Brazil.</t>
  </si>
  <si>
    <t>marttmatt2@gmail.com</t>
  </si>
  <si>
    <t>Ferreira, Fabricio/ABC-3867-2020</t>
  </si>
  <si>
    <t>Ferreira, Fabricio/0000-0001-9811-4409; Vieira, Rosemary/0000-0003-0312-2890; Ayres Neto, Arthur/0000-0002-2982-245X; dos Santos Martins, Mateus/0000-0001-9128-0105</t>
  </si>
  <si>
    <t>Conselho Nacional de Desenvolvimento Cientifico e Tecnologico (CNPq) -Proantar; Coordenacao de Aperfeicoamento de Pessoal de Nivel Superior (CAPES) [1773283]; CNPq/Proantar; Brazilian agency CAPES [88882.151083/2017-01]</t>
  </si>
  <si>
    <t>Conselho Nacional de Desenvolvimento Cientifico e Tecnologico (CNPq) -Proantar(Conselho Nacional de Desenvolvimento Cientifico e Tecnologico (CNPQ)Fundacao de Apoio a Pesquisa do Distrito Federal (FAPDF)); Coordenacao de Aperfeicoamento de Pessoal de Nivel Superior (CAPES)(Coordenacao de Aperfeicoamento de Pessoal de Nivel Superior (CAPES)); CNPq/Proantar(Conselho Nacional de Desenvolvimento Cientifico e Tecnologico (CNPQ)); Brazilian agency CAPES(Coordenacao de Aperfeicoamento de Pessoal de Nivel Superior (CAPES))</t>
  </si>
  <si>
    <t>The project has the financial support of the Conselho Nacional de Desenvolvimento Cientifico e Tecnologico (CNPq) -Proantar (Project: Use of sedimentary and biogeochemical records as indicative of climate and environmental changes in the South Shetland Islands and the Antarctic Peninsula), and logistical support of the Brazilian Navy, which allowed the development of this study. Mateus has the support of the Coordenacao de Aperfeicoamento de Pessoal de Nivel Superior (CAPES) [grants 1773283]. Fabricio Ferreira acknowledges the financial support from CNPq/Proantar and the Brazilian agency CAPES [grants 88882.151083/2017-01].</t>
  </si>
  <si>
    <t>e20210551</t>
  </si>
  <si>
    <t>10.1590/0001-3765202220210551</t>
  </si>
  <si>
    <t>1G5DF</t>
  </si>
  <si>
    <t>WOS:000795867100001</t>
  </si>
  <si>
    <t>Cerón-Neculpan, M; Simoes, JC; Schwanck, F; Lascani, J</t>
  </si>
  <si>
    <t>Ceron-Neculpan, Masiel; Simoes, Jefferson C.; Schwanck, Franciele; Lascani, Jorge</t>
  </si>
  <si>
    <t>Polycyclic Aromatic Hydrocarbons in Antarctic Ice Core: Prior Study by Homogeneous Liquid-Liquid Extraction and High-Performance Liquid Chromatography</t>
  </si>
  <si>
    <t>Antarctica; HLLE-HPLC-FLD; ice core; PAH</t>
  </si>
  <si>
    <t>ORGANIC POLLUTANTS; WATER; PAHS; SEDIMENT; POLYCHLOROBIPHENYLS; DEPOSITION; RATIOS; RECORD; SHEET; FATE</t>
  </si>
  <si>
    <t>Organic contamination has been less investigated in Antarctic snow and ice than in other matrices due to analytical operational problems. In this study, the concentration of 14 Polycyclic Aromatic Hydrocarbons was determined in a shallow firn core by Homogeneous Liquid-Liquid Extraction and High-Performance Liquid Chromatography with a Fluorescence Detector. This investigation aimed to develop a simple analytical methodology for future application directly in fieldwork, taking advantage of the simplicity and small sample volumes. The analyte recoveries were 71-99% considering a 100 ng L-1 initial concentration of each compound, with a relative standard deviation of 1.1-9.9%. Analytical sensitivity/detection limit/quantification limits varied from 7.8/ 20.3/ 67.6 ng L-1 for fluoranthene to 0.6/ 1.5/ 5.1 ng L-1 for anthracene. These analytical parameters allow us to apply the method to real samples. We found visible differences at various firn core depths when considering the sum of total analytes under study. The highest total concentration was 741 ng L-1 and the lowest one 134.9 ng L-1. The methodology can be applied without mixing samples with adequate analytical parameters, and it can preserve the firn core temporal resolution, which is an advantage for application in fieldwork.</t>
  </si>
  <si>
    <t>[Ceron-Neculpan, Masiel] Univ Bernardo OHiggins, Ctr Invest Recursos Nat &amp; Sustentabilidad CIRENYS, Ave Viel 1497, Santiago 8370993, Region Metropol, Chile; [Simoes, Jefferson C.] Univ Fed Rio Grande do Sul, Inst Geociencias, UFRGS, Av Bento Goncalves 9500, BR-91501970 Porto Alegre, RS, Brazil; [Schwanck, Franciele] Univ Fed Rio Grande do Sul, Inst Pesquisas Hidraul, Dept Hidromecan &amp; Hidrol, UFRGS, Av Bento Goncalves 9500, BR-91501970 Porto Alegre, RS, Brazil; [Lascani, Jorge] Ctr Modelamiento Matemat, Lab Educ, Beauchef 851, Santiago 8370285, Region Metropol, Chile; [Simoes, Jefferson C.] Univ Maine, Climate Change Inst, 168 Coll Ave, Orono, ME 04469 USA</t>
  </si>
  <si>
    <t>Universidad Bernardo O'Higgins; Universidade Federal do Rio Grande do Sul; Universidade Federal do Rio Grande do Sul; University of Maine System; University of Maine Orono</t>
  </si>
  <si>
    <t>Cerón-Neculpan, M (corresponding author), Univ Bernardo OHiggins, Ctr Invest Recursos Nat &amp; Sustentabilidad CIRENYS, Ave Viel 1497, Santiago 8370993, Region Metropol, Chile.</t>
  </si>
  <si>
    <t>mceronn@gmail.com</t>
  </si>
  <si>
    <t>Simoes, Jefferson Cardia/0000-0001-5555-3401; Schwanck, Franciele/0000-0003-1046-8080; Ceron-Neculpan, Masiel/0000-0003-3830-1434; Lascani, Jorge/0000-0002-5949-8400</t>
  </si>
  <si>
    <t>Agencia Nacional de Investigacion y Desarrollo (ex-CONICYT) [D-21070556]; cooperation of Facultad de Ciencias Quimicas y Farmaceuticas of Universidad de Chile</t>
  </si>
  <si>
    <t>Agencia Nacional de Investigacion y Desarrollo (ex-CONICYT); cooperation of Facultad de Ciencias Quimicas y Farmaceuticas of Universidad de Chile</t>
  </si>
  <si>
    <t>We wish to thank Dr. Maria Estrella Baez (Universidad de Chile), M. Ceron's Ph.D. supervisor. The authors thank the support of Agencia Nacional de Investigacion y Desarrollo (ex-CONICYT) for M. Ceron's Ph.D. grant D-21070556; along with the cooperation of Facultad de Ciencias Quimicas y Farmaceuticas of Universidad de Chile. The authors also thank the Brazilian National Council for Scientific and Technological Development for supporting this work (Process 465680/2014-3 -Instituto Nacional de Ciencia e Tecnologia da Criosfera).</t>
  </si>
  <si>
    <t>e20210628</t>
  </si>
  <si>
    <t>10.1590/0001-3765202220210628</t>
  </si>
  <si>
    <t>1G5DT</t>
  </si>
  <si>
    <t>WOS:000795868600001</t>
  </si>
  <si>
    <t>Di Fonzo, C; Ansaldo, M</t>
  </si>
  <si>
    <t>Di Fonzo, Carla; Ansaldo, Martin</t>
  </si>
  <si>
    <t>Blood biochemistry and antioxidant status altered by anthropogenic impact in Adelie penguins (Pygoscelis adeliae)</t>
  </si>
  <si>
    <t>Adelie penguins; Antarctica; Anthropogenic impact; Blood biochemistry; Oxidative stress biomarkers</t>
  </si>
  <si>
    <t>CLIMATE-CHANGE; ANTARCTIC PENINSULA; MARINE ECOSYSTEM; GLUTATHIONE; GENTOO</t>
  </si>
  <si>
    <t>Human activities are increased in Antarctica during decades, primarily due to the logistic and tourism operations, which consequent negative impact on penguin populations, altering their physiological responses. Therefore, we aimed to assess the blood biochemistry and oxidant/antioxidant balance of Adelie penguins (Pygoscelis adeliae) inhabiting two selected colonies: Potter Peninsula, considered as a low impacted colony, and Esperanza/Hope Bay as a high impacted colony. The levels of calcium, uric acid, and fructosamine, showed significant high values (p&lt;0.05) for the Potter Peninsula ' s penguins. Besides, this population showed high levels of plasma protein oxidation and erythrocyte lipid peroxidation (p&lt;0.005) while the Esperanza/Hope Bay population presented high levels of erythrocyte protein oxidation and plasma lipid peroxidation (p&lt;0.005). The oxidative damage values were similar in the Potter Peninsula population and slightly lower in the Esperanza/Hope Bay penguins if the results were compared to previous reports. The enzymes superoxide dismutase and glutathione peroxidase had significantly (p&lt;0.005) high activity in the Esperanza/Hope Bay population, which also showed high reduced glutathione levels. The glutathione S-transferase activity was significantly high (p&lt;0.005) in the Potter Peninsula population. The obtained results might take into account for making decisions about management and protection plans for the different penguin nesting areas in Antarctica.</t>
  </si>
  <si>
    <t>[Di Fonzo, Carla; Ansaldo, Martin] Inst Antartico Argentino, Lab Ecofisiol &amp; Ecotoxicol, 25 De Mayo 1143,B1650HMK, Buenos Aires, DF, Argentina</t>
  </si>
  <si>
    <t>Instituto Antartico Argentino</t>
  </si>
  <si>
    <t>Di Fonzo, C (corresponding author), Inst Antartico Argentino, Lab Ecofisiol &amp; Ecotoxicol, 25 De Mayo 1143,B1650HMK, Buenos Aires, DF, Argentina.</t>
  </si>
  <si>
    <t>cid@mrecic.gov.ar</t>
  </si>
  <si>
    <t>DI FONZO, CARLA/0000-0002-0687-8098; Ansaldo, Martin/0000-0003-4463-5924</t>
  </si>
  <si>
    <t>[PICTO 0091 (FONCyT/DNA-IAA)]</t>
  </si>
  <si>
    <t>The authors acknowledge the Instituto Antartico Argentino staff that collaborated in sampling. This work was funded by the PICTO 0091 (FONCyT/DNA-IAA) project. Thanks also to Servicio Meteorologico Nacional of the Argentinean Air Force for providing the meteorological data. The authors declare to have no conflicts of interest</t>
  </si>
  <si>
    <t>e20210579</t>
  </si>
  <si>
    <t>10.1590/0001-3765202220210579</t>
  </si>
  <si>
    <t>1G5DI</t>
  </si>
  <si>
    <t>WOS:000795867400001</t>
  </si>
  <si>
    <t>Kinasz, CT; Kreusch, MG; Bendia, AG; Pellizari, VH; Duarte, RTD</t>
  </si>
  <si>
    <t>Kinasz, Camila T.; Kreusch, Marianne G.; Bendia, Amanda G.; Pellizari, Vivian H.; Duarte, Rubens T. D.</t>
  </si>
  <si>
    <t>Taxonomic and functional diversity from Antarctic ice-tephra microbial community: ecological insights and potential for bioprospection</t>
  </si>
  <si>
    <t>Antarctica; bioinformatics; glacier ice; metagenomics; tephra</t>
  </si>
  <si>
    <t>MCMURDO DRY VALLEYS; SP NOV.; VICTORIA LAND; BACTERIA; ENZYMES; STYRENE; SOILS; PHOTOSYNTHESIS; ACIDOBACTERIA; CONSTRUCTION</t>
  </si>
  <si>
    <t>Antarctic active volcanoes can disperse pyroclastic minerals at long distances, transporting nutrients and microorganisms to the surrounding glacial environment. The sedimented volcanic materials - called tephras - may interact with glacier ice and produce a unique environment for microbial life. This study aimed to describe the microbial community structure of an Antarctic glacier ice with tephra layers in terms of its taxonomic and functional diversity. Ice samples from Collins Glacier (King George Island) containing tephra layers of Deception Island volcano were analyzed by a whole shotgun metagenomic approach. Taxonomic analysis revealed a highly diverse community dominated by phyla Bacteroidetes, Cyanobacteria and Proteobacteria. The dominant genera were Chitinophaga (13%), Acidobacterium (8%), and Cyanothece (4%), being all of these known to include psychrotolerant and psychrophilic strains. Functional diversity analysis revealed almost complete carbon, nitrogen and sulfur biogeochemical cycles. Carbohydrate metabolism of the ice-tephra community uses both organic and inorganic carbon inputs, where photosynthesis plays an important role through CO2 fixation. Our results also demonstrate a biotechnological potential for this glacial community, with functional annotations for styrene degradation and carotenoid pigment genes. Future metatranscriptomic studies shall further reveal the active strategies and the biotechnology potential of extremophiles from this unique icetephra microbial community.</t>
  </si>
  <si>
    <t>[Kinasz, Camila T.; Kreusch, Marianne G.; Duarte, Rubens T. D.] Univ Fed Santa Catarina, Ctr Ciencias Biol, Dept Microbiol Imunol &amp; Parasitol, Rua Prefeitura Univ S-N,Setor F,Bloco F,Sala F710, BR-88040900 Florianopolis, SC, Brazil; [Bendia, Amanda G.; Pellizari, Vivian H.] Univ Sao Paulo, Inst Oceanog, Rua Praca Oceanog 191, BR-05508120 Sao Paulo, SP, Brazil</t>
  </si>
  <si>
    <t>Universidade Federal de Santa Catarina (UFSC); Universidade de Sao Paulo</t>
  </si>
  <si>
    <t>Duarte, RTD (corresponding author), Univ Fed Santa Catarina, Ctr Ciencias Biol, Dept Microbiol Imunol &amp; Parasitol, Rua Prefeitura Univ S-N,Setor F,Bloco F,Sala F710, BR-88040900 Florianopolis, SC, Brazil.</t>
  </si>
  <si>
    <t>rubens.duarte@ufsc.br</t>
  </si>
  <si>
    <t>Pellizari, Vivian/J-9153-2012</t>
  </si>
  <si>
    <t>Kinasz, Camila/0000-0002-2803-7556; Bendia, Amanda/0000-0003-0042-8990; Duarte, Rubens/0000-0002-9939-3400</t>
  </si>
  <si>
    <t>Brazilian Antarctic Program (PROANTAR/CNPq); Instituto Nacional de Ciencia e Tecnologia (INCT) da Criosfera; CNPq (Conselho Nacional de Desenvolvimento Cientifico e Tecnologico) [426949/2016-1, 407816/2013-5]; Fundacao de Amparo a Pesquisa e Inovacao do Estado de Santa Catarina (FAPESC); Coordenacao de Aperfeicoamento de Pessoal de Nivel Superior -Brazil (CAPES)</t>
  </si>
  <si>
    <t>Brazilian Antarctic Program (PROANTAR/CNPq); Instituto Nacional de Ciencia e Tecnologia (INCT) da Criosfera; CNPq (Conselho Nacional de Desenvolvimento Cientifico e Tecnologico)(Conselho Nacional de Desenvolvimento Cientifico e Tecnologico (CNPQ)); Fundacao de Amparo a Pesquisa e Inovacao do Estado de Santa Catarina (FAPESC)(Fundacao de Amparo a Pesquisa e Inovacao do Estado de Santa Catarina (FAPESC)); Coordenacao de Aperfeicoamento de Pessoal de Nivel Superior -Brazil (CAPES)(Coordenacao de Aperfeicoamento de Pessoal de Nivel Superior (CAPES))</t>
  </si>
  <si>
    <t>This study was supported by the Brazilian Antarctic Program (PROANTAR/CNPq) and Instituto Nacional de Ciencia e Tecnologia (INCT) da Criosfera. The project was financed by CNPq (Conselho Nacional de Desenvolvimento Cientifico e Tecnologico #426949/2016-1 and #407816/2013-5). CTK received scholarship grant from Fundacao de Amparo a Pesquisa e Inovacao do Estado de Santa Catarina (FAPESC). MGK received scholarship grant by the Coordenacao de Aperfeicoamento de Pessoal de Nivel Superior -Brazil (CAPES).</t>
  </si>
  <si>
    <t>e20210621</t>
  </si>
  <si>
    <t>10.1590/0001-3765202220210621</t>
  </si>
  <si>
    <t>1G5DQ</t>
  </si>
  <si>
    <t>WOS:000795868300001</t>
  </si>
  <si>
    <t>Schwanck, F; Simoes, JC; Handley, M; Mayewski, PA; Bernardo, R</t>
  </si>
  <si>
    <t>Schwanck, Franciele; Simoes, Jefferson C.; Handley, Michael; Mayewski, Paul A.; Bernardo, Ronaldo</t>
  </si>
  <si>
    <t>Anthropogenic trace elements (Bi, Cd, Cr, Pb) concentrations in a West Antarctic ice core</t>
  </si>
  <si>
    <t>Antarctica; anthropogenic emissions; ice core; transport</t>
  </si>
  <si>
    <t>EAST ANTARCTICA; HEAVY-METALS; CLIMATE; TRANSPORT; SNOW; VARIABILITY; POLLUTION; SURFACE; ENVIRONMENT; REANALYSIS</t>
  </si>
  <si>
    <t>Trace elements are emitted to the atmosphere from natural and anthropogenic sources. The increase in industrialization and mining occurring from the late 19th century released large quantities of toxic trace elements into the Earth's atmosphere. Here we investigate the variability of concentrations of bismuth, cadmium, chromium, and lead in two Mount Johns - MJ (79 degrees 55'28 '' S, 94 degrees 23'18 '' W, 2100 m a.s.l) ice cores over 132 years (1883-2015). Trace element concentrations were determined using inductively coupled plasma mass spectrometry (CCI/UMaine). The data show evidence of pollution for these elements in Antarctica as early as the 1883. Several maxima concentrations were observed: first at the beginning of the 20th century and the last from 1970s to 1990s, with a clear decrease during recent years. Emissions occur from different anthropogenic sources and appear to be variable throughout the record. The main source of these elements is attributed to mining and smelting of non-ferrous metals in South America, Africa, and Australia. As well as a probable lead enrichment due to the use of fossil fuels. The MJ ice core record also reflects changes in atmospheric circulation and transport processes, probably associated with a strengthening of the westerlies.</t>
  </si>
  <si>
    <t>[Schwanck, Franciele; Simoes, Jefferson C.; Bernardo, Ronaldo] Univ Fed Rio Grande do Sul UFRGS, Ctr Polar &amp; Climat, Inst Geociencias, Av Bento Goncalves 9500, BR-90650001 Porto Alegre, RS, Brazil; [Simoes, Jefferson C.; Handley, Michael; Mayewski, Paul A.] Univ Maine, Climate Change Inst, Orono, ME 04469 USA</t>
  </si>
  <si>
    <t>Schwanck, F (corresponding author), Univ Fed Rio Grande do Sul UFRGS, Ctr Polar &amp; Climat, Inst Geociencias, Av Bento Goncalves 9500, BR-90650001 Porto Alegre, RS, Brazil.</t>
  </si>
  <si>
    <t>schwanch.carlos@ufrgs.br</t>
  </si>
  <si>
    <t>Mayewski, Paul Andrew/HRD-6969-2023; Simoes, Jefferson Cardia/D-7232-2013</t>
  </si>
  <si>
    <t>Simoes, Jefferson Cardia/0000-0001-5555-3401; Schwanck, Franciele/0000-0003-1046-8080; Bernardo, Ronaldo/0000-0002-1143-7916; Handley, Michael/0000-0001-6712-9843</t>
  </si>
  <si>
    <t>Programa Antartico Brasileiro (PROANTAR); CNPq (Conselho Nacional de Desenvolvimento Cientifico e Tecnologico) [407888/2013-6]; FAPERGS (Fundacao de Amparo a Pesquisa do Estado do Rio Grande do Sul) [17/2551-0000518-0]; CAPES (Coordenacao de Aperfeicoamento de Pessoal de Nivel Superior) [88881.120030/2016-01]</t>
  </si>
  <si>
    <t>Programa Antartico Brasileiro (PROANTAR); CNPq (Conselho Nacional de Desenvolvimento Cientifico e Tecnologico)(Conselho Nacional de Desenvolvimento Cientifico e Tecnologico (CNPQ)); FAPERGS (Fundacao de Amparo a Pesquisa do Estado do Rio Grande do Sul)(Fundacao de Amparo a Ciencia e Tecnologia do Estado do Rio Grande do Sul (FAPERGS)); CAPES (Coordenacao de Aperfeicoamento de Pessoal de Nivel Superior)(Coordenacao de Aperfeicoamento de Pessoal de Nivel Superior (CAPES))</t>
  </si>
  <si>
    <t>This research is part of the Programa Antartico Brasileiro (PROANTAR) and was financed with funds from the CNPq (Conselho Nacional de Desenvolvimento Cientifico e Tecnologico), project 407888/2013-6, FAPERGS (Fundacao de Amparo a Pesquisa do Estado do Rio Grande do Sul), project 17/2551-0000518-0, and CAPES (Coordenacao de Aperfeicoamento de Pessoal de Nivel Superior), postdoc grant 88881.120030/2016-01. The Climate Change Institute in addition to all the contribution in terms of storage and preparation of samples, also provides the analysis at subsidized prices.</t>
  </si>
  <si>
    <t>e20210351</t>
  </si>
  <si>
    <t>10.1590/0001-3765202220210351</t>
  </si>
  <si>
    <t>1G5CZ</t>
  </si>
  <si>
    <t>WOS:000795866500001</t>
  </si>
  <si>
    <t>Li, MC; Zhou, CX; Li, B; Chen, XL; Liu, JQ; Zeng, T</t>
  </si>
  <si>
    <t>Li, Mingci; Zhou, Chunxia; Li, Bing; Chen, Xiaoli; Liu, Jianqiang; Zeng, Tao</t>
  </si>
  <si>
    <t>Application of the Combined Feature Tracking and Maximum Cross-Correlation Algorithm to the Extraction of Sea Ice Motion Data From GF-3 Imagery</t>
  </si>
  <si>
    <t>Data mining; Sea ice; Feature extraction; Image resolution; Filtering; Spatial resolution; Arctic; Correlation coefficient; feature tracking (FT); Gaofen-3 (GF-3); image information entropy; maximum cross-correlation (MCC); probability density distribution (PDD); sea ice motion (SIM)</t>
  </si>
  <si>
    <t>SAR IMAGES; DRIFT; EXPORT</t>
  </si>
  <si>
    <t>In this study, an algorithm combining feature tracking and maximum cross-correlation (FT-MCC) for the extraction of sea ice motion (SIM) vectors were applied to Gaofen-3 (GF-3) imagery, filling the gap of SIM extraction using GF-3 imagery. The locally consistent flow field filtering method is proposed to replace the filtering method based on the correlation coefficient threshold in FT-MCC to improve filtering effectiveness of SIM results extracted by FT-MCC. A comparison of the probability density distributions (PDDs) of the correlation coefficients of SIM vectors extracted by FT-MCC from images with different resolutions revealed high reliability for SIM vectors extracted for images with an 80 m spatial resolution. A comparison of the PDDs of the correlation coefficients of SIM vectors obtained from images with different polarization modes showed more reliable SIM vectors were extracted from vertical transmit horizontal receive (VH) polarization images than from corresponding vertical transmit vertical receive (VV) polarization images. The SIM vectors extracted from GF-3 images by two methods (FT(A-KAZE)-MCC and FT(ORB)-MCC) derived from the FT-MCC algorithm were highly consistent in terms of accuracy and reliability. SIM vectors extracted manually and from Sentinel-1 images were used as reference data to verify the SIM results extracted from GF-3 images, for which the uncertainties in the magnitude and direction of the extracted SIM vectors were found to be 0.119 cm/s-0.287 cm/s (103 m/d-248 m/d) and 4.119 degrees-5.930 degrees, respectively.</t>
  </si>
  <si>
    <t>[Li, Mingci; Zhou, Chunxia; Chen, Xiaoli] Wuhan Univ, Chinese Antarctic Ctr Surveying &amp; Mapping, Wuhan 430079, Peoples R China; [Li, Bing] Wuhan Polytech Univ, Sch Math &amp; Comp Sci, Wuhan 430048, Peoples R China; [Liu, Jianqiang; Zeng, Tao] Natl Satellite Ocean Applicat Serv, Beijing 100081, Peoples R China</t>
  </si>
  <si>
    <t>Wuhan University; Wuhan Polytechnic University; National Satellite Ocean Application Service</t>
  </si>
  <si>
    <t>mingcich@whu.edu.cn; zhoucx@whu.edu.cn; binglee@whpu.edu.cn; zzuchenxiaoli@163.com; jqliu@mail.nsoas.org.cn; ztao10@mail.nsoas.org.cn</t>
  </si>
  <si>
    <t>Li, bo/IWL-9318-2023; li, bing/HTS-1845-2023; li, bing/GWQ-9617-2022</t>
  </si>
  <si>
    <t>Li, Mingci/0000-0001-9367-5928; Liu, Jianqiang/0000-0001-6437-5571; Chen, Xiaoli/0000-0002-7884-5586</t>
  </si>
  <si>
    <t>National Key Research and Development Program of China [2018YFC1406102]; Funds for the Distinguished Young Scientists of Hubei Province, China [2019CFA057]; National Natural Science Foundation of China (NSFC) [42171133, 41941010, 41776200]</t>
  </si>
  <si>
    <t>National Key Research and Development Program of China; Funds for the Distinguished Young Scientists of Hubei Province, China; National Natural Science Foundation of China (NSFC)(National Natural Science Foundation of China (NSFC))</t>
  </si>
  <si>
    <t>This work was supported in part by the National Key Research and Development Program of China under Grant 2018YFC1406102, in part by the Funds for the Distinguished Young Scientists of Hubei Province, China under Grant 2019CFA057, and in part by the National Natural Science Foundation of China (NSFC) under Grant 42171133, Grant 41941010, and Grant 41776200.</t>
  </si>
  <si>
    <t>10.1109/JSTARS.2022.3166897</t>
  </si>
  <si>
    <t>1D4ZL</t>
  </si>
  <si>
    <t>WOS:000793810100006</t>
  </si>
  <si>
    <t>Daane, JM; Detrich, HW</t>
  </si>
  <si>
    <t>Daane, Jacob M.; Detrich, H. William, III</t>
  </si>
  <si>
    <t>Adaptations and Diversity of Antarctic Fishes: A Genomic Perspective</t>
  </si>
  <si>
    <t>ANNUAL REVIEW OF ANIMAL BIOSCIENCES</t>
  </si>
  <si>
    <t>Antarctic notothenioid fishes; adaptive radiation; Southern Ocean; genome evolution; comparative genomics; extreme environments</t>
  </si>
  <si>
    <t>HEAD KIDNEY TRANSCRIPTOME; ADAPTIVE RADIATION; EVOLUTIONARY DIVERSIFICATION; PHENOTYPIC PLASTICITY; TREMATOMUS-BERNACCHII; POPULATION-STRUCTURE; MOLECULAR EVOLUTION; GENETIC-STRUCTURE; EVO-DEVO; COLD</t>
  </si>
  <si>
    <t>Antarctic notothenioid fishes are the classic example of vertebrate adaptive radiation in a marine environment. Notothenioids diversified from a single common ancestor similar to 22 Mya to between 120 and 140 species today, and they represent similar to 90% of fish biomass on the continental shelf of Antarctica. As they diversified in the cold Southern Ocean, notothenioids evolved numerous traits, including osteopenia, anemia, cardiomegaly, dyslipidemia, and aglomerular kidneys, that are beneficial or tolerated in their environment but are pathological in humans. Thus, notothenioids are models for understanding adaptive radiations, physiological and biochemical adaptations to extreme environments, and genetic mechanisms of human disease. Since 2014, 16 notothenioid genomes have been published, which enable a first-pass holistic analysis of the notothenioid radiation and the genetic underpinnings of novel notothenioid traits. Here, we review the notothenioid radiation from a genomic perspective and integrate our insights with recent observations from other fish radiations.</t>
  </si>
  <si>
    <t>[Daane, Jacob M.; Detrich, H. William, III] Northeastern Univ, Marine Sci Ctr, Dept Marine &amp; Environm Sci, Nahant, MA 01908 USA</t>
  </si>
  <si>
    <t>Northeastern University</t>
  </si>
  <si>
    <t>Daane, JM (corresponding author), Northeastern Univ, Marine Sci Ctr, Dept Marine &amp; Environm Sci, Nahant, MA 01908 USA.</t>
  </si>
  <si>
    <t>w.detrich@northeastern.edu</t>
  </si>
  <si>
    <t>Daane, Jacob/0000-0003-3631-4514</t>
  </si>
  <si>
    <t>American Heart Association Postdoctoral Fellowship [17POST33660801]; US National Science Foundation [OPP-1955368]</t>
  </si>
  <si>
    <t>American Heart Association Postdoctoral Fellowship(American Heart Association); US National Science Foundation(National Science Foundation (NSF))</t>
  </si>
  <si>
    <t>This work was supported by an American Heart Association Postdoctoral Fellowship (17POST33660801) to J.M.D. and by a US National Science Foundation grant (OPP-1955368) to H.W.D. This is contribution No. 420 from the Marine Science Center at Northeastern University.</t>
  </si>
  <si>
    <t>2165-8102</t>
  </si>
  <si>
    <t>2165-8110</t>
  </si>
  <si>
    <t>ANNU REV ANIM BIOSCI</t>
  </si>
  <si>
    <t>Annu. Rev. Anim. Biosci.</t>
  </si>
  <si>
    <t>10.1146/annurev-animal-081221-064325</t>
  </si>
  <si>
    <t>Agriculture, Dairy &amp; Animal Science; Biotechnology &amp; Applied Microbiology; Veterinary Sciences; Zoology</t>
  </si>
  <si>
    <t>Agriculture; Biotechnology &amp; Applied Microbiology; Veterinary Sciences; Zoology</t>
  </si>
  <si>
    <t>0X7TM</t>
  </si>
  <si>
    <t>WOS:000789904000004</t>
  </si>
  <si>
    <t>Kroeker, KJ; Sanford, E</t>
  </si>
  <si>
    <t>Kroeker, Kristy J.; Sanford, Eric</t>
  </si>
  <si>
    <t>Ecological Leverage Points: Species Interactions Amplify the Physiological Effects of Global Environmental Change in the Ocean</t>
  </si>
  <si>
    <t>ANNUAL REVIEW OF MARINE SCIENCE</t>
  </si>
  <si>
    <t>climate change; community ecology; bioenergetics; performance curves; multiple stressors; emergent effects</t>
  </si>
  <si>
    <t>THERMAL PERFORMANCE CURVES; OF-THORNS STARFISH; CLIMATE-CHANGE; TEMPERATURE-DEPENDENCE; RESPIRATORY RESPONSE; WATER TEMPERATURE; FIELD MEASUREMENT; FISH POPULATIONS; ANTARCTIC KRILL; CORALLINE ALGAE</t>
  </si>
  <si>
    <t>Marine ecosystems are increasingly impacted by global environmental changes, including warming temperatures, deoxygenation, and ocean acidification. Marine scientists recognize intuitively that these environmental changes are translated into community changes via organismal physiology. However, physiology remains a black box in many ecological studies, and coexisting species in a community are often assumed to respond similarly to environmental stressors. Here, we emphasize how greater attention to physiology can improve our ability to predict the emergent effects of ocean change. In particular, understanding shifts in the intensity and outcome of species interactions such as competition and predation requires a sharpened focus on physiological variation among community members and the energetic demands and trophic mismatches generated by environmental changes. Our review also highlights how key species interactions that are sensitive to environmental change can operate as ecological leverage points through which small changes in abiotic conditions are amplified into large changes in marine ecosystems.</t>
  </si>
  <si>
    <t>[Kroeker, Kristy J.] Univ Calif Santa Cruz, Dept Ecol &amp; Evolutionary Biol, Santa Cruz, CA 95064 USA; [Sanford, Eric] Univ Calif Davis, Bodega Marine Lab, Bodega Bay, CA 94923 USA; [Sanford, Eric] Univ Calif Davis, Dept Evolut &amp; Ecol, Davis, CA 95616 USA</t>
  </si>
  <si>
    <t>University of California System; University of California Santa Cruz; University of California System; University of California Davis; University of California System; University of California Davis</t>
  </si>
  <si>
    <t>Kroeker, KJ (corresponding author), Univ Calif Santa Cruz, Dept Ecol &amp; Evolutionary Biol, Santa Cruz, CA 95064 USA.</t>
  </si>
  <si>
    <t>kkroeker@ucsc.edu; edsanford@ucdavis.edu</t>
  </si>
  <si>
    <t>Kroeker, Kristy/0000-0002-5766-1999</t>
  </si>
  <si>
    <t>David and Lucile Packard Foundation; National Science Foundation [OCE-1851462, OCE-2023297]</t>
  </si>
  <si>
    <t>David and Lucile Packard Foundation(The David &amp; Lucile Packard Foundation); National Science Foundation(National Science Foundation (NSF))</t>
  </si>
  <si>
    <t>We thank George Somero and Mark Denny for comments on the manuscript and thoughtful discussion that improved this review. K.J.K. was supported by the David and Lucile Packard Foundation and National Science Foundation grants OCE-1752600 and OCE-1756208. E.S. was supported by National Science Foundation grants OCE-1851462 and OCE-2023297.</t>
  </si>
  <si>
    <t>1941-1405</t>
  </si>
  <si>
    <t>1941-0611</t>
  </si>
  <si>
    <t>ANNU REV MAR SCI</t>
  </si>
  <si>
    <t>Annu. Rev. Mar. Sci.</t>
  </si>
  <si>
    <t>10.1146/annurev-marine-042021-051211</t>
  </si>
  <si>
    <t>Geochemistry &amp; Geophysics; Marine &amp; Freshwater Biology; Oceanography</t>
  </si>
  <si>
    <t>0V9GZ</t>
  </si>
  <si>
    <t>WOS:000788648800005</t>
  </si>
  <si>
    <t>Hamilton, DS; Perron, MMG; Bond, TC; Bowie, AR; Buchholz, RR; Guieu, C; Ito, A; Maenhaut, W; Myriokefalitakis, S; Olgun, N; Rathod, SD; Schepanski, K; Tagliabue, A; Wagner, R; Mahowald, NM</t>
  </si>
  <si>
    <t>Hamilton, Douglas S.; Perron, Morgane M. G.; Bond, Tami C.; Bowie, Andrew R.; Buchholz, Rebecca R.; Guieu, Cecile; Ito, Akinori; Maenhaut, Willy; Myriokefalitakis, Stelios; Olgun, Nazli; Rathod, Sagar D.; Schepanski, Kerstin; Tagliabue, Alessandro; Wagner, Robert; Mahowald, Natalie M.</t>
  </si>
  <si>
    <t>Earth, Wind, Fire, and Pollution: Aerosol Nutrient Sources and Impacts on Ocean Biogeochemistry</t>
  </si>
  <si>
    <t>mineral dust; fires; volcanoes; phosphate; soluble iron; ocean biogeochemistry</t>
  </si>
  <si>
    <t>DISSOLVED IRON DEPOSITION; BIOMASS-BURNING EMISSIONS; DUST DEPOSITION; MINERAL DUST; BIOAVAILABLE PHOSPHORUS; CHEMICAL-CHARACTERIZATION; ATMOSPHERIC DEPOSITION; PRIMARY PRODUCTIVITY; SEDIMENT TRANSPORT; TRACE-ELEMENTS</t>
  </si>
  <si>
    <t>A key Earth system science question is the role of atmospheric deposition in supplying vital nutrients to the phytoplankton that form the base of marine food webs. Industrial and vehicular pollution, wildfires, volcanoes, biogenic debris, 'and desert dust all carry nutrients within their plumes throughout the globe. In remote ocean ecosystems, aerosol deposition represents an essential new source of nutrients for primary production. The large spatiotemporal variability in aerosols from myriad sources combined with the differential responses of marine biota to changing fluxes makes it crucially important to understand where, when, and how much nutrients from the atmosphere enter marine ecosystems. This review brings together existing literature, experimental evidence of impacts, and new atmospheric nutrient observations that can be compared with atmospheric and ocean biogeochemistry modeling. We evaluate the contribution and spatiotemporal variability of nutrient-bearing aerosols from desert dust, wildfire, volcanic, and anthropogenic sources, including the organic component, deposition fluxes, and oceanic impacts.</t>
  </si>
  <si>
    <t>[Hamilton, Douglas S.; Mahowald, Natalie M.] Cornell Univ, Dept Earth &amp; Atmospher Sci, Ithaca, NY 14853 USA; [Perron, Morgane M. G.; Bowie, Andrew R.] Univ Tasmania, Inst Marine &amp; Antarctic Studies, Battery Point, Tas 7004, Australia; [Bond, Tami C.] Colorado State Univ, Dept Mech Engn, Ft Collins, CO 80521 USA; [Buchholz, Rebecca R.] Natl Ctr Atmospher Res, Atmospher Chem Observat &amp; Modeling Lab, Boulder, CO 80301 USA; [Guieu, Cecile] Sorbonne Univ, CNRS, Lab Oceanog Villefranche, F-06230 Villefranche Sur Mer, France; [Ito, Akinori] Japan Agcy Marine Earth Sci &amp; Technol, Yokohama Inst Earth Sci, Yokohama, Kanagawa 2360001, Japan; [Maenhaut, Willy] Univ Ghent, Dept Chem, B-9000 Ghent, Belgium; [Myriokefalitakis, Stelios] Natl Observ Athens, Inst Environm Res &amp; Sustainable Dev, Penteli 15236, Greece; [Olgun, Nazli] Istanbul Tech Univ, Eurasia Inst Earth Sci, Climate &amp; Marine Sci Div, TR-34469 Istanbul, Turkey; [Rathod, Sagar D.] Colorado State Univ, Dept Atmospher Sci, Ft Collins, CO 80521 USA; [Schepanski, Kerstin] Free Univ Berlin, Inst Meteorol, D-12165 Berlin, Germany; [Tagliabue, Alessandro] Univ Liverpool, Sch Environm Sci, Liverpool L69 3GP, Merseyside, England; [Wagner, Robert] Leibniz Inst Tropospher Res, D-04318 Leipzig, Germany</t>
  </si>
  <si>
    <t>Cornell University; University of Tasmania; Colorado State University; National Center Atmospheric Research (NCAR) - USA; Sorbonne Universite; Centre National de la Recherche Scientifique (CNRS); Japan Agency for Marine-Earth Science &amp; Technology (JAMSTEC); Ghent University; National Observatory of Athens; Istanbul Technical University; Colorado State University; Free University of Berlin; University of Liverpool; Leibniz Institut fur Tropospharenforschung (TROPOS)</t>
  </si>
  <si>
    <t>Hamilton, DS (corresponding author), Cornell Univ, Dept Earth &amp; Atmospher Sci, Ithaca, NY 14853 USA.</t>
  </si>
  <si>
    <t>dsh224@cornell.edu</t>
  </si>
  <si>
    <t>Ito, Akinori/M-9599-2014; Schepanski, Kerstin/I-7967-2015; Perron, Morgane/HHS-1241-2022; Mahowald, Natalie M/D-8388-2013; Bond, Tami/A-1317-2013; Kıyak, Nazlı Olğun/L-1672-2018; Bowie, Andrew/C-8677-2013</t>
  </si>
  <si>
    <t>Ito, Akinori/0000-0002-4937-2927; Mahowald, Natalie M/0000-0002-2873-997X; Bond, Tami/0000-0001-5968-8928; Kıyak, Nazlı Olğun/0000-0002-9863-812X; Perron, Morgane/0000-0001-5424-7138; Guieu, Cecile/0000-0001-6373-8326; Bowie, Andrew/0000-0002-5144-7799</t>
  </si>
  <si>
    <t>NASA [80NSSC20K1674]; Department of Energy [DE-SC0021302, DE-SC0016362]; Japan Society for the Promotion of Science [20H04329]; Japanese Ministry of Education, Culture, Sports, Science, and Technology [JPMXD0717935715]; Deutsche Forschungsgemeinschaft [SCHE 1678/5-1]; European Research Council under the European Union [724289]; National Environment Research Council [NE/S013547/1, NE/N009525/1, NE/N001079/1]; National Science Foundation; Australian Research Council [FT130100037]; Grants-in-Aid for Scientific Research [20H04329] Funding Source: KAKEN; U.S. Department of Energy (DOE) [DE-SC0021302, DE-SC0016362] Funding Source: U.S. Department of Energy (DOE); European Research Council (ERC) [724289] Funding Source: European Research Council (ERC)</t>
  </si>
  <si>
    <t>NASA(National Aeronautics &amp; Space Administration (NASA)); Department of Energy(United States Department of Energy (DOE)); Japan Society for the Promotion of Science(Ministry of Education, Culture, Sports, Science and Technology, Japan (MEXT)Japan Society for the Promotion of Science); Japanese Ministry of Education, Culture, Sports, Science, and Technology(Ministry of Education, Culture, Sports, Science and Technology, Japan (MEXT)); Deutsche Forschungsgemeinschaft(German Research Foundation (DFG)); European Research Council under the European Union(European Research Council (ERC)); National Environment Research Council(UK Research &amp; Innovation (UKRI)Natural Environment Research Council (NERC)); National Science Foundation(National Science Foundation (NSF)); Australian Research Council(Australian Research Council); Grants-in-Aid for Scientific Research(Ministry of Education, Culture, Sports, Science and Technology, Japan (MEXT)Japan Society for the Promotion of ScienceGrants-in-Aid for Scientific Research (KAKENHI)); U.S. Department of Energy (DOE)(United States Department of Energy (DOE)); European Research Council (ERC)(European Research Council (ERC)Spanish Government)</t>
  </si>
  <si>
    <t>We are very grateful to Alex Baker for the marine observations presented in Figure 1 and to Louisa Emmons for supplying the FINN fire emission data. We also thank Michal Strzelec and Scott Meyerink for assisting with the Mount Wellington time series and Ross Herbert for discussions on Global Model of Aerosol Processes (GLOMAP) results. D.S.H. and N.M.M. acknowledge the support of NASA (grant IDS 80NSSC20K1674) and the Department of Energy (grants DE-SC0021302 and, with T.C.B. and S.D.R., DE-SC0016362). A.I. received funding from the Japan Society for the Promotion of Science's Grants-in-Aid for Scientific Research (KAKENHI) (grant 20H04329) and from the Integrated Research Program for Advancing Climate Models (TOUGOU) (grant JPMXD0717935715) of the JapaneseMinistry of Education, Culture, Sports, Science, and Technology. K.S. and R.W. acknowledge funding from the Deutsche Forschungsgemeinschaft (grant SCHE 1678/5-1). A.T. received funding from the European Research Council under the European Union's Horizon 2020 research and innovation program (grant 724289) and from the National Environment Research Council (grants NE/S013547/1, NE/N009525/1, and NE/N001079/1). We would like to acknowledge high-performance computing support from Cheyenne (https://doi.org/10.5065/D6RX99HX), provided by the National Center for Atmospheric Research's Computational and Information Systems Laboratory, sponsored by the National Science Foundation. Aerosol sampling and analysis at Mount Wellington were supported by the Australian Research Council (grant FT130100037 to A.R.B.) and authorized by theWellington Park Management Trust.</t>
  </si>
  <si>
    <t>10.1146/annurev-marine-031921-013612</t>
  </si>
  <si>
    <t>Bronze, Green Submitted</t>
  </si>
  <si>
    <t>WOS:000788648800014</t>
  </si>
  <si>
    <t>Morrison, AK; Waugh, DW; Hogg, AM; Jones, DC; Abernathey, RP</t>
  </si>
  <si>
    <t>Morrison, Adele K.; Waugh, Darryn W.; Hogg, Andrew McC; Jones, Daniel C.; Abernathey, Ryan P.</t>
  </si>
  <si>
    <t>Ventilation of the Southern Ocean Pycnocline</t>
  </si>
  <si>
    <t>Southern Ocean; ventilation; overturning circulation; subduction; isopycnal mixing</t>
  </si>
  <si>
    <t>MERIDIONAL OVERTURNING CIRCULATION; ANTARCTIC CIRCUMPOLAR CURRENT; MIXED-LAYER DEPTH; ANTHROPOGENIC CARBON; INTERMEDIATE WATER; MESOSCALE EDDIES; HEAT UPTAKE; NORTH-ATLANTIC; SEA-ICE; SUBDUCTION</t>
  </si>
  <si>
    <t>Ocean ventilation is the transfer of tracers and young water from the surface down into the ocean interior. The tracers that can be transported to depth include anthropogenic heat and carbon, both of which are critical to understanding future climate trajectories. Ventilation occurs in both high- and midlatitude regions, but it is the southern midlatitudes that are responsible for the largest fraction of anthropogenic heat and carbon uptake; such Southern Ocean ventilation is the focus of this review. Southern Ocean ventilation occurs through a chain of interconnected mechanisms, including the zonally averaged meridional overturning circulation, localized subduction, eddy-driven mixing along isopycnals, and lateral transport by subtropical gyres. To unravel the complex pathways of ventilation and reconcile conflicting results, here we assess the relative contribution of each of these mechanisms, emphasizing the three-dimensional and temporally varying nature of the ventilation of the Southern Ocean pycnocline. We conclude that Southern Ocean ventilation depends on multiple processes and that simplified frameworks that explain ventilation changes through a single process are insufficient.</t>
  </si>
  <si>
    <t>[Morrison, Adele K.; Hogg, Andrew McC] Australian Natl Univ, Res Sch Earth Sci, Canberra, ACT 2601, Australia; [Morrison, Adele K.; Hogg, Andrew McC] Australian Natl Univ, Australian Res Council ARC Ctr Excellence Climate, Canberra, ACT 2601, Australia; [Morrison, Adele K.] Australian Natl Univ, Australian Ctr Excellence Antarctic Sci, Canberra, ACT 2601, Australia; [Waugh, Darryn W.] Johns Hopkins Univ, Dept Earth &amp; Planetary Sci, Baltimore, MD 21218 USA; [Waugh, Darryn W.] Univ New South Wales, Sch Math &amp; Stat, Sydney, NSW 2052, Australia; [Jones, Daniel C.] British Antarctic Survey, Nat Environm Res Council, UK Res &amp; Innovat, Cambridge CB3 0ET, England; [Abernathey, Ryan P.] Columbia Univ, Lamont Doherty Earth Observ, Palisades, NY 10964 USA</t>
  </si>
  <si>
    <t>Australian National University; Australian National University; Australian National University; Johns Hopkins University; University of New South Wales Sydney; UK Research &amp; Innovation (UKRI); Natural Environment Research Council (NERC); NERC British Antarctic Survey; Columbia University</t>
  </si>
  <si>
    <t>Morrison, AK (corresponding author), Australian Natl Univ, Res Sch Earth Sci, Canberra, ACT 2601, Australia.;Morrison, AK (corresponding author), Australian Natl Univ, Australian Res Council ARC Ctr Excellence Climate, Canberra, ACT 2601, Australia.;Morrison, AK (corresponding author), Australian Natl Univ, Australian Ctr Excellence Antarctic Sci, Canberra, ACT 2601, Australia.</t>
  </si>
  <si>
    <t>adele.morrison@anu.edu.au</t>
  </si>
  <si>
    <t>Hogg, Andy/AAZ-8733-2021; Waugh, Darryn W/K-3688-2016; Morrison, Adele K/C-1774-2012; Hogg, Andy McC./A-7553-2011</t>
  </si>
  <si>
    <t>Hogg, Andy/0000-0001-5898-7635; Hogg, Andy McC./0000-0001-5898-7635</t>
  </si>
  <si>
    <t>Australian Research Council DECRA Fellowship [DE170100184]; UK Research and Innovation Future Leaders Fellowship [MR/T020822/1]; FLF [MR/T020822/1] Funding Source: UKRI; NERC [bas0100033] Funding Source: UKRI; Australian Research Council [DE170100184] Funding Source: Australian Research Council</t>
  </si>
  <si>
    <t>Australian Research Council DECRA Fellowship(Australian Research Council); UK Research and Innovation Future Leaders Fellowship(UK Research &amp; Innovation (UKRI)); FLF; NERC(UK Research &amp; Innovation (UKRI)Natural Environment Research Council (NERC)); Australian Research Council(Australian Research Council)</t>
  </si>
  <si>
    <t>A.K.M. was supported by an Australian Research Council DECRA Fellowship (DE170100184). D.C.J. was supported by a UK Research and Innovation Future Leaders Fellowship (MR/T020822/1).</t>
  </si>
  <si>
    <t>10.1146/annurev-marine-010419-011012</t>
  </si>
  <si>
    <t>WOS:000788648800018</t>
  </si>
  <si>
    <t>Heinlein, A; Perego, M; Rajamanickam, S</t>
  </si>
  <si>
    <t>Heinlein, Alexander; Perego, Mauro; Rajamanickam, Sivasankaran</t>
  </si>
  <si>
    <t>FROSch PRECONDITIONERS FOR LAND ICE SIMULATIONS OF GREENLAND AND ANTARCTICA</t>
  </si>
  <si>
    <t>SIAM JOURNAL ON SCIENTIFIC COMPUTING</t>
  </si>
  <si>
    <t>domain decomposition methods; monolithic Schwarz preconditioners; GDSW coarse spaces; multiphysics simulations; parallel computing</t>
  </si>
  <si>
    <t>OVERLAPPING SCHWARZ ALGORITHM; DOMAIN DECOMPOSITION METHODS; RESTRICTED ADDITIVE SCHWARZ; LINEAR ELASTICITY; COARSE SPACES; PARALLEL IMPLEMENTATION; ELLIPTIC PROBLEMS; FINITE-ELEMENTS; HIGHER-ORDER; MODEL</t>
  </si>
  <si>
    <t>Numerical simulations of Greenland and Antarctic ice sheets involve the solution of large-scale highly nonlinear systems of equations on complex shallow geometries. This work is concerned with the construction of Schwarz preconditioners for the solution of the associated tangent problems, which are challenging for solvers mainly because of the strong anisotropy of the meshes and wildly changing boundary conditions that can lead to poorly constrained problems on large portions of the domain. Here, two-level generalized Dryja-Smith-Widlund (GDSW)-type Schwarz preconditioners are applied to different land ice problems, i.e., a velocity problem, a temperature problem, as well as the coupling of the former two problems. We employ the message passing interface (MPI)-parallel implementation of multilevel Schwarz preconditioners provided by the package FROSch (fast and robust Schwarz) from the Trilinos library. The strength of the proposed preconditioner is that it yields out-of-the-box scalable and robust preconditioners for the single physics problems. To the best of our knowledge, this is the first time two-level Schwarz preconditioners have been applied to the ice sheet problem and a scalable preconditioner has been used for the coupled problem. The preconditioner for the coupled problem differs from previous monolithic GDSW preconditioners in the sense that decoupled extension operators are used to compute the values in the interior of the subdomains. Several approaches for improving the performance, such as reuse strategies and shared memory OpenMP parallelization, are explored as well. In our numerical study we target both uniform meshes of varying resolution for the Antarctic ice sheet as well as nonuniform meshes for the Greenland ice sheet. We present several weak and strong scaling studies confirming the robustness of the approach and the parallel scalability of the FROSch implementation. Among the highlights of the numerical results are a weak scaling study for up to 32K processor cores (8K MPI ranks and 4 OpenMP threads) and 566M degrees of freedom for the velocity problem as well as a strong scaling study for up to 4 K processor cores (and MPI ranks) and 68 M degrees of freedom for the coupled problem.</t>
  </si>
  <si>
    <t>[Heinlein, Alexander] Delft Univ Technol, Delft Inst Appl Math, NL-2628 CD Delft, Netherlands; [Perego, Mauro; Rajamanickam, Sivasankaran] Sandia Natl Labs, Ctr Res Comp, Albuquerque, NM 87185 USA</t>
  </si>
  <si>
    <t>Delft University of Technology; United States Department of Energy (DOE); Sandia National Laboratories</t>
  </si>
  <si>
    <t>Heinlein, A (corresponding author), Delft Univ Technol, Delft Inst Appl Math, NL-2628 CD Delft, Netherlands.</t>
  </si>
  <si>
    <t>a.heinlein@tudelft.nl; mperego@sandia.gov; srajama@sandia.gov</t>
  </si>
  <si>
    <t>Heinlein, Alexander/0000-0003-1578-8104; Rajamanickam, Siva/0000-0002-5854-409X</t>
  </si>
  <si>
    <t>U.S. Department of Energy (DOE) Office of Science program; National Energy Research Scientific Computing Center (NERSC), a U.S. Department of Energy Office of Science User Facility [DE-AC02-05CH11231]; U.S. Department of Energy (DOE) Advanced Scientific Computing Research program; U.S. Department of Energy (DOE) Biological and Environmental Research program</t>
  </si>
  <si>
    <t>U.S. Department of Energy (DOE) Office of Science program(United States Department of Energy (DOE)); National Energy Research Scientific Computing Center (NERSC), a U.S. Department of Energy Office of Science User Facility; U.S. Department of Energy (DOE) Advanced Scientific Computing Research program(United States Department of Energy (DOE)); U.S. Department of Energy (DOE) Biological and Environmental Research program(United States Department of Energy (DOE))</t>
  </si>
  <si>
    <t>Support for this work was provided through the SciDAC projects FASTMath and ProSPect, funded by the U.S. Department of Energy (DOE) Office of Science, Advanced Scientific Computing Research, and Biological and Environmental Research programs. This research used resources of the National Energy Research Scientific Computing Center (NERSC), a U.S. Department of Energy Office of Science User Facility operated under contract DE-AC02-05CH11231.</t>
  </si>
  <si>
    <t>SIAM PUBLICATIONS</t>
  </si>
  <si>
    <t>3600 UNIV CITY SCIENCE CENTER, PHILADELPHIA, PA 19104-2688 USA</t>
  </si>
  <si>
    <t>1064-8275</t>
  </si>
  <si>
    <t>1095-7197</t>
  </si>
  <si>
    <t>SIAM J SCI COMPUT</t>
  </si>
  <si>
    <t>SIAM J. Sci. Comput.</t>
  </si>
  <si>
    <t>B339</t>
  </si>
  <si>
    <t>B367</t>
  </si>
  <si>
    <t>10.1137/21M1395260</t>
  </si>
  <si>
    <t>Mathematics, Applied</t>
  </si>
  <si>
    <t>Mathematics</t>
  </si>
  <si>
    <t>0V3YP</t>
  </si>
  <si>
    <t>WOS:000788282300006</t>
  </si>
  <si>
    <t>Thibodeau, PS; Song, BK; Moreno, CM; Steinberg, DK</t>
  </si>
  <si>
    <t>Thibodeau, Patricia S.; Song, Bongkeun; Moreno, Carly M.; Steinberg, Deborah K.</t>
  </si>
  <si>
    <t>Feeding ecology and microbiome of the pteropod Limacina helicina antarctica</t>
  </si>
  <si>
    <t>AQUATIC MICROBIAL ECOLOGY</t>
  </si>
  <si>
    <t>Zooplankton; Gut microbiome; Southern Ocean; Diatom; Dinoflagellate; Mollicutes bacteria; Western Antarctic Peninsula</t>
  </si>
  <si>
    <t>VARIABILITY; PENINSULA; KRILL; SEA</t>
  </si>
  <si>
    <t>The pteropod (pelagic snail) Limacina helicina antarctica is a dominant grazer along the Western Antarctic Peninsula (WAP) and plays an important role in regional food web dynamics and biogeochemical cycling. For the first time, we examined the gut microbiome and feeding ecology of L. h. antarctica based on 16S and 18S rRNA gene sequences of gut contents in the WAP during austral summer. Eukaryotic gut contents of L. h. antarctica indicate that this species predominantly feeds on diatoms and dinoflagellates, supplementing its diet with ciliates and foraminifera. Mollicutes bacteria were a consistent component of the gut microbiome. Determining the gut microbiome and feeding ecology of L. h. antarctica aids in identifying the underlying mechanisms controlling pteropod abundance and distribution in a region of rapid environmental change.</t>
  </si>
  <si>
    <t>[Thibodeau, Patricia S.; Song, Bongkeun; Steinberg, Deborah K.] William &amp; Mary, Virginia Inst Marine Sci, Gloucester Point, VA 23062 USA; [Moreno, Carly M.] Univ N Carolina, Dept Marine Sci, Chapel Hill, NC 27599 USA; [Thibodeau, Patricia S.] Univ Rhode Isl, Grad Sch Oceanog, Narragansett, RI 02882 USA</t>
  </si>
  <si>
    <t>William &amp; Mary; Virginia Institute of Marine Science; University of North Carolina; University of North Carolina Chapel Hill; University of Rhode Island</t>
  </si>
  <si>
    <t>Thibodeau, PS (corresponding author), William &amp; Mary, Virginia Inst Marine Sci, Gloucester Point, VA 23062 USA.;Thibodeau, PS (corresponding author), Univ Rhode Isl, Grad Sch Oceanog, Narragansett, RI 02882 USA.</t>
  </si>
  <si>
    <t>thibodeau@uri.edu</t>
  </si>
  <si>
    <t>Song, Bongkeun/0000-0002-6645-7025; Steinberg, Deborah K./0000-0001-9884-4655</t>
  </si>
  <si>
    <t>National Science Foundation Office of Polar Programs [OPP 1440435, 2026045]; National Science Foundation Biological Oceanography [OCE 1321373, 1737258]; Directorate For Geosciences; Division Of Ocean Sciences [1737258] Funding Source: National Science Foundation; Office of Polar Programs (OPP); Directorate For Geosciences [2026045] Funding Source: National Science Foundation</t>
  </si>
  <si>
    <t>National Science Foundation Office of Polar Programs(National Science Foundation (NSF)NSF - Directorate for Geosciences (GEO)); National Science Foundation Biological Oceanography(National Science Foundation (NSF)NSF - Directorate for Geosciences (GEO)); Directorate For Geosciences; Division Of Ocean Sciences(National Science Foundation (NSF)NSF - Directorate for Geosciences (GEO)); Office of Polar Programs (OPP); Directorate For Geosciences(National Science Foundation (NSF)NSF - Directorate for Geosciences (GEO))</t>
  </si>
  <si>
    <t>This work was funded by the National Science Foundation Office of Polar Programs (OPP 1440435 and 2026045) and National Science Foundation Biological Oceanography (OCE 1321373 and 1737258). This is contribution number 4072 from the Virginia Institute of Marine Science, William &amp; Mary.</t>
  </si>
  <si>
    <t>0948-3055</t>
  </si>
  <si>
    <t>1616-1564</t>
  </si>
  <si>
    <t>AQUAT MICROB ECOL</t>
  </si>
  <si>
    <t>Aquat. Microb. Ecol.</t>
  </si>
  <si>
    <t>10.3354/ame01981</t>
  </si>
  <si>
    <t>Ecology; Marine &amp; Freshwater Biology; Microbiology</t>
  </si>
  <si>
    <t>Environmental Sciences &amp; Ecology; Marine &amp; Freshwater Biology; Microbiology</t>
  </si>
  <si>
    <t>0Y7ON</t>
  </si>
  <si>
    <t>WOS:000790576000002</t>
  </si>
  <si>
    <t>Andreev, OM</t>
  </si>
  <si>
    <t>Andreev, O. M.</t>
  </si>
  <si>
    <t>Two-dimensional Thermodynamic Model of Ice Hummock (Ice Ridge) Evolution</t>
  </si>
  <si>
    <t>ice hummock; ice ridge; Arctic; Kara Sea; two-dimensional thermodynamic model</t>
  </si>
  <si>
    <t>CONSOLIDATION</t>
  </si>
  <si>
    <t>The developed two-dimensional thermodynamic model of the annual cycle of the ice hummock evolution is presented. Within the framework of the model, test calculations of the evolution of a small ice hummock are carried out for natural conditions of the Kara Sea. The results of freezing calculations demonstrate an influence of the asymmetry of morphometric parameters of the ice hummock and the uneven occurrence of snow layers on the consolidated layer. The results of the ice hummock melting calculations demonstrated an effect of smoothing the sail and the keel of the hummock. All presented calculation results do not contradict field observations.</t>
  </si>
  <si>
    <t>[Andreev, O. M.] Arctic &amp; Antarctic Res Inst, Ul Beringa 38, St Petersburg 199397, Russia</t>
  </si>
  <si>
    <t>Andreev, OM (corresponding author), Arctic &amp; Antarctic Res Inst, Ul Beringa 38, St Petersburg 199397, Russia.</t>
  </si>
  <si>
    <t>andoleg@aari.ru</t>
  </si>
  <si>
    <t>Andreev, Oleg M./ABE-6472-2022</t>
  </si>
  <si>
    <t>Andreev, Oleg M./0009-0007-8558-7945</t>
  </si>
  <si>
    <t>10.3103/S1068373922010046</t>
  </si>
  <si>
    <t>0Z0OU</t>
  </si>
  <si>
    <t>WOS:000790781200004</t>
  </si>
  <si>
    <t>Davari, A; Baller, C; Seehaus, T; Braun, M; Maier, A; Christlein, V</t>
  </si>
  <si>
    <t>Davari, Amirabbas; Baller, Christoph; Seehaus, Thorsten; Braun, Matthias; Maier, Andreas; Christlein, Vincent</t>
  </si>
  <si>
    <t>Pixelwise Distance Regression for Glacier Calving Front Detection and Segmentation</t>
  </si>
  <si>
    <t>Class imbalance; distance map regression; glacier calving front segmentation; synthetic aperture radar (SAR) imagery; U-Net</t>
  </si>
  <si>
    <t>ANTARCTIC PENINSULA; ELEVATION; ACCURACY</t>
  </si>
  <si>
    <t>Glacier calving front position (CFP) is an important glaciological variable. Traditionally, delineating the CFPs has been carried out manually, which was subjective, tedious, and expensive. Automating this process is crucial for continuously monitoring the evolution and status of glaciers. Recently, deep learning approaches have been investigated for this application. However, the current methods get challenged by a severe class imbalance problem. In this work, we propose to mitigate the class imbalance between the calving front class and the noncalving front class by reformulating the segmentation problem into a pixelwise regression task. A convolutional neural network (CNN) gets optimized to predict the distance values to the glacier front for each pixel in the image. The resulting distance map localizes the CFP and is further postprocessed to extract the calving front line. We propose three postprocessing methods, one method based on statistical thresholding, a second method based on conditional random fields (CRFs), and finally the use of a second U-Net. The experimental results confirm that our approach significantly outperforms the state-of-the-art methods and produces accurate delineation. The second U-Net obtains the best performance results, resulting in an average improvement of about 21% Dice coefficient enhancement.</t>
  </si>
  <si>
    <t>[Davari, Amirabbas; Baller, Christoph; Maier, Andreas; Christlein, Vincent] Friedrich Alexander Univ Erlangen Nurnberg, Comp Sci Dept, D-91058 Erlangen, Germany; [Seehaus, Thorsten; Braun, Matthias] Friedrich Alexander Univ Erlangen Nurnberg, Geog &amp; Geosci Dept, D-91058 Erlangen, Germany</t>
  </si>
  <si>
    <t>University of Erlangen Nuremberg; University of Erlangen Nuremberg</t>
  </si>
  <si>
    <t>Davari, A (corresponding author), Friedrich Alexander Univ Erlangen Nurnberg, Comp Sci Dept, D-91058 Erlangen, Germany.</t>
  </si>
  <si>
    <t>amir.davari@fau.de</t>
  </si>
  <si>
    <t>Maier, Andreas/AAV-6505-2021</t>
  </si>
  <si>
    <t>Maier, Andreas/0000-0002-9550-5284; Seehaus, Thorsten/0000-0001-5055-8959</t>
  </si>
  <si>
    <t>FAU Erlangen-Nurnberg and Staedtler Stiftung under the Emerging Field Initiative TAPE</t>
  </si>
  <si>
    <t>This work was supported by the FAU Erlangen-Nurnberg and Staedtler Stiftung under the Emerging Field Initiative TAPE: Tapping the Potential of Earth Observation. (Amirabbas Davari and Christoph Baller contributed equally to this work.)</t>
  </si>
  <si>
    <t>10.1109/TGRS.2022.3158591</t>
  </si>
  <si>
    <t>0O5QE</t>
  </si>
  <si>
    <t>WOS:000783579800014</t>
  </si>
  <si>
    <t>Frédérich, B; Heindler, FM; Christiansen, H; Dettai, A; Van de Putte, AP; Volckaert, FAM; Lepoint, G</t>
  </si>
  <si>
    <t>Frederich, Bruno; Heindler, Franz M.; Christiansen, Henrik; Dettai, Agnes; Van de Putte, Anton P.; Volckaert, Filip A. M.; Lepoint, Gilles</t>
  </si>
  <si>
    <t>Repeated morphological diversification in endemic Antarctic fishes of the genus Trematomus</t>
  </si>
  <si>
    <t>BELGIAN JOURNAL OF ZOOLOGY</t>
  </si>
  <si>
    <t>Convergence; ecomorphology; geometric morphometrics; head shape; macroevolution; microevolution</t>
  </si>
  <si>
    <t>DAMSELFISHES PERCIFORMES; PHENOTYPIC PLASTICITY; NOTOTHENIOID FISHES; ADAPTIVE RADIATIONS; TROPHIC MORPHOLOGY; R PACKAGE; CONVERGENCE; EVOLUTION; ALLOMETRY; PATTERNS</t>
  </si>
  <si>
    <t>The iterative nature of ecomorphological diversification is observed in various groups of animals. However, studies explicitly testing the consistency of morphological variation across and within species are scarce. Antarctic notothenioids represent a textbook example of adaptive radiation in marine fishes. Within Nototheniidae, the endemic Antarctic genus Trematomus consists of 15 extant species, some with documented large intraspecific variability. Here, we quantify head shape disparity in 11 species of Trematomus by landmark-based geometric morphometrics, and we illustrate repeated events of divergence and convergence of their head morphology. Taking advantage of the polymorphism observed in some species of Trematomus, we also show that two closely related species or clades (e.g., Trematomus bernacchii and T. hansoni) are characterised by the same level of morphological disparity as observed at the level of the entire genus. Interestingly, the same main axes of shape variation are shared between and within species, indicating repeated morphological diversification. Overall, we illustrate a similarity of intra-and interspecific patterns of phenotypic diversity providing new insights into the mechanisms that underlie the diversification of Antarctic fishes.</t>
  </si>
  <si>
    <t>[Frederich, Bruno] Univ Liege, FOCUS, Lab Funct &amp; Evolutionary Morphol, Liege, Belgium; [Heindler, Franz M.; Christiansen, Henrik; Van de Putte, Anton P.; Volckaert, Filip A. M.] Katholieke Univ Leuven, Lab Biodivers &amp; Evolutionary Genom, Leuven, Belgium; [Dettai, Agnes] CNRS UPMC IRD MNHN, Dept Systemat &amp; Evolut, Museum Natl Hist Nat, UMR ISYEB 7205, Paris, France; [Van de Putte, Anton P.] Royal Belgian Inst Nat Sci, OD Nat, Brussels, Belgium; [Van de Putte, Anton P.] Univ Libre Bruxelles, Lab Marine Biol, Brussels, Belgium; [Lepoint, Gilles] Univ Liege, Lab Oceanol, FOCUS, Liege, Belgium</t>
  </si>
  <si>
    <t>University of Liege; KU Leuven; Sorbonne Universite; Centre National de la Recherche Scientifique (CNRS); Institut de Recherche pour le Developpement (IRD); Museum National d'Histoire Naturelle (MNHN); Royal Belgian Institute of Natural Sciences; Universite Libre de Bruxelles; University of Liege</t>
  </si>
  <si>
    <t>Frédérich, B (corresponding author), Univ Liege, FOCUS, Lab Funct &amp; Evolutionary Morphol, Liege, Belgium.</t>
  </si>
  <si>
    <t>bruno.frederich@uliege.be</t>
  </si>
  <si>
    <t>Christiansen, Henrik/GXG-6057-2022; Volckaert, Filip/H-3607-2013; Heindler, Franz Maximilian/C-2365-2018; Lepoint, Gilles/I-1130-2014</t>
  </si>
  <si>
    <t>Christiansen, Henrik/0000-0001-7114-5854; Van de Putte, Anton/0000-0003-1336-5554; Frederich, Bruno/0000-0003-3438-0243; Volckaert, Filip/0000-0003-4342-4295; Heindler, Franz Maximilian/0000-0003-4305-7296; Lepoint, Gilles/0000-0003-4375-0357; Dettai, Agnes/0000-0002-8496-9737</t>
  </si>
  <si>
    <t>Belgian Science Policy Office (BELSPO) project vERSO; Belgian Science Policy Office (BELSPO) project RECTO; SYNTHESYS Project - European Community Research Infrastructure Action under the FP7 Capacities Program; Flanders Innovation &amp; Entrepreneurship (VLAIO) [141328]; vERSO project (BELSPO) [027, BR/132/A1/vERSO, BR/154/A1/RECTO]; RECTO project (BELSPO) [BR/132/A1/vERSO, BR/154/A1/RECTO, 029]</t>
  </si>
  <si>
    <t>Belgian Science Policy Office (BELSPO) project vERSO; Belgian Science Policy Office (BELSPO) project RECTO; SYNTHESYS Project - European Community Research Infrastructure Action under the FP7 Capacities Program; Flanders Innovation &amp; Entrepreneurship (VLAIO); vERSO project (BELSPO); RECTO project (BELSPO)</t>
  </si>
  <si>
    <t>We thank both the Museum national d'Histoire naturelle, Paris as well as the Natural History Museum, London for access to museum samples and especially J. Maclaine for assistance during sampling. This research was supported by the Belgian Science Policy Office (BELSPO) projects vERSO and RECTO (http://rectoversoprojects.be) . This is contribution no. 027 to the vERSO project and contribution no. 029 for the RECTO project (BELSPO, contracts n degrees BR/132/A1/vERSO and n degrees BR/154/A1/RECTO) . Research received support from the SYNTHESYS Project (http:// www.synthesys.info/) , which is financed by European Community Research Infrastructure Action under the FP7 Capacities Program. HC was supported by a grant from the former Flemish agency for Innovation by Science and Technology (IWT) , now managed through Flanders Innovation &amp; Entrepreneurship (VLAIO, grant no. 141328) .</t>
  </si>
  <si>
    <t>ROYAL BELGIAN ZOOLOGICAL SOC</t>
  </si>
  <si>
    <t>BRUSSELS</t>
  </si>
  <si>
    <t>C/O PROF DR ISA SCHON, ROYAL BELGIAN INST NATURAL SCIENCES, DEPT FRESHWATER BIOLOGY, B-1000 BRUSSELS, BELGIUM</t>
  </si>
  <si>
    <t>0777-6276</t>
  </si>
  <si>
    <t>2295-0451</t>
  </si>
  <si>
    <t>BELG J ZOOL</t>
  </si>
  <si>
    <t>Belg. J. Zool.</t>
  </si>
  <si>
    <t>10.26496/bjz.2022.99</t>
  </si>
  <si>
    <t>0W1CR</t>
  </si>
  <si>
    <t>WOS:000788774600001</t>
  </si>
  <si>
    <t>Liu, ZY; Jiang, PQ; Niu, GJ; Wang, WJ; Li, J</t>
  </si>
  <si>
    <t>Liu, Zuoyang; Jiang, Peiqiang; Niu, Guojiang; Wang, Wenjing; Li, Jing</t>
  </si>
  <si>
    <t>Lysobacter antarcticus sp. nov., an SUF-system-containing bacterium from Antarctic coastal sediment</t>
  </si>
  <si>
    <t>new taxa; Antarctica; Lysobacter; polyphasic taxonomy</t>
  </si>
  <si>
    <t>RHIZOSPHERE; GENUS; CLASSIFICATION; SEQUENCES; ALGORITHM; TAXONOMY; GENOMES; SOIL</t>
  </si>
  <si>
    <t>A Gram-stain-negative, heterotrophic, aerobic, non-motile, rod-shaped bacterial strain (GW1-59(T)) belonging to the genus Lysobacter was isolated from coastal sediment collected from the Chinese Great Wall Station, Antarctica. The strain was identified using a polyphasic taxonomic approach. The strain grew well on Reasoner's 2A media and could grow in the presence of 0-4% (w/v) NaCl (optimum, 1%), at pH 9.0-11.0 and at 15-37 degrees C (optimum, 30 degrees C). Strain GW1-59(T)( )possessed ubiquinone-8 as the sole respiratory quinone. The major phospholipids were diphosphatidylglycerol, phosphatidylglycerol and phosphatidylethanolamine. The major fatty acids were summed feature 9 (10-methyl(16:0) and/or iso-C-17(:1) omega 9c). and iso-C-15:(0), iso-C-16:(0), iso-C-17:(0), C-16:0, iso-C(11:)(0 )3-OH. DNA-DNA relatedness with Lysobacter concretionis Ko07(T), the nearest phylogenetic relative (98.5% 16S rRNA gene sequence similarity) was 23.4% (21.1-25.9%). The average nucleotide identity value between strain GW1-59(T) and L. concretionis Ko07(T) was 80.1%. The physiological and biochemical results and low level of DNA-DNA relatedness suggested the phenotypic and genotypic differentiation of strain GW1-59(T) from other Lysobacter species. On the basis of phenotypic, phylogenetic and genotypic data, a novel species. Lysobacter antarcticus sp. nov., is proposed. The type strain is GW1-59(T) (=CCTCC AB 2019390(T) =KCTC 72831(T)).</t>
  </si>
  <si>
    <t>[Liu, Zuoyang; Jiang, Peiqiang; Niu, Guojiang; Wang, Wenjing; Li, Jing] Ocean Univ China, Coll Marine Life Sci, Qingdao 266003, Shandong, Peoples R China</t>
  </si>
  <si>
    <t>Ocean University of China</t>
  </si>
  <si>
    <t>Li, J (corresponding author), Ocean Univ China, Coll Marine Life Sci, Qingdao 266003, Shandong, Peoples R China.</t>
  </si>
  <si>
    <t>lijing313@ouc.edu.cn</t>
  </si>
  <si>
    <t>Wang, Wenjing/AAU-8450-2021</t>
  </si>
  <si>
    <t>Wang, Wenjing/0000-0003-4035-8552; Li, Jing/0000-0003-4601-3440; Niu, Guojiang/0000-0001-6671-2885</t>
  </si>
  <si>
    <t>National Key R&amp;D Program of China [2018YFC1406705]</t>
  </si>
  <si>
    <t>National Key R&amp;D Program of China</t>
  </si>
  <si>
    <t>This work was supported by the National Key R&amp;D Program of China (grant 2018YFC1406705).</t>
  </si>
  <si>
    <t>10.1099/ijsem.0.005250</t>
  </si>
  <si>
    <t>0S2FF</t>
  </si>
  <si>
    <t>WOS:000786094800015</t>
  </si>
  <si>
    <t>Guihen, D; Brearley, JA; Fielding, S</t>
  </si>
  <si>
    <t>Guihen, Damien; Brearley, J. Alexander; Fielding, Sophie</t>
  </si>
  <si>
    <t>Antarctic krill likely avoid underwater gliders</t>
  </si>
  <si>
    <t>Antarctic krill; Glider; Acoustics; Behavior; Avoidance</t>
  </si>
  <si>
    <t>EUPHAUSIA-SUPERBA; ACOUSTIC SCATTERING; RESEARCH VESSELS; OCEAN GLIDERS; DENSITY; SLOCUM; ZOOPLANKTON; BIOMASS; FISH; OCEANOGRAPHY</t>
  </si>
  <si>
    <t>The extent to which marine species avoid survey vessels is the subject of considerable debate, with stimuli such as noise and pressure waves receiving particular attention. By some estimates, avoidance behaviour is a major bias in the assessment of pelagic species distribution and density. Surveyors of the marine environment are increasingly using autonomous platforms; thus the question of avoidance of these novel platforms must be considered. A long-duration, underwater glider with an integrated echo-sounder was deployed to measure the density and distribution of Antarctic krill. We show that krill reacted to the glider, despite the low-noise profile of the platform. The weighted-mean depth of krill swarms was observed to deepen when a glider came within 30 m. In addition, we observed a near-range decrease in depth-integrated acoustic backscatter and we demonstrate that this effect is not explained by the instrument's acoustic footprint. The potential triggers for these behaviours are discussed. The list of sensors available for use on a glider is increasing, with some producing sound, light or other potential stimuli for behavioural response. Our paper demonstrates that caution should be used when designing mission payloads and in the interpretation of acoustic data for animal density from gliders. A key consideration for surveyors may be the factoring in of an exclusion zone from their analyses.</t>
  </si>
  <si>
    <t>[Guihen, Damien] Univ Tasmania, Australian Maritime Coll, Newnham, Tas 7250, Australia; [Brearley, J. Alexander; Fielding, Sophie] British Antarctic Survey, Nat Environm Res Council, Madingley Rd, Cambridge CB3 0ET, England</t>
  </si>
  <si>
    <t>University of Tasmania; Australian Maritime College; UK Research &amp; Innovation (UKRI); Natural Environment Research Council (NERC); NERC British Antarctic Survey</t>
  </si>
  <si>
    <t>Guihen, D (corresponding author), Univ Tasmania, Australian Maritime Coll, Newnham, Tas 7250, Australia.</t>
  </si>
  <si>
    <t>damien.guihen@utas.edu.au</t>
  </si>
  <si>
    <t>Brearley, Alexander/C-3313-2012; Fielding, Sophie/E-5137-2012</t>
  </si>
  <si>
    <t>Guihen, Damien/0000-0002-5786-6599; Brearley, Alexander/0000-0003-3700-8017</t>
  </si>
  <si>
    <t>UK Natural Environment Research Council, Antarctic Funding Initiative grants [NE/H014756/1, NE/H01439X/1, NE/H014217/1]; GENTOO Gliders: Excellent New Tools for Observing the Ocean and UK Natural Environment Research Council Fellowship [NE/L011166/1]; Australian Research Council's Special Research Initiative for Antarctic Gateway Partnership [SR140300001]; NERC [NE/H01439X/1, NE/H014756/1, NE/L011166/1, bas0100035, NE/H014217/1] Funding Source: UKRI</t>
  </si>
  <si>
    <t>UK Natural Environment Research Council, Antarctic Funding Initiative grants; GENTOO Gliders: Excellent New Tools for Observing the Ocean and UK Natural Environment Research Council Fellowship; Australian Research Council's Special Research Initiative for Antarctic Gateway Partnership(Australian Research Council); NERC(UK Research &amp; Innovation (UKRI)Natural Environment Research Council (NERC))</t>
  </si>
  <si>
    <t>We are grateful to the master and crews of the R.R.S. James Clark Ross for their support in the deployment and recovery of gliders during cruise JR307. Many thanks are due to the staff of Rothera Research Station, especially Hugh Venables and the boat support crew, the scientists and crew of the R.V. Lawrence M. Gould and the support team at Teledyne Webb. The authors particularly wish to acknowledge the help of Oscar Schofield for deploying the glider during the Palmer LTER cruise. This work was funded by the UK Natural Environment Research Council, Antarctic Funding Initiative grants NE/H014756/1, NE/H01439X/1, and NE/H014217/1, GENTOO Gliders: Excellent New Tools for Observing the Ocean and UK Natural Environment Research Council Fellowship grant NE/L011166/1. Guihen was further supported under the Australian Research Council's Special Research Initiative for Antarctic Gateway Partnership (Project ID SR140300001).</t>
  </si>
  <si>
    <t>10.1016/j.dsr.2021.103680</t>
  </si>
  <si>
    <t>0N3VM</t>
  </si>
  <si>
    <t>WOS:000782769500002</t>
  </si>
  <si>
    <t>Chen, YY; Zhou, YJ; Tran, S; Park, M; Hadley, S; Lacharite, M; Bai, Q</t>
  </si>
  <si>
    <t>Long, G; Yu, X; Wang, S</t>
  </si>
  <si>
    <t>Chen, Yanyu; Zhou, Yunjue; Tran, Son; Park, Mira; Hadley, Scott; Lacharite, Myriam; Bai, Quan</t>
  </si>
  <si>
    <t>A Self-learning Approach for Beggiatoa Coverage Estimation in Aquaculture</t>
  </si>
  <si>
    <t>AI 2021: ADVANCES IN ARTIFICIAL INTELLIGENCE</t>
  </si>
  <si>
    <t>Lecture Notes in Artificial Intelligence</t>
  </si>
  <si>
    <t>34th Australasian Joint Conference on Artificial Intelligence (AI)</t>
  </si>
  <si>
    <t>FEB 02-04, 2022</t>
  </si>
  <si>
    <t>Univ Technol Sydney, ELECTR NETWORK</t>
  </si>
  <si>
    <t>Univ Technol Sydney</t>
  </si>
  <si>
    <t>Beggiatoa coverage; Image segmentation; Self-learning</t>
  </si>
  <si>
    <t>SKIN-LESION SEGMENTATION; DERMOSCOPIC IMAGES</t>
  </si>
  <si>
    <t>Beggiatoa is a bacterium that is associated with anoxic conditions beneath salmon aquaculture pens. Assessing the percentage coverage on the seafloor from images taken beneath a site is often undertaken as part of the environmental monitoring process. Images are assessed manually by observers with experience in identifying Beggiatoa. This is a time-consuming process and results can vary significantly between observers. Manually labelling images in order to apply visual learning techniques is also time-consuming and expensive as deep learning relies on very large data sets for training. Image segmentation techniques can automatically annotate images to release human resources and improve assessment efficiency. This paper introduces a combination method using Otsu thresholding and Fully Convolutional Networks (FCN). The self-learning method can be used to estimate coverage and generate training and testing data set for deep learning algorithms. Results showed that this combination of methods had better performance than individual methods.</t>
  </si>
  <si>
    <t>[Chen, Yanyu; Zhou, Yunjue; Tran, Son; Park, Mira; Bai, Quan] Univ Tasmania, Sch Informat &amp; Commun Technol, Hobart, Tas, Australia; [Hadley, Scott; Lacharite, Myriam] Univ Tasmania, Inst Marine &amp; Antarctic Studies, Hobart, Tas, Australia</t>
  </si>
  <si>
    <t>Chen, YY (corresponding author), Univ Tasmania, Sch Informat &amp; Commun Technol, Hobart, Tas, Australia.</t>
  </si>
  <si>
    <t>yanyu.chen@utas.edu.au; yunjuez@utas.edu.au; sn.tran@utas.edu.au; mira.park@utas.edu.au; s.hadley@utas.edu.au; myriam.lacharite@utas.edu.au; quan.bai@utas.edu.au</t>
  </si>
  <si>
    <t>Park, Mira/ACM-8509-2022</t>
  </si>
  <si>
    <t>Park, Mira/0000-0003-0175-8692; Tran, Son/0000-0002-5912-293X</t>
  </si>
  <si>
    <t>0302-9743</t>
  </si>
  <si>
    <t>1611-3349</t>
  </si>
  <si>
    <t>978-3-030-97546-3; 978-3-030-97545-6</t>
  </si>
  <si>
    <t>LECT NOTES ARTIF INT</t>
  </si>
  <si>
    <t>10.1007/978-3-030-97546-3_33</t>
  </si>
  <si>
    <t>BT0FG</t>
  </si>
  <si>
    <t>WOS:000787242700033</t>
  </si>
  <si>
    <t>Fernandez, JM; Maazallahi, H; France, JL; Menoud, M; Corbu, M; Ardelean, M; Calcan, A; Townsend-Small, A; van der Veen, C; Fisher, RE; Lowry, D; Nisbet, EG; Röckmann, T</t>
  </si>
  <si>
    <t>Fernandez, J. M.; Maazallahi, H.; France, J. L.; Menoud, M.; Corbu, M.; Ardelean, M.; Calcan, A.; Townsend-Small, A.; van der Veen, C.; Fisher, R. E.; Lowry, D.; Nisbet, E. G.; Rockmann, T.</t>
  </si>
  <si>
    <t>Street-level methane emissions of Bucharest, Romania and the dominance of urban wastewater.</t>
  </si>
  <si>
    <t>ATMOSPHERIC ENVIRONMENT-X</t>
  </si>
  <si>
    <t>Greenhouse gas emissions; Mobile campaigns; Bucharest; Methane isotopes; Methane source identification</t>
  </si>
  <si>
    <t>QUANTITATIVE RISK ANALYSIS; NATURAL-GAS; CARBON-DIOXIDE; ATMOSPHERIC METHANE; ANTHROPOGENIC EMISSIONS; SUSTAINABLE DEVELOPMENT; ISOTOPIC COMPOSITION; MASS-SPECTROMETRY; PIPELINE LEAKS; FLUXES</t>
  </si>
  <si>
    <t>Atmospheric methane (CH4) continues to increase, but there are multiple anthropogenic source categories that can be targeted for cost-effective emissions reduction. Cities emit CH4 to the atmosphere from a mixture of anthropogenic CH4 sources, which include, but are not limited to, fugitive emissions from natural gas distribution systems, wastewater treatment facilities, waste-and rainwater networks, and landfills. Therefore, to target mitigation measures, it is important to locate and quantify local urban emissions to prioritize mitigation opportunities in large cities. Using mobile measurement techniques, we located street-level CH4 leak indications, measured flux rates, and determined potential source origins (using carbon and hydrogen stable isotopic composition along with ethane: CH4 ratios) of CH4 in Bucharest, Romania. We found 969 confirmed CH4 leak indication locations, where the maximum mole fraction elevation (above background) was 38.3 ppm (mean = 0.9 ppm &amp; PLUSMN; 0.1 ppm s.e.; n = 2482). Individual leak indicator fluxes, derived using a previously established empirical relation, ranged up to around 15 metric tons CH4 yr(-1) (mean = 0.8 metric tons yr(-1) &amp; PLUSMN; 0.05, s.e.; n = 969). The total estimated city emission rate is 1832 tons CH4 yr(-1) (min = 1577 t yr(-1) and max = 2113 t yr(-1)). More than half (58%-63%) of the CH4 elevations were attributed to biogenic wastewater, mostly from venting storm grates and manholes connecting to sewer pipelines. Hydrogen isotopic composition of CH4 and ethane:methane ratios were the most useful tracers of CH4 sources, due to similarities in carbon isotope ratios between wastewater gas and natural gas. The annual city-wide CH4 emission estimate of Bucharest exceeded emissions of Hamburg, Germany by 76% and Paris, France by 90%.</t>
  </si>
  <si>
    <t>[Fernandez, J. M.; France, J. L.; Fisher, R. E.; Lowry, D.; Nisbet, E. G.] Royal Holloway Univ London, Dept Earth Sci, Queens Bldg,Egham Hill, Egham TW20 0EX, Surrey, England; [Maazallahi, H.; Menoud, M.; van der Veen, C.; Rockmann, T.] Univ Utrecht, Inst Marine &amp; Atmospher Res Utrecht, Utrecht, Netherlands; [Maazallahi, H.] Netherlands Org Appl Sci Res TNO, Utrecht, Netherlands; [Corbu, M.; Ardelean, M.; Calcan, A.] Natl Inst Aerosp Res ELIE CAROFOLI INCAS, Bucharest 061126, Romania; [France, J. L.] British Antarctic Survey, Nat Environm Res Council, Cambridge CB3 0ET, England; [Townsend-Small, A.] Univ Cincinnati, Dept Geol, Cincinnati, OH 45221 USA</t>
  </si>
  <si>
    <t>University of London; Royal Holloway University London; Utrecht University; Netherlands Organization Applied Science Research; UK Research &amp; Innovation (UKRI); Natural Environment Research Council (NERC); NERC British Antarctic Survey; University System of Ohio; University of Cincinnati</t>
  </si>
  <si>
    <t>Fernandez, JM (corresponding author), Royal Holloway Univ London, Dept Earth Sci, Queens Bldg,Egham Hill, Egham TW20 0EX, Surrey, England.</t>
  </si>
  <si>
    <t>julianne.fernandez.2018@live.rhul.ac.uk</t>
  </si>
  <si>
    <t>Calcan, Andreea/AAB-9326-2020; Corbu, Marius-Paul/AAZ-2753-2020; Lowry, David/GXG-1235-2022; Lowry, David/JCE-0619-2023; Maazallahi, Hossein/IZQ-0813-2023; France, James/L-9719-2015; Ardelean, Magdalena/O-9576-2018; Rockmann, Thomas/F-4479-2015</t>
  </si>
  <si>
    <t>Calcan, Andreea/0000-0002-1268-7933; Corbu, Marius-Paul/0000-0003-4763-0918; France, James/0000-0002-8785-1240; Menoud, Malika/0000-0001-7061-2684; LOWRY, DAVID/0000-0002-8535-0346; van der Veen, Carina/0000-0001-6827-9616; Fisher, Rebecca/0000-0002-9262-5467; Ardelean, Magdalena/0000-0002-5666-9593; Rockmann, Thomas/0000-0002-6688-8968</t>
  </si>
  <si>
    <t>Climate and Clean Air Coalition (CCAC) Oil &amp; Gas Methane Science Studies (MSS) of the United Nations Environment Programme (UNEP) [PCA/CCAC/UU/DTIE19-EN652]; European Union [722479]; NERC [NE/N016238/1 MOYA]</t>
  </si>
  <si>
    <t>Climate and Clean Air Coalition (CCAC) Oil &amp; Gas Methane Science Studies (MSS) of the United Nations Environment Programme (UNEP); European Union(European Union (EU)); NERC(UK Research &amp; Innovation (UKRI)Natural Environment Research Council (NERC))</t>
  </si>
  <si>
    <t>This study was supported by the Romanian Methane Emissions from Oil &amp; gas (ROMEO) project funded by the Climate and Clean Air Coalition (CCAC) Oil &amp; Gas Methane Science Studies (MSS) of the United Nations Environment Programme (UNEP) under grant number PCA/CCAC/UU/DTIE19-EN652. Additional funding is from the European Union's Horizon 2020 Research and Innovation Program under the Marie Sklodowska-Curie Grant Agreement 722479 (MEMO2). Royal Holloway University of London Greenhouse Gas Research Laboratory lab has been supported by grants from NERC including NE/N016238/1 MOYA The Global Methane Budget (2016-2021).</t>
  </si>
  <si>
    <t>2590-1621</t>
  </si>
  <si>
    <t>ATMOS ENVIRON-X</t>
  </si>
  <si>
    <t>Atmos. Environ-X</t>
  </si>
  <si>
    <t>10.1016/j.aeaoa.2022.100153</t>
  </si>
  <si>
    <t>0D6AQ</t>
  </si>
  <si>
    <t>WOS:000776076400005</t>
  </si>
  <si>
    <t>Poliakova, E</t>
  </si>
  <si>
    <t>Poliakova, Ekaterina</t>
  </si>
  <si>
    <t>DEFINING AND APPLYING A NEW APPROXIMATION FOR THE PARAMETRIC PROBABILITY DENSITIES OF SPHERICAL PARTICLE PROFILE SIZES</t>
  </si>
  <si>
    <t>IMAGE ANALYSIS &amp; STEREOLOGY</t>
  </si>
  <si>
    <t>distribution parameters; maximum likelihood; probability density function; small samples; spherical particles; statistics</t>
  </si>
  <si>
    <t>DISTRIBUTIONS</t>
  </si>
  <si>
    <t>A novel approximation for the parametric probability densities of spherical particle profile diameters is suggested. The spheres are approximated from solids obtained by rotating regular polygons around their axes of symmetry. This approximation facilitates using the maximum likelihood method in samples that have too few profiles for applying classical stereological approaches.</t>
  </si>
  <si>
    <t>[Poliakova, Ekaterina] Arctic &amp; Antarctic Res Inst, Climate &amp; Environm Res Lab, St Petersburg, Russia; [Poliakova, Ekaterina] Norwegian Univ Sci &amp; Technol, Dept Math Sci, Trondheim, Norway</t>
  </si>
  <si>
    <t>Arctic &amp; Antarctic Research Institute; Norwegian University of Science &amp; Technology (NTNU)</t>
  </si>
  <si>
    <t>Poliakova, E (corresponding author), Arctic &amp; Antarctic Res Inst, Climate &amp; Environm Res Lab, St Petersburg, Russia.;Poliakova, E (corresponding author), Norwegian Univ Sci &amp; Technol, Dept Math Sci, Trondheim, Norway.</t>
  </si>
  <si>
    <t>ekaterina.poliakova@ntnu.no</t>
  </si>
  <si>
    <t>Russian Science Foundation [18-17-00110]; Russian Science Foundation [18-17-00110] Funding Source: Russian Science Foundation</t>
  </si>
  <si>
    <t>Russian Science Foundation(Russian Science Foundation (RSF)); Russian Science Foundation(Russian Science Foundation (RSF))</t>
  </si>
  <si>
    <t>The author would like to thank V. Ya. Lipenkov (Arctic and Antarctic Research Institute) for motivating this study and both anonymous referees for very thorough reading and many valuable comments. The research was financially supported by the Russian Science Foundation, grant 18-17-00110.</t>
  </si>
  <si>
    <t>INT SOC STEREOLOGY</t>
  </si>
  <si>
    <t>LJUBJANA</t>
  </si>
  <si>
    <t>INST ANATOMY, MEDICAL FACULTY, KORYTKOVA 2, LJUBJANA, SL-1000, SLOVENIA</t>
  </si>
  <si>
    <t>1580-3139</t>
  </si>
  <si>
    <t>IMAGE ANAL STEREOL</t>
  </si>
  <si>
    <t>Image Anal. Stereol.</t>
  </si>
  <si>
    <t>10.5566/ias.2539</t>
  </si>
  <si>
    <t>Materials Science, Multidisciplinary; Mathematics, Applied; Mechanics; Imaging Science &amp; Photographic Technology</t>
  </si>
  <si>
    <t>Materials Science; Mathematics; Mechanics; Imaging Science &amp; Photographic Technology</t>
  </si>
  <si>
    <t>0S5LH</t>
  </si>
  <si>
    <t>WOS:000786314600001</t>
  </si>
  <si>
    <t>Park, Y; Noh, HJ; Hwang, CY; Shin, SC; Hong, SG; Jin, YK; Lee, H; Lee, YM</t>
  </si>
  <si>
    <t>Park, Yerin; Noh, Hyun-Ju; Hwang, Chung Yeon; Shin, Seung Chul; Hong, Soon Gyu; Jin, Young Keun; Lee, Hyoungseok; Lee, Yung Mi</t>
  </si>
  <si>
    <t>Hymenobacter siberiensis sp. nov., isolated from a marine sediment of the East Siberian Sea and Hymenobacter psoromatis sp. nov., isolated from an Antarctic lichen</t>
  </si>
  <si>
    <t>Hymenobacter siberiensis; Hymenobacter psoromatis; polyphasic taxonomy</t>
  </si>
  <si>
    <t>RADIATION-RESISTANT BACTERIUM; POLAR; DNA</t>
  </si>
  <si>
    <t>Gram-stain-negative, strictly aerobic, red-pink-coloured, rod-shaped and non-motile bacterial strains PAMC 29290, PAMC 29294(T) and PAMC 29296 were isolated from marine surface sediment sampled in the East Siberian Sea and strains PAMC 26553 and PAMC 26554(T) were obtained from an Antarctic lichen. Strains PAMC 29290, PAMC 29294(T) and PAMC 29296 were closely related to Hymenobacter artigasi (98.8% 16S rRNA gene similarity), Hymenobacter antarcticus (97.3%) and Hymenobacter glaciei (96.9%), and PAMC 26553 and PAMC 26554(T) showed high similarity to Hymenobacter ginsengisoli (97.0%), Hymenobacter rivuli (96.1%) and Hymenobacter setariae (95.9%). Genomic relatedness analyses showed that strains PAMC 29290, PAMC 29294(T) and PAMC 29296 could be distinguished from H. artigasi by average nucleotide identity (ANI; 93.1-93.2%) and digital DNA-DNA hybridization (dDDH; 50.3-51.0%) values. Strains PAMC 26553 and PAMC 26554(T) could be clearly distinguished from H. ginsengisoli with ANI values &lt;79.8% and dDDH values &lt;23.3%. The major fatty acids of strains PAMC 29290, PAMC 29294(T) and PAMC 29296 were C-15:0 iso (21.0-26.0%), summed feature 3 (C-16:1, omega 7c and/or C-16:1, omega 6c; 17.4-18.2%), C-15:0 anteiso (12.7-19.1%) and summed feature 4 (C-17:1 iso I and/or anteiso B; 8.6-16.1%) and those of strains PAMC 26553 and PAMC 26554(T) were summed feature 3 (C-16:1 omega 7c and/or C-16:1 omega 6c; 20.7-22.2%), C-15:0 anteiso (17.5-19.7%) and summed feature 4 (C-17:1 iso I and/or anteiso B; 15.5-18.1%). The major respiratory quinone was MK-7. The genomic DNA G+C contents were 60.6-60.8 mol%. The polar lipids of PAMC 29294(T) were found to consist of phosphatidylethanolamine, four unidentified aminolipids, an unidentified aminophospholipid and five unidentified lipids; those of PAMC 26554(T) were phosphatidylethanolamine, three unidentified aminolipids, four unidentified aminophospholipid and two unidentified lipids. The distinct phylogenetic position and some physiological characteristics distinguished the novel strains from closely related type strains in the genus Hymenobacter. Thus, two novel species are proposed, with the names Hymenobacter siberiensis sp. nov. (type strain, PAMC 29294(T)=KCTC 82466(T)=JCM 34574(T)) and Hymenobacter psoromatis sp. nov. (type strain, PAMC 26554(T)=KCTC 82464(T)=JCM 34572(T)), respectively.</t>
  </si>
  <si>
    <t>[Park, Yerin; Noh, Hyun-Ju; Shin, Seung Chul; Hong, Soon Gyu; Lee, Hyoungseok; Lee, Yung Mi] Korea Polar Res Inst, Div Life Sci, 26 Songdomirae Ro, Incheon 21990, South Korea; [Park, Yerin; Hwang, Chung Yeon] Seoul Natl Univ, Sch Earth &amp; Environm Sci &amp; Res, Inst Oceanog, Seoul 08826, South Korea; [Noh, Hyun-Ju] Honam Natl Inst Biol Resources, Div Microbiol, 99 Gohadoan Gil, Mokpo Si, Jeollanam Do, South Korea; [Jin, Young Keun] Korea Polar Res Inst, Div Earth Syst Sci, 26 Songdomirae Ro, Incheon 21990, South Korea</t>
  </si>
  <si>
    <t>Korea Polar Research Institute (KOPRI); Seoul National University (SNU); Korea Polar Research Institute (KOPRI)</t>
  </si>
  <si>
    <t>Hwang, Chung/0000-0001-9861-0197; Jin, Young Keun/0000-0003-3511-0464</t>
  </si>
  <si>
    <t>Korea Polar Research Institute [PE22130]; Korea Ministry of Oceans and Fisheries [1525011795]</t>
  </si>
  <si>
    <t>Korea Polar Research Institute(Korea Polar Research Institute of Marine Research Placement (KOPRI)); Korea Ministry of Oceans and Fisheries</t>
  </si>
  <si>
    <t>This work was supported by the Korea Polar Research Institute (grant nos. PM22050 and PE22130) and the Korea Ministry of Oceans and Fisheries (grant no. 1525011795).</t>
  </si>
  <si>
    <t>10.1099/ijsem.0.005290</t>
  </si>
  <si>
    <t>0R1HR</t>
  </si>
  <si>
    <t>WOS:000785355900016</t>
  </si>
  <si>
    <t>Zhang, XG; Tan, B; Lu, P; Cheng, B; Wang, T; Gao, CC; Li, ZJ</t>
  </si>
  <si>
    <t>Zhang, Xingang; Tan, Bing; Lu, Peng; Cheng, Bin; Wang, Ting; Gao, Chunchun; Li, Zhijun</t>
  </si>
  <si>
    <t>Numerical simulation for cutoff draft of sea ice ridge keels based on a novel optimal modeling with nonlinear-statistical constraints</t>
  </si>
  <si>
    <t>ELECTRONIC RESEARCH ARCHIVE</t>
  </si>
  <si>
    <t>optimal modeling; nonlinear-statistical constraint; numerical simulation; cutoff draft; ridge keel</t>
  </si>
  <si>
    <t>THICKNESS; MORPHOLOGY; NORTH; SHIP</t>
  </si>
  <si>
    <t>Optimal identification and numerical models are powerful tools that have been widely used in geoscience research for many years. In this study, we proposed a novel optimal method to simulate a key parameter (cutoff draft) of the ridge keels due to dynamic deformation of sea ice at bottom. The sea ice ridges were measured in the Northwestern Weddell Sea of Antarctic, by a helicopter-borne electromagnetic-induction (EM) system. An optimal model with nonlinear-statistical constraints was developed, by taking deviations between the theoretical and measured keel draft (spacing) distributions as the performance criterion, and cutoff draft as the identified parameter. The properties of the optimal model and the existence of the optimal parameter were demonstrated. We identified that the optimal cutoff draft was 3.78 m via an optimal numerical algorithm, this value was then employed to separate the ridge keels from the ice bottom. Finally, the relationship between the mean keel draft and frequency (number of keels per km) was analyzed, and the result showed that this relationship was modeled well by a logarithmic function with a correlation coefficient of 0.7. The present optimal modeling method will provide a new theoretical reference for separating accurately the ridge keels from undeformed sea ice bottom, and analyzing the relationship between the morphologies of sea ice surface and bottom and the inversions of sea ice bottom draft and ice thickness by the surface height.</t>
  </si>
  <si>
    <t>[Zhang, Xingang; Tan, Bing; Wang, Ting; Gao, Chunchun] Nanyang Normal Univ, Sch Math &amp; Stat, 1638 Wolong Rd, Nanyang 473061, Peoples R China; [Lu, Peng; Li, Zhijun] Dalian Univ Technol, State Key Lab Coastal &amp; Offshore Engn, 2 Linggong Rd, Dalian 116024, Peoples R China; [Cheng, Bin] Finnish Meteorol Inst, Erik Palmenin Aukio 1, FI-00560 Helsinki, Finland</t>
  </si>
  <si>
    <t>Nanyang Normal College; Dalian University of Technology; Finnish Meteorological Institute</t>
  </si>
  <si>
    <t>Tan, B (corresponding author), Nanyang Normal Univ, Sch Math &amp; Stat, 1638 Wolong Rd, Nanyang 473061, Peoples R China.</t>
  </si>
  <si>
    <t>tanbing111@126.com</t>
  </si>
  <si>
    <t>Li, Zhijun/A-5299-2019; Lu, Peng/HNR-4786-2023; Zhang, Xingang/G-6105-2011</t>
  </si>
  <si>
    <t>Li, Zhijun/0000-0002-2897-0450; Zhang, Xingang/0000-0002-4406-6533</t>
  </si>
  <si>
    <t>Arctic and Antarctic Administration; National Nature Science Foundation of China [41876219, 41922045, 42074094]; Key Science Foundation for Universities of Henan Province [22A110017]; Nanyang Normal University [STP2017023, 2022STP014]</t>
  </si>
  <si>
    <t>Arctic and Antarctic Administration; National Nature Science Foundation of China(National Natural Science Foundation of China (NSFC)); Key Science Foundation for Universities of Henan Province; Nanyang Normal University</t>
  </si>
  <si>
    <t>We would like to thank Dr. Christian Haas and Dr. Marcel Nicolaus from the Alfred Wegener Institute for Polar and Marine Research (AWI) for providing the valuable EM data, Dr. Qingkai Wang for providing the field photograph of sea ice ridge sails during the 36th Antarctic scientific expedition of china. The Arctic and Antarctic Administration is also thanked for supporting the participation of Zhijun Li in the expedition organized by AWI. This work was supported by the National Nature Science Foundation of China (Nos. 41876219, 41922045, 42074094) , the Key Science Foundation for Universities of Henan Province (No. 22A110017) , and the project of Nanyang Normal University (STP2017023, 2022STP014) .</t>
  </si>
  <si>
    <t>AMER INST MATHEMATICAL SCIENCES-AIMS</t>
  </si>
  <si>
    <t>SPRINGFIELD</t>
  </si>
  <si>
    <t>PO BOX 2604, SPRINGFIELD, MO 65801-2604 USA</t>
  </si>
  <si>
    <t>2688-1594</t>
  </si>
  <si>
    <t>ELECTRON RES ARCH</t>
  </si>
  <si>
    <t>Electron. Res. Arch.</t>
  </si>
  <si>
    <t>10.3934/era.2022086</t>
  </si>
  <si>
    <t>0H2NW</t>
  </si>
  <si>
    <t>WOS:000778575000001</t>
  </si>
  <si>
    <t>Hai, G; Cheng, Y; Xie, H; Hao, T; Qiao, G; Li, RX</t>
  </si>
  <si>
    <t>Hai, Gang; Cheng, Yuan; Xie, Huan; Hao, Tong; Qiao, Gang; Li, Rongxing</t>
  </si>
  <si>
    <t>Assessment of CryoSat-2 Baseline-D Height Product by GNSS and ICESat-2 in Lambert-Amery System, East Antarctica</t>
  </si>
  <si>
    <t>Global navigation satellite system; Ice; Antarctica; Distributed databases; Spaceborne radar; Satellites; Surface topography; Assessment; Baseline-D; Cryosat-2; global navigation satellite system (GNSS); ice; cloud; and land elevation satellite 2 (ICESat-2); Lambert-Amery system (LAS)</t>
  </si>
  <si>
    <t>RADAR ALTIMETRY DATA; ICE-SHEET; ELEVATION MODEL; PERFORMANCE; VALIDATION; PRECISION; GREENLAND</t>
  </si>
  <si>
    <t>CryoSat-2 repeatedly collects dense radar altimetry footprints covering high latitudes of the polar ice sheets for over ten years. The Baseline-D height product of CryoSat-2 was recently upgraded and released in 2019. Based on the internal or locally external evaluation of CryoSat-2 Baseline-D ice heights, we extended the validation both heterogeneously and spatially to accomplish a comprehensive assessment. First, reliable ice surface global navigation satellite system point solutions along the 36th Chinese National Antarctic Research Expedition traverse functioned as a height reference for comparison with the CryoSat-2 SAR synthetic aperture radar interferometric mode (SIN) data. Secondly, the Land Ice Along-Track Height product over Lambert-Amery system (LAS) from ice, cloud, and land elevation satellite 2 (ICESat-2), was also applied to validate CryoSat-2 SIN and low-resolution mode (LRM) data. As the results indicate, the SIN height accuracy is evaluated to be -1.68 m +/- 2.35 m (slope &lt; 0.65 degrees) along the traverse and -0.96 +/- 1.95 m (slope &lt; 0.95 degrees and roughness &lt; 3 m) over the margin of LAS. The LRM height accuracy is evaluated to be -0.13 +/- 0.46 m (slope &lt; 0.1 degrees &amp; roughness &lt; 1 m) over the interior of LAS. The standard deviation of the height differences degrades linearly against the limited growth of the terrain slope/roughness at the confidence level of 99%. It is worth noting that the spatially heterogeneous pattern of height differences is correlated with surface topography variations. This article should imply the potential to improve the estimation of mass balance and its uncertainty of polar ice sheets based on radar altimetry data.</t>
  </si>
  <si>
    <t>[Hai, Gang; Cheng, Yuan; Hao, Tong; Qiao, Gang; Li, Rongxing] Tongji Univ, Coll Surveying &amp; Geoinformat, Shanghai 20009, Peoples R China; [Xie, Huan] Tongji Univ, State Key Lab Disaster Reduct Civil Engn, Coll Surveying &amp; Geoinformat, Shanghai 20009, Peoples R China; [Xie, Huan] Tongji Univ, Shanghai Inst Intelligent Sci &amp; Technol, Shanghai 20009, Peoples R China</t>
  </si>
  <si>
    <t>Tongji University; Tongji University; Tongji University</t>
  </si>
  <si>
    <t>Xie, H (corresponding author), Tongji Univ, State Key Lab Disaster Reduct Civil Engn, Coll Surveying &amp; Geoinformat, Shanghai 20009, Peoples R China.;Xie, H (corresponding author), Tongji Univ, Shanghai Inst Intelligent Sci &amp; Technol, Shanghai 20009, Peoples R China.</t>
  </si>
  <si>
    <t>ganghai@tongji.edu.cn; chengyuan_1994@tongji.edu.cn; huanxie@tongji.edu.cn; tonghao@tongji.edu.cn; qiaogang@tongji.edu.cn; rli@tongji.edu.cn</t>
  </si>
  <si>
    <t>xie, huan/GQQ-4398-2022; Qiao, Gang/AAU-5717-2020</t>
  </si>
  <si>
    <t>Hao, Tong/0000-0003-0177-6006; Hai, Gang/0000-0002-8622-6128; Cheng, Yuan/0000-0003-1336-0331</t>
  </si>
  <si>
    <t>National Key Research and Development Program of China [2017YFA0603100]; National Natural Science Foundation of China [41822106, 41571407, 41730102, 41776186]; Shanghai Youth Talent Support Program; State Key Laboratory of Disaster Reduction in Civil Engineering [SLDRCE19-B-35]; Fundamental Research Funds for the Central Universities; Shuguang Program [18SG22]</t>
  </si>
  <si>
    <t>National Key Research and Development Program of China; National Natural Science Foundation of China(National Natural Science Foundation of China (NSFC)); Shanghai Youth Talent Support Program; State Key Laboratory of Disaster Reduction in Civil Engineering; Fundamental Research Funds for the Central Universities(Fundamental Research Funds for the Central Universities); Shuguang Program</t>
  </si>
  <si>
    <t>This work was supported in part by the National Key Research and Development Program of China under Grant 2017YFA0603100, in part by the National Natural Science Foundation of China under Grant 41822106, Grant 41571407, Grant 41730102, and Grant 41776186, in part by the Shanghai Youth Talent Support Program, in part by the Shuguang Program under Grant 18SG22, in part by the State Key Laboratory of Disaster Reduction in Civil Engineering under Grant SLDRCE19-B-35, and in part by the Fundamental Research Funds for the Central Universities. (Gang Hai and Yuan Cheng contributed equally to this work.)</t>
  </si>
  <si>
    <t>10.1109/JSTARS.2022.3156929</t>
  </si>
  <si>
    <t>0P4NK</t>
  </si>
  <si>
    <t>WOS:000784198000013</t>
  </si>
  <si>
    <t>Sallam, ES; Ruban, DA; Van Loon, AJ</t>
  </si>
  <si>
    <t>Sallam, Emad S.; Ruban, Dmitry A.; Van Loon, A. J. (Tom)</t>
  </si>
  <si>
    <t>Lagoonal carbonate deposition preceding rifting-related uplift: evidence from the Bartonian-Priabonian (Eocene) of the northwestern Gulf of Suez (Egypt)</t>
  </si>
  <si>
    <t>JOURNAL OF PALAEOGEOGRAPHY-ENGLISH</t>
  </si>
  <si>
    <t>Lagoonal facies; Sea-level fluctuations; Middle Eocene; Late Eocene; Eastern Desert</t>
  </si>
  <si>
    <t>GOZA EL-HAMRA; RED-SEA; SEQUENCE STRATIGRAPHY; LACUSTRINE SUCCESSION; ANTARCTIC GLACIATION; TECTONIC EVOLUTION; EASTERN DESERT; LEVEL; PLATFORM; MARGIN</t>
  </si>
  <si>
    <t>Sedimentary successions in the northwestern Gulf of Suez provide important clues to the understanding of the geological evolution of NE Africa during the middle and late Eocene. This study focuses on detailed facies analyses in order to characterize the depositional environments and system tracts of the Bartonian-Priabonian succession cropping out in this area. Bartonian-Priabonian carbonate deposits in five stratigraphic sections constitute, from base to top, the Gebel Hof, Observatory, Sannur, Qurn, and Wadi Hof Formations. These formations contain four local assemblage zones of larger benthic foraminifers. Analyses of litho-, bio-, and microfacies in the succession resulted in the recognition of 12 lithofacies types. These lithofacies are represented by packages of lime-mudstones, wackestones, packstones, pack- to grainstones, grainstones, rudstones, boundstones and dolomites. These lithofacies have been grouped into four geneticallyshoal bar, and outer-shelf lagoon/reefal depositional environments in a downslope shallow-marine inner-ramp setting. The vertical transitions of these facies associations, representing facies changes through time, imply fluctuations of the regional sea level. The two peaks in the Bartonian correspond to well-known global eustatic sea-level rises; the pronounced Priabonian regression must be ascribed to the known global eustatic sea-level fall in combination with regional tectonic activity. The facies distribution suggests that the study area was located in the direct vicinity of some islands during the Bartonian-Priabonian.</t>
  </si>
  <si>
    <t>[Sallam, Emad S.] Benha Univ, Fac Sci, Dept Geol, Farid Nada St 15, Banha 13518, Egypt; [Ruban, Dmitry A.] KG Razumovsky Moscow State Univ Technol &amp; Managem, Zemlyanoy Val St 73, Moscow 109004, Russia; [Van Loon, A. J. (Tom)] Shandong Univ Sci &amp; Technol, Coll Earth Sci &amp; Engn, Qingdao 266590, Shandong, Peoples R China</t>
  </si>
  <si>
    <t>Egyptian Knowledge Bank (EKB); Benha University; K.G. Razumovsky Moscow State University of Technologies &amp; Management the First Cossack University; Shandong University of Science &amp; Technology</t>
  </si>
  <si>
    <t>Van Loon, AJ (corresponding author), Shandong Univ Sci &amp; Technol, Coll Earth Sci &amp; Engn, Qingdao 266590, Shandong, Peoples R China.</t>
  </si>
  <si>
    <t>Geocom.VanLoon@gmail.com</t>
  </si>
  <si>
    <t>Ruban, Dmitry/W-7434-2019</t>
  </si>
  <si>
    <t>2095-3836</t>
  </si>
  <si>
    <t>2524-4507</t>
  </si>
  <si>
    <t>J PALAEOGEOG-ENGLISH</t>
  </si>
  <si>
    <t>J. Palaegeogr.</t>
  </si>
  <si>
    <t>10.1016/j.jop.2021.12.002</t>
  </si>
  <si>
    <t>Geosciences, Multidisciplinary; Paleontology</t>
  </si>
  <si>
    <t>0T0CN</t>
  </si>
  <si>
    <t>WOS:000786639200002</t>
  </si>
  <si>
    <t>Lim, HS; King, P; Chin, CKH; Chai, SH; Bose, N</t>
  </si>
  <si>
    <t>Lim, Hui Sheng; King, Peter; Chin, Christopher K. H.; Chai, Shuhong; Bose, Neil</t>
  </si>
  <si>
    <t>Real-time implementation of an online path replanner for an AUV operating in a dynamic and unexplored environment</t>
  </si>
  <si>
    <t>APPLIED OCEAN RESEARCH</t>
  </si>
  <si>
    <t>Autonomous underwater vehicle; Path planning; Particle swarm optimization; Hardware-in-the-loop simulation; Real-time systems</t>
  </si>
  <si>
    <t>PARTICLE SWARM OPTIMIZATION; ALGORITHM; VEHICLES; SYSTEM</t>
  </si>
  <si>
    <t>This study describes the implementation of an online path planner in an autonomous underwater vehicle (AUV) system by using an open-source system architecture, MOOS-IvP. The path planner employed a path replanning scheme and the selective differential evolution quantum-behaved particle swarm optimization (SDEQPSO) algorithm. The implementation was based on a modular framework to ensure the robustness of the path replanner during a mission. The performance of the path replanner was evaluated and verified under stochastic processes hardware-in-the-loop (HIL) tests, in which the replanner interacted with the onboard controllers and actuators of an Explorer AUV. The experimental results showed the path replanner can be run seamlessly with the hardware onboard an Explorer AUV in real time to generate and continuously refine a safe and feasible path for a dynamic and unexplored environment.</t>
  </si>
  <si>
    <t>[Lim, Hui Sheng; King, Peter; Chin, Christopher K. H.; Chai, Shuhong; Bose, Neil] Univ Tasmania, Australian Maritime Coll, Natl Ctr Maritime Engn &amp; Hydrodynam, Launceston, Tas 7250, Australia; [Bose, Neil] Mem Univ Newfoundland, St John, NF A1C 5S7, Canada</t>
  </si>
  <si>
    <t>University of Tasmania; Australian Maritime College; Memorial University Newfoundland</t>
  </si>
  <si>
    <t>Lim, HS (corresponding author), Univ Tasmania, Australian Maritime Coll, Natl Ctr Maritime Engn &amp; Hydrodynam, Launceston, Tas 7250, Australia.</t>
  </si>
  <si>
    <t>hui.lim@utas.edu.au</t>
  </si>
  <si>
    <t>Bose, Neil/AAG-6329-2019</t>
  </si>
  <si>
    <t>Bose, Neil/0000-0002-6444-0756; Lim, Hui Sheng/0000-0002-0385-615X; King, Peter/0000-0001-9436-0936</t>
  </si>
  <si>
    <t>Australian Research Council's Special Research Initiative for Antarctic Gateway Partnership [SR140300001]; Tasmania Graduate Research Scholarship by Australian Maritime College (AMC), University of Tasmania</t>
  </si>
  <si>
    <t>Australian Research Council's Special Research Initiative for Antarctic Gateway Partnership(Australian Research Council); Tasmania Graduate Research Scholarship by Australian Maritime College (AMC), University of Tasmania</t>
  </si>
  <si>
    <t>This research was supported by the Australian Research Council's Special Research Initiative for Antarctic Gateway Partnership (Project ID SR140300001). The first author was supported by a Tasmania Graduate Research Scholarship provided by the Australian Maritime College (AMC), University of Tasmania. The authors acknowledge Autonomous Maritime Systems Laboratory (AMSL) in AMC for the help in setting up the HIL experiments.</t>
  </si>
  <si>
    <t>0141-1187</t>
  </si>
  <si>
    <t>1879-1549</t>
  </si>
  <si>
    <t>APPL OCEAN RES</t>
  </si>
  <si>
    <t>Appl. Ocean Res.</t>
  </si>
  <si>
    <t>10.1016/j.apor.2021.103006</t>
  </si>
  <si>
    <t>Engineering, Ocean; Oceanography</t>
  </si>
  <si>
    <t>0N8QB</t>
  </si>
  <si>
    <t>WOS:000783095200002</t>
  </si>
  <si>
    <t>Bakunov, NA; Bolshiyanov, DY; Pravkin, SA; Makarov, AS</t>
  </si>
  <si>
    <t>Bakunov, N. A.; Bolshiyanov, D. Yu; Pravkin, S. A.; Makarov, A. S.</t>
  </si>
  <si>
    <t>Diffusion of 239,240Pu Global Fallout in Bottom Sediments of Water Bodies</t>
  </si>
  <si>
    <t>RADIOCHEMISTRY</t>
  </si>
  <si>
    <t>plutonium-239,240; migration; reservoirs; bottom sediments; diffusion coefficient</t>
  </si>
  <si>
    <t>The profile of Pu-239,Pu-240 global fallout in the bottom sediments (BS) of water bodies, the presence of a concentration gradient between BS layers, and the slow migration of plutonium made it possible to assume its transfer into the soil through the diffusion mechanism. We studied results of layer-by-layer analysis of Pu-239,Pu-240 levels in BS cores. The mechanism of migration of Pu-239,Pu-240 and the numerical characteristics of its transfer into the BS are determined. The low temperatures of the bottom and near-bottom waters of the studied reservoirs slowed down the diffusion of Pu-239,Pu-240 . Diffusion coefficients (D) during migration of Pu-239,Pu-240 increased from the near-surface layer of BS (0-2 cm) deep into the soil in the range n (10(-9)-10(-8)) cm(2)/s. Pu-239,Pu-240 migrated into the BS of Lake Ladoga to a depth of 8-12 cm. In the period 1964-1992 Pu-239,Pu-240 diffusion in BS of the Tsivolki Bay of the Kara Sea was characterized by similar D values: (3.4-4.6) x 10(-9)cm(2)/s. For similar to 28 years of migration, there was no significant decontamination of the surface layer of 0-1 cm soil from Pu-239,Pu-240 . It contained 28% of the total content of Pu-239,Pu-240 in the core. Low temperatures of the bottom and near-bottom waters of the bay (-1.0 and -1.2 degrees C) slowed down the decontamination of the soil from Pu-239,Pu-240. The forecast of migration of Pu-239,Pu-240 to the BS of the Tsivolki Bay for an exposure of 5 and 60 years is made.</t>
  </si>
  <si>
    <t>[Bakunov, N. A.; Bolshiyanov, D. Yu; Pravkin, S. A.; Makarov, A. S.] Arctic &amp; Antarctic Res Inst, St Petersburg 199397, Russia</t>
  </si>
  <si>
    <t>Pravkin, SA (corresponding author), Arctic &amp; Antarctic Res Inst, St Petersburg 199397, Russia.</t>
  </si>
  <si>
    <t>s.pravkin@aari.ru</t>
  </si>
  <si>
    <t>1066-3622</t>
  </si>
  <si>
    <t>1608-3288</t>
  </si>
  <si>
    <t>RADIOCHEMISTRY+</t>
  </si>
  <si>
    <t>Radiochemistry</t>
  </si>
  <si>
    <t>10.1134/S1066362222010131</t>
  </si>
  <si>
    <t>Chemistry, Analytical; Chemistry, Inorganic &amp; Nuclear</t>
  </si>
  <si>
    <t>0N3UH</t>
  </si>
  <si>
    <t>WOS:000782766400013</t>
  </si>
  <si>
    <t>Yuan, YZ; Guo, CS; Hu, CB; Wei, DP</t>
  </si>
  <si>
    <t>Yuan YiZhe; Guo ChangSheng; Hu CaiBo; Wei DongPing</t>
  </si>
  <si>
    <t>Numerical simulation of the subduction process of oceanic plate with ridges in the southern part of the Chile triple junction</t>
  </si>
  <si>
    <t>CHINESE JOURNAL OF GEOPHYSICS-CHINESE EDITION</t>
  </si>
  <si>
    <t>Triple junction; Subduction of accompanying ridges; Thermal structure of lithosphere; Heat flow</t>
  </si>
  <si>
    <t>VOLCANIC-ROCKS; HEAT-FLOW; COLLISION; GEOCHEMISTRY; MAGMATISM; BENEATH</t>
  </si>
  <si>
    <t>The triple junction is an important part of the global plate movement system. The expanding Chilean ridge subducted into the South American plate to form the Chile triple junction and caused drastic topographical changes within a few hundred kilometers in the south of the Chile triple junction. The differences in factors such as the initial angle of plate subduction and the rate of expansion of ocean ridges in the Chile triple junction have a significant impact on the thermal structure and topographical fluctuations of the South American plate lithosphere. In this paper, using the finite difference method, a two-dimensional numerical model of oceanic ridge subduction in Chile's triple junction area is constructed to simulate the dynamic process of oceanic ridge subduction, and to explore the mechanism of rock layer deformation, the distribution characteristics of surface heat flow during the subduction of expanding oceanic ridges and influencing factors. The results show that, compared with the subduction velocity, the subduction angle has a relatively greater impact on the surface heat flow. The calculated heat flow distribution at a smaller subduction angle (15) is more consistent with the interpolation data based on observation points. The greater the subduction rate, the larger the horizontal length of the temperature anomaly area of the overlying slab rock layer is. The maximum distance from the trench is 190 km. Our simulation results support the viewpiont that the southern Antarctic plate near the Chile triple junction with a low dip angle subducts to the bottom of the South American continental plate.</t>
  </si>
  <si>
    <t>[Yuan YiZhe; Guo ChangSheng; Hu CaiBo; Wei DongPing] Univ Chinese Acad Sci, Coll Earth &amp; Planetary Sci, Beijing 100049, Peoples R China; [Yuan YiZhe; Guo ChangSheng; Hu CaiBo; Wei DongPing] Chinese Acad Sci, Key Lab Computat Geodynam, Beijing 100049, Peoples R China</t>
  </si>
  <si>
    <t>Hu, CB (corresponding author), Univ Chinese Acad Sci, Coll Earth &amp; Planetary Sci, Beijing 100049, Peoples R China.;Hu, CB (corresponding author), Chinese Acad Sci, Key Lab Computat Geodynam, Beijing 100049, Peoples R China.</t>
  </si>
  <si>
    <t>yuanyizhe18@mails.ucas.ac.cn; hucb@ucas.ac.cn</t>
  </si>
  <si>
    <t>WEI, Dongping/J-3297-2012; guo, changs/HGT-8851-2022</t>
  </si>
  <si>
    <t>0001-5733</t>
  </si>
  <si>
    <t>CHINESE J GEOPHYS-CH</t>
  </si>
  <si>
    <t>Chinese J. Geophys.-Chinese Ed.</t>
  </si>
  <si>
    <t>10.6038/cjg2022P0107</t>
  </si>
  <si>
    <t>0D6XV</t>
  </si>
  <si>
    <t>WOS:000776136800008</t>
  </si>
  <si>
    <t>Thierry, NNB; Tang, H; Achille, NP; Xu, LX; Hu, FX</t>
  </si>
  <si>
    <t>Thierry, Nyatchouba Nsangue Bruno; Tang, Hao; Achille, Njomoue Pandon; Xu, Liuxiong; Hu, Fuxiang</t>
  </si>
  <si>
    <t>Unsteady turbulent flow developing inside and around different parts of fluttering trawl net in flume tank</t>
  </si>
  <si>
    <t>JOURNAL OF FLUIDS AND STRUCTURES</t>
  </si>
  <si>
    <t>Flow velocity fields; Electromagnetic current velocity meter; Fluttering motions; Unsteady turbulent flow; Hydrodynamics behavior; Selectivity</t>
  </si>
  <si>
    <t>HYDRODYNAMIC CHARACTERISTICS; COD-END; WAVELET; PANEL; MOTION; CAGES; FIELD; TILT</t>
  </si>
  <si>
    <t>Fluttering motions of a trawl are affected by its geometrical shape, natural underwater flows, and unsteady turbulent flow inside and around it. Thus, knowledge of the interaction between fluttering motions and the turbulent flow developing inside and around the different parts of the trawl is essential for understanding the hydrodynamic performance and selectivity of fishing gear. This paper assesses the coupled dynamics of the fluttering motions of different parts of a trawl and their hydrodynamics behavior. The analysis is based on three-dimensional electromagneticcurrentvelocitymeter measurements carried out inside and around different parts of a 1/18 scaled bottom trawl model. Instantaneous flow velocity fields and turbulent flow parameters were analyzed from obtained flow data. Moreover, fast Fourier transform and wavelet transform analysis were conducted to analyze the time-frequency contents of instantaneous flow velocity fields and fluctuating parts. The motions of different parts of the trawl net were oscillatory quasi-periodic and related to low frequency activity. The mean velocity ratios inside and around trawl wing, square, trawl body, and codend were 0.92, 0.89, 0.86, and 0.84, respectively. These results demonstrate the existence of unsteady turbulent flow inside and around different parts of the trawl. This unsteady turbulent flow corresponds to turbulent boundary layer flow, turbulent flow because of trawl wake, and vortex shedding. The dominant frequencies of these unsteady turbulent flows showed low frequency activities and wavelet energy was transferred from small-scale to large-scale motions under unsteady shear turbulence. In addition, knowledge of unsteady turbulent flow is greatly important for better understanding the hydrodynamic forces acting on a trawl and its geometrical shape as well as for implementing various selective devices and mesh shapes to reduce juvenile by-catch. (c) 2021 Elsevier Ltd. All rights reserved.</t>
  </si>
  <si>
    <t>[Thierry, Nyatchouba Nsangue Bruno; Tang, Hao; Xu, Liuxiong] Shanghai Ocean Univ, Coll Marine Sci, Shanghai 201306, Peoples R China; [Tang, Hao; Xu, Liuxiong] Natl Engn Res Ctr Ocean Fisheries, Shanghai 201306, Peoples R China; [Tang, Hao; Xu, Liuxiong] Minist Agr &amp; Rural Affairs, Key Lab Ocean Fisheries Explorat, Shanghai 201306, Peoples R China; [Tang, Hao; Xu, Liuxiong] Shanghai Ocean Univ, Key Lab Sustainable Exploitat Ocean Fisheries Res, Minist Educ, Shanghai 201306, Peoples R China; [Tang, Hao; Xu, Liuxiong] Shanghai Ocean Univ, Ctr Polar Res, Shanghai 201306, Peoples R China; [Achille, Njomoue Pandon] Univ Douala, Natl High Polytech Sch Douala, Lab E3M, Douala, Cameroon; [Hu, Fuxiang] Tokyo Univ Marine Sci &amp; Technol, Fac Marine Sci, Minato, Tokyo 1088477, Japan</t>
  </si>
  <si>
    <t>Shanghai Ocean University; National Engineering Research Center for Oceanic Fisheries; Ministry of Agriculture &amp; Rural Affairs; Shanghai Ocean University; Shanghai Ocean University; Tokyo University of Marine Science &amp; Technology</t>
  </si>
  <si>
    <t>Tang, H (corresponding author), Shanghai Ocean Univ, Coll Marine Sci, 999 Huchenghuan Rd, Shanghai 201306, Peoples R China.</t>
  </si>
  <si>
    <t>htang@shou.edu.cn</t>
  </si>
  <si>
    <t>Tang, Hao/GXH-6097-2022; xu, liu/KCL-1154-2024; Bruno, Nyatchouba Nsangue Thierry/AAZ-5386-2021</t>
  </si>
  <si>
    <t>Acknowledgments This study was financially supported by the National Natural Science Foundation of China (31902426) , the Shanghai Sailing Program (19YF1419800) , and the Special Project for the Exploitation and Utilization of Antarctic Biological Resources of Ministry of Agriculture and Rural Affairs (D-8002-18-0097) . We are also truly and deeply indebted to Mme. Kudzai Shamaine Tivatyi of Shanghai maritime university, China for the revision of the English version and we wish her a special happy birthday.</t>
  </si>
  <si>
    <t>0889-9746</t>
  </si>
  <si>
    <t>1095-8622</t>
  </si>
  <si>
    <t>J FLUID STRUCT</t>
  </si>
  <si>
    <t>J. Fluids Struct.</t>
  </si>
  <si>
    <t>10.1016/j.jfluidstructs.2021.103451</t>
  </si>
  <si>
    <t>Engineering, Mechanical; Mechanics</t>
  </si>
  <si>
    <t>Engineering; Mechanics</t>
  </si>
  <si>
    <t>0I0OV</t>
  </si>
  <si>
    <t>WOS:000779128400002</t>
  </si>
  <si>
    <t>Putzke, J; Schaefer, CEGR; Thomazini, A; Francelino, MR; Schünneman, AL; Vieira, FCB; Putzke, MTL; Schmitz, D; Laindorf, BL; Pereira, AB</t>
  </si>
  <si>
    <t>Putzke, Jair; Schaefer, Carlos E. G. R.; Thomazini, Andre; Francelino, Marcio R.; Schunneman, Adriano L.; Vieira, Frederico C. B.; Putzke, Marisa T. L.; Schmitz, Daniela; Laindorf, Bruna L.; Pereira, Antonio B.</t>
  </si>
  <si>
    <t>Changes in plant communities and soil attributes in the Cousteau's whale bone skeleton tourist attraction area in Keller Peninsula after 48 years</t>
  </si>
  <si>
    <t>Anthropogenic impacts; human activity; ice-free areas; landscape modification</t>
  </si>
  <si>
    <t>Ice-free areas of Antarctica represent an important study region that helps us understand how human activity affects plant communities and soil properties. The goal of this study was to determine the changes in plant composition and soil properties around a whale bone skeleton (WB) near Ferraz Station, King George Island, Antarctica from 1972 to 2020 (48 years). The WB was assembled in 1972 by Jacques-Yves Cousteau and his team. It is located in a large moss field and visited by many tourists. We studied the plant composition and development based on historical and recent photographs and phytosociological studies from 1986 to 2020. The soil was sampled in February 2009 to determine general properties. The results showed that human activity surrounding the WB directly affected the plant community composition and soil properties. The Syntrichia cushions were positively affected by the calcium deposits from bone dissolution. The principal component analysis revealed that mineralization of the bones increased soil nutrient assembly. A strong phosphatization process was observed in the WB area, similar to that in ornithogenic soils. The WB on the marine terrace enhanced soil fertility and changed the plant community.</t>
  </si>
  <si>
    <t>[Putzke, Jair; Schunneman, Adriano L.; Vieira, Frederico C. B.; Pereira, Antonio B.] Univ Fed Pampa UNIPAMPA, Programa Posgrad Ciencias Biol, Campus Sao Gabriel,Rua Aluizio Barros Macedo, BR-97300000 Sao Gabriel, RS, Brazil; [Schaefer, Carlos E. G. R.; Francelino, Marcio R.; Schmitz, Daniela] Univ Fed Vicosa UFV, Dept Solos, Av Peter Henry Rolfs,Campus Univ, BR-36570900 Vicosa, MG, Brazil; [Thomazini, Andre] Univ Fed Sao Joao Del Rei UFSJ, Dept Ciencias Agr DCIAG, Rua Setimo Moreira Martins 188, BR-35702031 Sete Lagoas, MG, Brazil; [Putzke, Marisa T. L.] Univ Santa Cruz do Sul UNISC, Dept Biol &amp; Farm, Av Independencia 2293, BR-96815900 Santa Cruz Do Sul, RS, Brazil; [Laindorf, Bruna L.] Inst Fed Sul Rio Grandense IFSUL, Estr Perimetral Leste 150, BR-99064440 Passo Fundo, RS, Brazil</t>
  </si>
  <si>
    <t>Universidade Federal do Pampa; Universidade Federal de Sao Joao del-Rei; Universidade de Santa Cruz do Sul; Instituto Federal Sul-Rio-Grandense (IFSul)</t>
  </si>
  <si>
    <t>Pereira, AB (corresponding author), Univ Fed Pampa UNIPAMPA, Programa Posgrad Ciencias Biol, Campus Sao Gabriel,Rua Aluizio Barros Macedo, BR-97300000 Sao Gabriel, RS, Brazil.</t>
  </si>
  <si>
    <t>anbatistape@gmail.com</t>
  </si>
  <si>
    <t>Pereira, Antonio B/I-8201-2014; Francelino, Marcio Rocha/AAS-4224-2020; Putzke, Jair/P-9380-2019; Schmitz, Daniela/AAY-8008-2020</t>
  </si>
  <si>
    <t>Pereira, Antonio B/0000-0003-0368-4594; Francelino, Marcio Rocha/0000-0001-8837-1372; Schmitz, Daniela/0000-0002-3162-2430; Thomazini, Andre/0000-0001-5613-0494; Vieira, Frederico/0000-0001-5565-7593; , jair/0000-0002-9018-9024</t>
  </si>
  <si>
    <t>Brazilian Antarctic Program through CNPq [574018/2008]; Fundacao de Amparo a Pesquisa do Estado do Rio de Janeiro - FAPERJ [E-26/170.023/2008]; Ministerio da Ciencia, Tecnologia e Inovacao - MCTI; Ministerio do Meio Ambiente - MMA; CIRM, through INCT-APA; Conselho Nacional de Desenvolvimento Cientifico e Tecnologico (CNPq) [556794/2009-5]; Ministerio da Ciencia, Tecnologia e Inovacao (MCTI); Universidade Federal do Pampa; Project Geospaco [CNPq/PROANTAR: 556872/2009-6]</t>
  </si>
  <si>
    <t>Brazilian Antarctic Program through CNPq; Fundacao de Amparo a Pesquisa do Estado do Rio de Janeiro - FAPERJ(Fundacao Carlos Chagas Filho de Amparo a Pesquisa do Estado do Rio De Janeiro (FAPERJ)); Ministerio da Ciencia, Tecnologia e Inovacao - MCTI; Ministerio do Meio Ambiente - MMA; CIRM, through INCT-APA; Conselho Nacional de Desenvolvimento Cientifico e Tecnologico (CNPq)(Conselho Nacional de Desenvolvimento Cientifico e Tecnologico (CNPQ)); Ministerio da Ciencia, Tecnologia e Inovacao (MCTI); Universidade Federal do Pampa; Project Geospaco</t>
  </si>
  <si>
    <t>This work was supported by the Brazilian Antarctic Program through CNPq (process no. 574018/2008), Fundacao de Amparo a Pesquisa do Estado do Rio de Janeiro - FAPERJ (process no. E-26/170.023/2008) Ministerio da Ciencia, Tecnologia e Inovacao - MCTI, Ministerio do Meio Ambiente - MMA and CIRM, through INCT-APA. We acknowledge the Conselho Nacional de Desenvolvimento Cientifico e Tecnologico (CNPq) (556794/2009-5) and Ministerio da Ciencia, Tecnologia e Inovacao (MCTI) for granting financial support. This work is a contribution of the INCT-Criosfera TERRANTAR group. We thank the Universidade Federal do Pampa, for support. Thanks for the Project Geospaco (http://www.inepe.br/crs/pan/pesquisas/geoespaco.htp), process CNPq/PROANTAR: 556872/2009-6, for the GNSS base data.</t>
  </si>
  <si>
    <t>e20191467</t>
  </si>
  <si>
    <t>10.1590/0001-3765202220191467</t>
  </si>
  <si>
    <t>0H5NE</t>
  </si>
  <si>
    <t>WOS:000778778500001</t>
  </si>
  <si>
    <t>Rodrigues, WF; Machado, MR; de Oliveira, FS; Schaefer, CEGR; Leite, MGP; Michel, RFM; Gauzzi, T</t>
  </si>
  <si>
    <t>Rodrigues, William F.; Machado, Mariana R.; de Oliveira, Fabio S.; Schaefer, Carlos Ernesto G. R.; Leite, Mariangela G. P.; Michel, Roberto F. M.; Gauzzi, Teodoro</t>
  </si>
  <si>
    <t>Soil-chronosequence and Quaternary landscape evolution at the marine terraces of Harmony Point, Nelson Island, Maritime Antarctica</t>
  </si>
  <si>
    <t>Antarctic soils; Holocene beaches; Ornithogenic soils; Soil mineralogy; Glacier-isostatic uplift</t>
  </si>
  <si>
    <t>SOUTH-SHETLAND-ISLANDS; KING-GEORGE-ISLAND; WELL-DRAINED SOILS; LIVINGSTON-ISLAND; ORNITHOGENIC SOILS; PEDOGENIC ZONATION; HURD PENINSULA; ADMIRALTY BAY; CLAY-MINERALS; HOPE BAY</t>
  </si>
  <si>
    <t>This study characterized the physical, chemical, macro-and micromorphological soil properties from three successive marine terrace levels from Harmony Point (Nelson Island, Maritime Antarctica) in order to understand the pedological signatures of Quaternary coastal landscape evolution of Maritime Antarctica. Soils were sampled on the Late Holocene beach (current beach) and Mid Holocene marine terraces higher up, at 3, 8, and 12 m a.s.l. At the lower levels, the predominant soils were Gelorthents, whereas Haplogelepts dominate the higher terraces. Soil properties are mostly influenced by parent material and faunal activity, in which cryoclastic (thermal weathering) and phosphatization are the main soil-forming processes. Soils from the upper levels are more developed, deeper with reddish colors, granular structures and incipient formation B horizon. These horizonation features highlight that soils vary according with age of glacier-isostatic terrace uplift, representing a Quaternary soil chronosequence. All marine terrace levels are Ornithogenic soils, at varying degrees. However, the presence of old bird nesting sites for long periods led to formation of phosphatic horizons, stable Fe-phosphate minerals and abundant vegetation in the highest terraces of this part of Maritime Antarctica.</t>
  </si>
  <si>
    <t>[Rodrigues, William F.; Leite, Mariangela G. P.] Univ Fed Ouro Preto, Dept Geol, Pandia Calogeras St S-N, BR-35400000 Ouro Preto, MG, Brazil; [Machado, Mariana R.; de Oliveira, Fabio S.] Univ Fed Minas Gerais, Inst Geosci, Dept Geog, Antonio Carlos Av 662, BR-31270901 Belo Horizonte, MG, Brazil; [Schaefer, Carlos Ernesto G. R.] Univ Fed Vicosa, Dept Soil, PH Rolfs Av, BR-36570000 Vicosa, MG, Brazil; [Michel, Roberto F. M.] UniBH Ctr Univ Belo Horizonte, Prof Mario Werneck Av 1685, BR-30455610 Belo Horizonte, MG, Brazil; [Michel, Roberto F. M.] Univ Fed Minas Gerais, Ctr Microscopia, Antonio Carlos Av 662, BR-30123970 Belo Horizonte, MG, Brazil; [Gauzzi, Teodoro] Fed Univ Santa Cruz, Dept Geog, Km 1, BR-45662900 Ilheus, BA, Brazil</t>
  </si>
  <si>
    <t>Universidade Federal de Ouro Preto; Universidade Federal de Minas Gerais; Universidade Federal de Vicosa; Centro Universitario UNA; Centro Universitario de Belo Horizonte; Universidade Federal de Minas Gerais</t>
  </si>
  <si>
    <t>Rodrigues, WF (corresponding author), Univ Fed Ouro Preto, Dept Geol, Pandia Calogeras St S-N, BR-35400000 Ouro Preto, MG, Brazil.</t>
  </si>
  <si>
    <t>willfordrigues@gmail.com</t>
  </si>
  <si>
    <t>Machado, Mariana/0000-0002-1180-6363; Oliveira, Fabio/0000-0002-1450-7609; Leite, Mariangela/0000-0002-9789-3786; Fortes, William/0000-0003-0980-282X</t>
  </si>
  <si>
    <t>Conselho Nacional de Desenvolvimento Cientifico e Tecnologico (CNPq); Coordenacao de Aperfeicoamento de Pessoal de Nivel Superior (CAPES); Fundacao de Amparo a Pesquisa do Estado de Minas Gerais (FAPEMIG); INCT da Criosfera; TERRANTAR; PERMACLIMA; MARINHA DO BRASIL (PROANTAR PROGRAM)</t>
  </si>
  <si>
    <t>Conselho Nacional de Desenvolvimento Cientifico e Tecnologico (CNPq)(Conselho Nacional de Desenvolvimento Cientifico e Tecnologico (CNPQ)); Coordenacao de Aperfeicoamento de Pessoal de Nivel Superior (CAPES)(Coordenacao de Aperfeicoamento de Pessoal de Nivel Superior (CAPES)); Fundacao de Amparo a Pesquisa do Estado de Minas Gerais (FAPEMIG)(Fundacao de Amparo a Pesquisa do Estado de Minas Gerais (FAPEMIG)); INCT da Criosfera; TERRANTAR; PERMACLIMA; MARINHA DO BRASIL (PROANTAR PROGRAM)</t>
  </si>
  <si>
    <t>The Conselho Nacional de Desenvolvimento Cientifico e Tecnologico (CNPq), Coordenacao de Aperfeicoamento de Pessoal de Nivel Superior (CAPES) and Fundacao de Amparo a Pesquisa do Estado de Minas Gerais (FAPEMIG) for financial support. We are grateful to INCT da Criosfera, TERRANTAR, PERMACLIMA and MARINHA DO BRASIL (PROANTAR PROGRAM) are acknowledged for financial support and field assistance.</t>
  </si>
  <si>
    <t>e20201141</t>
  </si>
  <si>
    <t>10.1590/0001-3765202220201141</t>
  </si>
  <si>
    <t>0H5NH</t>
  </si>
  <si>
    <t>WOS:000778778800001</t>
  </si>
  <si>
    <t>Chacón, MDG</t>
  </si>
  <si>
    <t>Gonzalez Chacon, Maria del Mar</t>
  </si>
  <si>
    <t>Theatre That Speaks to Its Moment: Melt (2017) by Shane Mac an Bhaird</t>
  </si>
  <si>
    <t>ESTUDIOS IRLANDESES</t>
  </si>
  <si>
    <t>Shane Mac an Bhaird; Melt; Anthropocene; social activism; environmental impact; contemporary Irish theatre</t>
  </si>
  <si>
    <t>In Melt (2017), by Shane Mac an Bhaird, two Irish scientists struggle in the Antarctic to reach glory from their research while Veba, a female creature found in the subglacial lake, questions the reality or fantasy of the episode. The study carried out in this article considers, first, the context of creation of the play through the presentation of the concept of new Irish theatres in the millennium, which involves the appearance of companies and social activism movements that challenge the notion of what theatre means. This is followed by an analysis of Ireland and the Anthropocene, to contextualise the play themes and include other social justice activisms, in the form of cultural projects, which encourage the reduction of the environmental impact and provide a backdrop against which Melt emerged. The approach to the play from these perspectives will lead to the conclusions, which aim to show why Mac an Bhaird's work offers and confirms new perspectives in contemporary Irish theatre. Furthermore, the study aims to contribute to the deserving scholarship for this play, which has not yet received much critical attention.</t>
  </si>
  <si>
    <t>[Gonzalez Chacon, Maria del Mar] Univ Oviedo, Dept English French &amp; German Philol, Principality Of Asturias, Spain</t>
  </si>
  <si>
    <t>University of Oviedo</t>
  </si>
  <si>
    <t>Chacón, MDG (corresponding author), Univ Oviedo, Dept English French &amp; German Philol, Principality Of Asturias, Spain.</t>
  </si>
  <si>
    <t>gonzalezmar@uniovi.es</t>
  </si>
  <si>
    <t>Gonzalez-Chacon, Maria del Mar/L-6187-2014</t>
  </si>
  <si>
    <t>Gonzalez-Chacon, Maria del Mar/0000-0001-9722-8033</t>
  </si>
  <si>
    <t>SPANISH ASSOC IRISH STUDIES</t>
  </si>
  <si>
    <t>BARCELONA</t>
  </si>
  <si>
    <t>SPANISH ASSOC IRISH STUDIES, BARCELONA, 00000, SPAIN</t>
  </si>
  <si>
    <t>1699-311X</t>
  </si>
  <si>
    <t>ESTUD IRL</t>
  </si>
  <si>
    <t>Estud. Irl.</t>
  </si>
  <si>
    <t>10.24162/EI2022-10705</t>
  </si>
  <si>
    <t>ZZ5JA</t>
  </si>
  <si>
    <t>WOS:000773303700002</t>
  </si>
  <si>
    <t>Xing, XM; Zhu, YK; Xu, WB; Peng, W; Yuan, Z</t>
  </si>
  <si>
    <t>Xing, Xuemin; Zhu, Yikai; Xu, Wenbin; Peng, Wei; Yuan, Zhihui</t>
  </si>
  <si>
    <t>Measuring Subsidence Over Soft Clay Highways Using a Novel Time-Series InSAR Deformation Model With an Emphasis on Rheological Properties and Environmental Factors (NREM)</t>
  </si>
  <si>
    <t>Strain; Road transportation; Deformable models; Soil; Monitoring; Load modeling; Mathematical models; Deformation monitoring; environmental factors; highway; interferometric synthetic aperture radar (InSAR) time series; rheology; soft clay</t>
  </si>
  <si>
    <t>LAND SUBSIDENCE; PERMANENT SCATTERERS; URBANIZATION; RESOLUTION; ALGORITHM</t>
  </si>
  <si>
    <t>Long-term monitoring of highways in soft soil areas, especially during the postconstruction period, is of great significance to ensure transportation safety and the quality of highway construction. Multitemporal interferometric synthetic aperture radar (MTInSAR) provides an effective tool for soft clay highway monitoring. However, most time-series models used in MTInSAR modeling are empirical mathematical functions, which ignores the physical properties of the observed objects and may limit the accuracy of the retrieved deformation and the understanding of the underground settlement dynamics. We propose a novel InSAR time-series deformation model (namely, NREM) with an emphasis on the rheological mechanisms for soft soil highways and environmental factors (temperature, humidity, and precipitation) to improve the accuracy of the traditional InSAR model and assist in the analyzing the rheological properties of soft soil. The NREM is constructed based on a combination of the seasonal model and the Burgers model introduced from the field of rheology. The primary parameters (i.e., viscosity and elastic modulus) are introduced in the NREM and estimated with the generation of time-series surface deformation. In the real data experiments, two highways are selected as the test areas. The results show that the standard deviations (STDs) of the high-pass deformation, which can reflect the modeling accuracy, derived by the NREM are lower than those of the three traditional models, yielding an improvement of 45% for the Lungui Highway (LH) and 50% for the G1508 Highway (GH). The root mean square errors (RMSEs) for deformation results derived from NREM are estimated to be +/- 5.1 mm compared with the leveling measurements, which outperforms the traditional models. The obtained rheological parameters can broaden the application of InSAR technology and provide a reference for highway engineering.</t>
  </si>
  <si>
    <t>[Xing, Xuemin; Peng, Wei] Changsha Univ Sci &amp; Technol, Sch Traff &amp; Transportat Engn, Changsha 410014, Peoples R China; [Xing, Xuemin; Peng, Wei; Yuan, Zhihui] Changsha Univ Sci &amp; Technol, Lab Radar Remote Sensing Applicat, Changsha 410014, Peoples R China; [Zhu, Yikai] Wuhan Univ, Chinese Antarctic Ctr Surveying &amp; Mapping, Wuhan 430079, Peoples R China; [Xu, Wenbin] Cent South Univ, Sch Geosci &amp; Info Phys, Changsha 410083, Peoples R China; [Yuan, Zhihui] Changsha Univ Sci &amp; Technol, Sch Elect &amp; Informat Engn, Changsha 410014, Peoples R China</t>
  </si>
  <si>
    <t>Changsha University of Science &amp; Technology; Changsha University of Science &amp; Technology; Wuhan University; Central South University; Changsha University of Science &amp; Technology</t>
  </si>
  <si>
    <t>Xu, WB (corresponding author), Cent South Univ, Sch Geosci &amp; Info Phys, Changsha 410083, Peoples R China.</t>
  </si>
  <si>
    <t>xuemin.xing@csust.edu.cn; zhuyikai@whu.edu.cn; wenbin.xu@csu.edu.cn; pengwei@csust.edu.cn; yuanzhihui@csust.edu.cn</t>
  </si>
  <si>
    <t>Zhu, Yikai/AAW-6284-2021; Yuan, Zhihiui/T-2706-2019; Xu, Wenbin/E-8492-2017</t>
  </si>
  <si>
    <t>Zhu, Yikai/0000-0002-6613-0188; Yuan, Zhihiui/0000-0001-7100-826X; Xu, Wenbin/0000-0001-7294-8229; Xing, Xuemin/0000-0002-7741-4899</t>
  </si>
  <si>
    <t>National Natural Science Foundation of China [42074033, 41701536, 61701047]; Natural Science Foundation of Hunan Province [2019JJ50639]; Key Project of Education Department of Hunan Province [18A148]</t>
  </si>
  <si>
    <t>National Natural Science Foundation of China(National Natural Science Foundation of China (NSFC)); Natural Science Foundation of Hunan Province(Natural Science Foundation of Hunan Province); Key Project of Education Department of Hunan Province</t>
  </si>
  <si>
    <t>This work was supported in part by the National Natural Science Foundation of China under Grant 42074033, Grant 41701536, and Grant 61701047; in part by the Natural Science Foundation of Hunan Province under Grant 2019JJ50639; and in part by the Key Project of Education Department of Hunan Province under Grant 18A148.</t>
  </si>
  <si>
    <t>10.1109/TGRS.2022.3154430</t>
  </si>
  <si>
    <t>0F4OV</t>
  </si>
  <si>
    <t>WOS:000777341600016</t>
  </si>
  <si>
    <t>Costa, V; Rosa, KK; Sandes, A; Delpupo, C; Vieira, R</t>
  </si>
  <si>
    <t>Costa, Vanessa; Rosa, Katia K.; Sandes, Allan; Delpupo, Caroline; Vieira, Rosemary</t>
  </si>
  <si>
    <t>Sedimentary evidence of glacial entrainment at Patriot Hills and Union Glacier moraines, Ellsworth Mountains, West Antarctica</t>
  </si>
  <si>
    <t>Antarctica; Ellsworth Mountains; sedimentology; geochemistry; glacial geomorphology</t>
  </si>
  <si>
    <t>BLUE-ICE AREAS; MASS-BALANCE; HORSESHOE VALLEY; HERITAGE RANGE; CLIMATE RECORD; DRY VALLEY; SHEET; INDEPENDENCE; PLEISTOCENE; EVOLUTION</t>
  </si>
  <si>
    <t>This work aims to analyze and compare the sedimentological data of Ellsworth Mountains, West Antarctica: Patriot/Independence Hills and Union Glacier, and how sedimentological data can be used to infer sediment entrainment. Particular attention was concentrated on morainic deposits. Remote sensing data was used in the identification of deposits and the ice flow; granulometric, morphoscopic, and geochemical analyses were applied to investigate the sedimentary origin and transport history. Sediment rich in Si Al, Fe, and Ca predominate in Independence Hills and Rossman Cove but Ca prevails in Elephant Head. CIA indicated low values, which depict low chemical weathering processes. X-ray diffraction reveals the presence of minerals that constitute the local rocks in the Union Glacier area, and from the unexposed basement rocks in Independence Hills. Principal Component Analysis and Cluster Analysis results suggest the sediment is related to the local rocks in the Union Glacier and distinct exotic sources in Independence Hills, associated with far-traveled sediment. It is also observed the influence of distinct processes of entrainment sediment on its granulometric and morphoscopic characteristics.</t>
  </si>
  <si>
    <t>[Costa, Vanessa; Vieira, Rosemary] Univ Fed Fluminense, Inst Geociencias, Dept Geog, Av Gal Milton Tavares de Souza S-N, BR-24210346 Niteroi, RJ, Brazil; [Sandes, Allan] Univ Fed Fluminense, Inst Geociencias, Av Gal Milton Tavares de Souza S-N, BR-24210346 Niteroi, RJ, Brazil; [Rosa, Katia K.] Univ Fed Rio Grande do Sul, Ctr Polar &amp; Climat, Dept Geog, Av Bento Goncalves 9500, BR-91501970 Porto Alegre, RS, Brazil; [Delpupo, Caroline] Inst Fed Minas Gerais, Campus Ouro Preto,Rua Pandia CalOgeras 898, BR-35400000 Ouro Preto, MG, Brazil</t>
  </si>
  <si>
    <t>Universidade Federal Fluminense; Universidade Federal Fluminense; Universidade Federal do Rio Grande do Sul; Instituto Federal de Educacao, Ciencia e Tecnologia de Minas Gerais (IFMG)</t>
  </si>
  <si>
    <t>Vieira, R (corresponding author), Univ Fed Fluminense, Inst Geociencias, Dept Geog, Av Gal Milton Tavares de Souza S-N, BR-24210346 Niteroi, RJ, Brazil.</t>
  </si>
  <si>
    <t>rosemarvieira@id.uff.br</t>
  </si>
  <si>
    <t>da Rosa, Kátia Kellem/AAO-8367-2020; Delpupo Souza, Caroline/L-7578-2017</t>
  </si>
  <si>
    <t>da Rosa, Kátia Kellem/0000-0003-0977-9658; Delpupo Souza, Caroline/0000-0001-5055-3963; Vieira, Rosemary/0000-0003-0312-2890</t>
  </si>
  <si>
    <t>Conselho Nacional de Desenvolvimento Cientifico e Tecnologico (CNPq); Brazilian National Institute for Cryospheric Sciences</t>
  </si>
  <si>
    <t>Conselho Nacional de Desenvolvimento Cientifico e Tecnologico (CNPq)(Conselho Nacional de Desenvolvimento Cientifico e Tecnologico (CNPQ)); Brazilian National Institute for Cryospheric Sciences</t>
  </si>
  <si>
    <t>The authors thank the Conselho Nacional de Desenvolvimento Cientifico e Tecnologico (CNPq) and the Brazilian National Institute for Cryospheric Sciences for financing the research, and the Brazilian Antarctic Program for the expedition logistics. The authors also thank Jorge Arigony Neto (Rio Grande Federal University - FURG) for the ASTER imagery. Special thanks to the reviewers and Kathy Licht for the suggestions and corrections that improved significantly the original manuscript.</t>
  </si>
  <si>
    <t>e20210114</t>
  </si>
  <si>
    <t>10.1590/0001-3765202220210114</t>
  </si>
  <si>
    <t>0H5NQ</t>
  </si>
  <si>
    <t>WOS:000778779700001</t>
  </si>
  <si>
    <t>Wang, SS; Zhou, DQ; Lin, HY</t>
  </si>
  <si>
    <t>Wang, Shanshan; Zhou, Deqing; Lin, Haiyan</t>
  </si>
  <si>
    <t>Ameliorative effects of phosphorylated peptide from Antarctic krill (Euphausia superba) against H2O2-induced damage in MC3T3-E1 cells</t>
  </si>
  <si>
    <t>phosphorylation; Antarctic krill peptides; antioxidant activity; oxidative damage; MC3T3-E1 cells</t>
  </si>
  <si>
    <t>EGG-WHITE PROTEIN; MINERALIZATION; OSTEOPOROSIS; IMPROVEMENT</t>
  </si>
  <si>
    <t>Phosphorylated peptide from Antarctic krill (P-AKP) was prepared by the dry-heating method with sodium pyrophosphate in order to improve its antioxidant activity and osteogenic activity. P-AKP exhibited more competitive DPPH center dot and OH center dot scavenging activities compared to the native Antarctic krill peptide (AKP). In hydrogen peroxide (H2O2)-induced oxidative damage of MC3T3-E1 cells, both AKP and P-AKP pretreatment could dose-dependently improve superoxide dismutase (SOD) and catalase (CAT) activities through attenuating the accumulation of reactive oxygen species (ROS) and malondialdehyde (MDA) production. Moreover, AKP and P-AKP prevented oxidative stress-induced down regulation of alkaline phosphatase (ALP) activity and matrix mineralization. Particularly, the promoting effects of P-AKP on the enzymatic antioxidant defense system, differentiation and mineralization was higher than that of AKP. These results suggested that phosphorylation might be a promising approach to improve the antioxidant and osteogenic activity of AKP, and P-AKP could be a beneficial agent for attenuating oxidative stress-related bone loss.</t>
  </si>
  <si>
    <t>[Wang, Shanshan; Zhou, Deqing; Lin, Haiyan] Chinese Acad Fishery Sci, Yellow Sea Fisheries Res Inst, Qingdao, Peoples R China; [Zhou, Deqing] Pilot Natl Lab Marine Sci &amp; Technol Qingdao, Lab Marine Drugs &amp; Bioprod, Qingdao, Peoples R China</t>
  </si>
  <si>
    <t>Chinese Academy of Fishery Sciences; Yellow Sea Fisheries Research Institute, CAFS; Laoshan Laboratory</t>
  </si>
  <si>
    <t>Wang, SS (corresponding author), Chinese Acad Fishery Sci, Yellow Sea Fisheries Res Inst, Qingdao, Peoples R China.</t>
  </si>
  <si>
    <t>wsstougao@126.com</t>
  </si>
  <si>
    <t>Wang, Shanshan/D-2283-2014</t>
  </si>
  <si>
    <t>National Natural Science Foundation of China [41706166]; Central Publicinterest Scientific Institution Basal Research Fund, CAFS [2020XT0502]</t>
  </si>
  <si>
    <t>National Natural Science Foundation of China(National Natural Science Foundation of China (NSFC)); Central Publicinterest Scientific Institution Basal Research Fund, CAFS</t>
  </si>
  <si>
    <t>This study was supported by National Natural Science Foundation of China (No. 41706166) and Central Publicinterest Scientific Institution Basal Research Fund, CAFS (NO. 2020XT0502).</t>
  </si>
  <si>
    <t>e64920</t>
  </si>
  <si>
    <t>10.1590/fst.64920</t>
  </si>
  <si>
    <t>ZZ6NU</t>
  </si>
  <si>
    <t>WOS:000773384000010</t>
  </si>
  <si>
    <t>Moreira, ERB; Ottoni, JR; De Oliveira, VM; Passarini, MRZ</t>
  </si>
  <si>
    <t>Moreira, Elizandra R. B.; Ottoni, Julia R.; De Oliveira, Valeria M.; Passarini, Michel Rodrigo Z.</t>
  </si>
  <si>
    <t>Potential for resistance to freezing by non-virulent bacteria isolated from Antarctica</t>
  </si>
  <si>
    <t>extremophilic bacteria; low temperature; virulence factors; hydrolytic enzymes; proteinase; hemolysis</t>
  </si>
  <si>
    <t>ANTIFREEZE PROTEIN; VIRULENCE FACTORS; ANTIBIOTIC-RESISTANCE; GENOME SEQUENCE; IN-VITRO; TEMPERATURE; MECHANISM; STRAINS; AGENTS; NOV.</t>
  </si>
  <si>
    <t>Industrial sectors are searching for new compounds to improve the preservation of food and blood, human tissues, and fuels used at low temperatures. Antarctic microorganisms have mechanisms to overcome injuries caused by low temperatures, making them sources of compounds with antifreeze activity. However, it is mandatory that such compounds do not pose a risk to human health. The present study evaluated the potential of Antarctic bacteria to resist freezing, produce virulence factors, their tolerance to physiological pHs/temperature and resistance to antibiotics. Sixty-five isolates were tested for antifreeze compound production, among which, 31 grew after the test. Of these, 3 strains of Arthrobacter sp. (356, 358 and 443), one Psychromonas arctica (ESH238) and one unidentified strain (363) showed positive results for hemolytic activity. Psychrobacter sp. 456 showed proteinase activity. None of the isolates showed resistance to the antibiotics. All isolates were able to grow in one of the three pHs (4, 7 and 8) and/or temperature (36, 38 and 40 degrees C). Antarctic bacterial present potential for the production of antifreeze compounds and may be considered safe in industrial processes. The characterization of the genes responsible for virulence factors should be carried out to reinforce the potential applicability of such bacteria.</t>
  </si>
  <si>
    <t>[Moreira, Elizandra R. B.; Ottoni, Julia R.; Passarini, Michel Rodrigo Z.] Univ Fed Integracao Latino Amer UNILA, Lab Biotecnol Ambiental, Av Tarquinio Joslin dos Santos,Jd Univ 1000, BR-85870650 Foz Do Iguacu, PR, Brazil; [De Oliveira, Valeria M.] CPQBA UNICAMP Div Recursos Microbianos, Rua Alexandre Cazelatto 999, BR-13148218 Paulinia, SP, Brazil</t>
  </si>
  <si>
    <t>Universidade Federal da Integracao Latino-Americana</t>
  </si>
  <si>
    <t>Passarini, MRZ (corresponding author), Univ Fed Integracao Latino Amer UNILA, Lab Biotecnol Ambiental, Av Tarquinio Joslin dos Santos,Jd Univ 1000, BR-85870650 Foz Do Iguacu, PR, Brazil.</t>
  </si>
  <si>
    <t>michel.passarini@unila.edu.com.br</t>
  </si>
  <si>
    <t>Ottoni, Júlia R/N-2728-2016; Oliveira, Valéria Maia/L-2422-2014</t>
  </si>
  <si>
    <t>Ottoni, Júlia R/0000-0003-1229-7676; Oliveira, Valéria Maia/0000-0001-8817-4758; Zambrano Passarini, Michel/0000-0002-8614-1896</t>
  </si>
  <si>
    <t>Institutional Program Priority Latin America [105/2020]; Caribbean EDITAL PRPPG [105/2020]; Program for Researcher Integration EDITAL PRPPG [80/2019]</t>
  </si>
  <si>
    <t>Institutional Program Priority Latin America; Caribbean EDITAL PRPPG; Program for Researcher Integration EDITAL PRPPG</t>
  </si>
  <si>
    <t>This work was supported by the Institutional Program Priority Latin America and the Caribbean EDITAL PRPPG N degrees 105/2020 and by the Program for Researcher Integration EDITAL PRPPG N degrees 80/2019.</t>
  </si>
  <si>
    <t>e20210459</t>
  </si>
  <si>
    <t>10.1590/0001-3765202220210459</t>
  </si>
  <si>
    <t>ZX2VO</t>
  </si>
  <si>
    <t>WOS:000771757700001</t>
  </si>
  <si>
    <t>Castro, MF; Meier, M; Neves, JCL; Francelino, MR; Schaefer, CEGR; Oliveira, TS</t>
  </si>
  <si>
    <t>Castro, Marllon F.; Meier, Martin; Neves, Julio C. L.; Francelino, Marcio R.; Schaefer, Carlos Ernesto G. R.; Oliveira, Teogenes S.</t>
  </si>
  <si>
    <t>Influence of different seabird species on trace metals content in Antarctic soils</t>
  </si>
  <si>
    <t>biotransportation; contamination; extractors; mercury; ornithogenic soils; heavy metals</t>
  </si>
  <si>
    <t>KING GEORGE ISLAND; ROSS SEA REGION; DIFFERENT LOCATIONS; HEAVY-METALS; MERCURY; PENGUINS; VARIABILITY; PENINSULA; SEDIMENTS; EXTRACTION</t>
  </si>
  <si>
    <t>The behavior and feeding habits of different species of seabirds can influence the enrichment of trace metals in Antarctic soils. This study aimed to evaluate the influence of different species of seabirds on the concentrations of potentially toxic metals in Antarctic soils. For this, we collected soil samples in areas influenced by penguins, kelp gulls, and giant petrels. We analyzed the concentration of total organic carbon (TOC), total nitrogen (TN), available phosphorus (P) and metals by three different methods of extraction: USEPA 3051A, Mehlich-1, and distilled water. The concentrations of Cr and Hg presented positive correlations with P, TOC, and TN by the USEPA 3051A method, indicating the biotransport of these metals by seabirds. Soils influenced by penguins showed higher levels of P, TOC, TN, Cr, and Hg. Comparing the results from the different extractors, we found that Hg had the highest relative levels in the exchangeable fraction and the soil solution. Therefore, the soils with the influence of penguins present higher levels of biotransported trace metals, but this does not necessarily mean that these birds have a higher biotransport potential, since the concentration of trace metals in these soils may be related to their degree of ornithogenesis.</t>
  </si>
  <si>
    <t>[Castro, Marllon F.; Meier, Martin; Neves, Julio C. L.; Francelino, Marcio R.; Schaefer, Carlos Ernesto G. R.; Oliveira, Teogenes S.] Univ Fed Vicosa, Dept Solos, Ave Peter Henry Rolfs S-N, BR-36570900 Vicosa, MG, Brazil</t>
  </si>
  <si>
    <t>Universidade Federal de Vicosa</t>
  </si>
  <si>
    <t>Castro, MF (corresponding author), Univ Fed Vicosa, Dept Solos, Ave Peter Henry Rolfs S-N, BR-36570900 Vicosa, MG, Brazil.</t>
  </si>
  <si>
    <t>marllon.castro@ufv.br</t>
  </si>
  <si>
    <t>Neves, Julio/ABE-1893-2020; Francelino, Marcio Rocha/AAS-4224-2020; Oliveira, Teogenes/I-2552-2012</t>
  </si>
  <si>
    <t>Neves, Julio/0000-0001-8356-5100; Francelino, Marcio Rocha/0000-0001-8837-1372; Castro, Marllon/0000-0002-0851-6007; Oliveira, Teogenes/0000-0002-9904-6708</t>
  </si>
  <si>
    <t>Coordenacao de Aperfeicoamento de Pessoal de Nivel Superior - Brazil (CAPES) [001]; Conselho Nacional de Desenvolvimento Cientifico e Tecnologico (CNPq)</t>
  </si>
  <si>
    <t>Coordenacao de Aperfeicoamento de Pessoal de Nivel Superior - Brazil (CAPES)(Coordenacao de Aperfeicoamento de Pessoal de Nivel Superior (CAPES)); Conselho Nacional de Desenvolvimento Cientifico e Tecnologico (CNPq)(Conselho Nacional de Desenvolvimento Cientifico e Tecnologico (CNPQ))</t>
  </si>
  <si>
    <t>We thank DSc. Jose Ferreira and Jessica Neves for their assistance in making graphics and maps. This study was financed in part by the Coordenacao de Aperfeicoamento de Pessoal de Nivel Superior -Brazil (CAPES) Finance Code 001and Conselho Nacional de Desenvolvimento Cientifico e Tecnologico (CNPq). This study has contribution of Marinha do Brasil and Instituto Nacional de Ciencia e Tecnologia da Criosfera -TERRANTAR group (PERMACLIMA Project).</t>
  </si>
  <si>
    <t>e20210623</t>
  </si>
  <si>
    <t>10.1590/0001-3765202220210623</t>
  </si>
  <si>
    <t>ZX2VS</t>
  </si>
  <si>
    <t>WOS:000771758100001</t>
  </si>
  <si>
    <t>De Menezes, GCA; Porto, BA; Radicchi, GA; Soares, FC; Zarankin, A; Rosa, LH</t>
  </si>
  <si>
    <t>De Menezes, Graciele C. A.; Porto, Barbara A.; Radicchi, Gerusa A.; Soares, Fernanda C.; Zarankin, Andres; Rosa, Luiz H.</t>
  </si>
  <si>
    <t>Fungal impact on archaeological materials collected at Byers Peninsula Livingston Island, South Shetland Islands, Antarctica</t>
  </si>
  <si>
    <t>Antarctic heritage; degradation; fungi; taxonomy</t>
  </si>
  <si>
    <t>DIVERSITY; TRICHODERMA; ASCOMYCETE; TAXONOMY</t>
  </si>
  <si>
    <t>We identified cultivable fungi present on the surface of five archaeological sealers' artifacts from the beginning of the 19th century collected on Livingston Island, Antarctica. Twenty fungal isolates were recovered and identified using biology molecular methods as taxa of Antarctomyces, Linnemannia, Penicillium, Mortierella, Talaromyces, and Trichoderma. Penicillium was dominant on artifacts stored at 10 and 25 degrees C. In contrast, Antarctomyces, Linnemania, Mortierella, and Trichoderma occurred only on artifacts stored between 8 degrees C and 10 degrees C. Our results showed that the Antarctic artifacts harboured cosmopolitan mesophilic, cold-tolerant, and endemic psychrophilic fungal taxa. The mesophilic fungi might have contaminated the artifacts in situ, during sampling, transport, and/or storage in the laboratory collection or represent dormant but viable form capable to grow on the objects. However, the detection of cold-tolerant and endemic fungi shows that these fungi, when stored between 8 degrees and 10 degrees C, continue growing on the objects, which may supply them with organic nutrients; this may accelerate degradation of artifacts in the collection. Preventive steps should be adopted to avoid further microbial contamination. Sterilised microbiological conditions can be followed during fieldwork and transportation to Brazil. The preventive protocol may represent a better alternative to avoid artifact microbial proliferation to preserve rare Antarctic archaeological heritage.</t>
  </si>
  <si>
    <t>[De Menezes, Graciele C. A.; Porto, Barbara A.; Rosa, Luiz H.] Univ Fed Minas Gerais, Inst Ciencias Biol, Dept Microbiol, Av Antonio Carlos 6627, BR-31270901 Belo Horizonte, MG, Brazil; [Radicchi, Gerusa A.; Soares, Fernanda C.; Zarankin, Andres] Univ Fed Minas Gerais, Lab Estudos Antart Ciencias Humanas FAFICH LEACH, Av Antonio Carlos 6627, BR-31270901 Belo Horizonte, MG, Brazil</t>
  </si>
  <si>
    <t>Universidade Federal de Minas Gerais; Universidade Federal de Minas Gerais</t>
  </si>
  <si>
    <t>Rosa, LH (corresponding author), Univ Fed Minas Gerais, Inst Ciencias Biol, Dept Microbiol, Av Antonio Carlos 6627, BR-31270901 Belo Horizonte, MG, Brazil.</t>
  </si>
  <si>
    <t>de Alkmim Radicchi, Gerusa/JCD-5221-2023</t>
  </si>
  <si>
    <t>de Alkmim Radicchi, Gerusa/0000-0003-0819-8552; Zarankin, Andres/0000-0002-0020-0606; Cunha Alves de Menezes, Graciele/0000-0002-9427-1893; Alves Porto, Barbara/0000-0002-2249-2638; Codevilla Soares, Fernanda/0000-0003-3714-9397</t>
  </si>
  <si>
    <t>Conselho Nacional de Desenvolvimento Cientifico e Tecnologico (CNPq); Fundacao de Amparo a Pesquisa do Estado de Minas Gerais (FAPEMIG); Coordenacao de Aperfeicoamento de Pessoal de Nivel Superior-Brasil (CAPES); Programa Antartico Brasileiro (PROANTAR); Instituto Nacional da Ciencia e Tecnologia da Criosfera (INCT Criosfera); CNPq [151195/2019-6]; PROANTAR</t>
  </si>
  <si>
    <t>Conselho Nacional de Desenvolvimento Cientifico e Tecnologico (CNPq)(Conselho Nacional de Desenvolvimento Cientifico e Tecnologico (CNPQ)); Fundacao de Amparo a Pesquisa do Estado de Minas Gerais (FAPEMIG)(Fundacao de Amparo a Pesquisa do Estado de Minas Gerais (FAPEMIG)); Coordenacao de Aperfeicoamento de Pessoal de Nivel Superior-Brasil (CAPES)(Coordenacao de Aperfeicoamento de Pessoal de Nivel Superior (CAPES)); Programa Antartico Brasileiro (PROANTAR); Instituto Nacional da Ciencia e Tecnologia da Criosfera (INCT Criosfera); CNPq(Conselho Nacional de Desenvolvimento Cientifico e Tecnologico (CNPQ)); PROANTAR</t>
  </si>
  <si>
    <t>This study received financial support from Conselho Nacional de Desenvolvimento Cientifico e Tecnologico (CNPq), Fundacao de Amparo a Pesquisa do Estado de Minas Gerais (FAPEMIG), Coordenacao de Aperfeicoamento de Pessoal de Nivel Superior-Brasil (CAPES), Programa Antartico Brasileiro (PROANTAR), and Instituto Nacional da Ciencia e Tecnologia da Criosfera (INCT Criosfera). GCA de Menezes' scholarship was supported by CNPq (151195/2019-6). The collections and studies were authorized by the Secretariat of the Antarctic Treaty and by PROANTAR.</t>
  </si>
  <si>
    <t>e20210218</t>
  </si>
  <si>
    <t>10.1590/0001-3765202220210218</t>
  </si>
  <si>
    <t>ZX2VI</t>
  </si>
  <si>
    <t>WOS:000771757100002</t>
  </si>
  <si>
    <t>Mendes, CW; Neto, JA; Hillebrand, FL; De Freitas, MWD; Costi, J; Simoes, JC</t>
  </si>
  <si>
    <t>Mendes Jr, Claudio W. Jr; Neto, Jorge Arigony; Hillebrand, Fernando L.; De Freitas, Marcos W. D.; Costi, Juliana; Simoes, Jefferson C.</t>
  </si>
  <si>
    <t>Snowmelt retrieval algorithm for the Antarctic Peninsula using SAR imageries</t>
  </si>
  <si>
    <t>Antarctic Peninsula; Envisat ASAR; SAR imagery; snowmelt; Wet Snow Zone</t>
  </si>
  <si>
    <t>SYNTHETIC-APERTURE RADAR; GLACIER ZONES; ICE SHELVES; MELT; ISLAND; DRY</t>
  </si>
  <si>
    <t>The classification of Synthetic Aperture Radar (SAR) images by knowledge-based algorithms with elevation and backscatter thresholds were used in several studies to detect the Wet Snow Radar Zone (WSZ) in the Antarctic Peninsula. To identify it more accurately based on its seasonal variations, this study proposed the additional use of a threshold in synthetic images, created by rationing summer and winter sigma linear images. In our algorithm we used the following thresholds to detect the WSZ in Envisat ASAR imageries, using the Radarsat Antarctic Map Digital Elevation Model as ancillary data: i) -25 dB &lt; s(0) &lt; -14 dB; ii) s(linear) summer / s(linear) winter &lt; 0.4; iii) elevation H &lt; 1,200 m for northern tip and H &lt; 800 m for southern tip of the Antarctic Peninsula. The classified images were post-processed by a focal majority 5 x 5 filter and superimposed by an image of rock outcrops derived from the Antarctic Digital Database. The ratio image threshold allowed discriminating the WSZ from the Dry Snow Radar Zone and radar shadows, as well as transitional areas between this glacier zone and the Frozen Percolation Radar Zone, which would be classified incorrectly if we used only elevation and backscatter thresholds.</t>
  </si>
  <si>
    <t>[Mendes Jr, Claudio W. Jr] Univ Fed Rio Grande do Sul UFRGS, Dept Geodesia, Av Bento Goncalves 9500, BR-91509900 Porto Alegre, RS, Brazil; [Neto, Jorge Arigony; Costi, Juliana] Univ Fed Rio Grande FURG, Inst Oceanog, Av Italia S-N,Km 8, BR-96201900 Rio Grande, RS, Brazil; [Hillebrand, Fernando L.] Inst Fed Educ Ciencia &amp; Tecnol Rio Grande do Sul, Rodovia RS 239,Km 68,3505, BR-95700000 Rolante, RS, Brazil; [De Freitas, Marcos W. D.; Simoes, Jefferson C.] Univ Fed Rio Grande do Sul UFRGS, Dept Geog, Av Bento Goncalves 9500, BR-91501970 Porto Alegre, RS, Brazil</t>
  </si>
  <si>
    <t>Universidade Federal do Rio Grande do Sul; Universidade Federal do Rio Grande; Instituto Federal do Rio Grande do Sul (IFRS); Universidade Federal do Rio Grande do Sul</t>
  </si>
  <si>
    <t>Mendes, CW (corresponding author), Univ Fed Rio Grande do Sul UFRGS, Dept Geodesia, Av Bento Goncalves 9500, BR-91509900 Porto Alegre, RS, Brazil.</t>
  </si>
  <si>
    <t>claudio.mendes@ufrgs.br</t>
  </si>
  <si>
    <t>Hillebrand, Fernando Luis/AAK-5772-2020; Costi, Juliana/AHI-7948-2022; Simoes, Jefferson Cardia/D-7232-2013</t>
  </si>
  <si>
    <t>Hillebrand, Fernando Luis/0000-0002-0182-8526; Costi, Juliana/0000-0001-6220-2343; Simoes, Jefferson Cardia/0000-0001-5555-3401; Freitas, Marcos/0000-0001-9879-2584; Mendes Junior, Claudio Wilson/0000-0003-1745-348X</t>
  </si>
  <si>
    <t>European Space Agency (ESA) [2658]</t>
  </si>
  <si>
    <t>European Space Agency (ESA)(European Space Agency)</t>
  </si>
  <si>
    <t>The European Space Agency (ESA) for supplying ENVISAT ASAR data within CryoSat Data Announce of Opportunity -AO (Project 2658), Evaluating Cryosat's potential contribution to the quantification of mass balance and mass balance variations on the Antarctic Peninsula, and the ESA International Polar Year (IPY) 2007-2008 AO (Project 4032), EO-derived products in support of climate change impact studies on the Antarctic Peninsula and Svalbard -interaction of glaciers, climate, terrestrial and marine ecosystems as well as the atmosphere.</t>
  </si>
  <si>
    <t>e20210217</t>
  </si>
  <si>
    <t>10.1590/0001-3765202220210217</t>
  </si>
  <si>
    <t>WOS:000771757100001</t>
  </si>
  <si>
    <t>Matviienko, SA</t>
  </si>
  <si>
    <t>Matviienko, S. A.</t>
  </si>
  <si>
    <t>Relativistic gravimetry</t>
  </si>
  <si>
    <t>radiophysical method; navigation support network of Ukraine; complex geophysical monitoring system; relativistic red shift effect</t>
  </si>
  <si>
    <t>Work on the creation of a device that will be able to measure the parameters of the Earth's gravitational field in space was started at the State Design Office Yuzhnoye in 2001 as part of the formation of a scientific research program on the Sich-1M spacecraft. But since there were no devices in the world to directly measure the parameters of the Earth's gravitational field in space, the idea arose to use the relativistic red shift effect to solve this problem. The possibility of practical implementation of this idea arose in 2008-2010 during the implementation of the STCU project No. 3856 Measurement of the parameters of the Earth's gravitational field using navigation satellite systems. Within the framework of this project, for the first time, a differential radiophysical gravimeter was created and tested, in which the radiation of navigation satellites was used as a source of highly stable radiation. Radiophysical method for measuring the parameters of the Earth's gravitational field based on the results of dissertation research, 4 patents for an invention of Ukraine, 2 copyright certificates were obtained, and 16 articles were published in scientific journals. In 2012, the fundamental patent No. 98358 Method for measuring geodetic parameters and a device for its implementation was obtained, which was recognized in 2014 as the best patent of Ukraine in the absolute nomination in the competition Best Patent of Ukraine. This patent formed the basis for the creation of the Gravika - navigation control and correction station. This work has been continued at JSC RPC KURS since 2015. Since 2015, JSC RPC KURS has been the head organization in the NSAU for the creation of a coordinate-clock and navigation support network for Ukraine. In 2016, it was created, certified and put into operation control and correction station (CCS) Gravika, which can simultaneously operate both as a navigational base station and as a gravimeter, that is, to solve a complete geodetic problem. The principle of operation of the gravimeter is based on the relativistic effect of &lt;&lt; red shift &gt;&gt;. One of the main technical and economic problems is the need to use a highly stable hydrogen frequency standard as part of the Gravika control and correction station, the cost of which is at least USD 80,000 (code Geomonitoring) in order to develop a concept for creating, on the basis of the existing network of coordinate-clock and navigation support in Ukraine, a complex a clear geophysical monitoring system using the Gravika control and correction station and a satellite system for relaying signals of a highly stable TWSTFT frequency standard. Such a solution will make it possible to abandon the use of a frequency standard at each station and thereby reduce the cost of the CCS and the system as a whole. In addition, the work of the CCS Gravika showed the possibility of predicting seismic activity within a radius of 500 km from the station. A three-axis version of the gravimeter was also implemented, which allows you to simultaneously measure the absolute, relative values of the gravitational acceleration and the angle of inclination of the gravitational acceleration vector. Such functionality makes the radiophysical gravimeter indispensable when used on mobile vehicles, including space vehicles.</t>
  </si>
  <si>
    <t>[Matviienko, S. A.] State Space Agcy Ukraine, JSC RPC KURS, Kiev, Ukraine; [Matviienko, S. A.] Natl Antarctic Sci Ctr Ukraine, Kiev, Ukraine</t>
  </si>
  <si>
    <t>State Space Agency of Ukraine; Ministry of Education &amp; Science of Ukraine; State Institution National Antarctic Scientific Center</t>
  </si>
  <si>
    <t>Matviienko, SA (corresponding author), State Space Agcy Ukraine, JSC RPC KURS, Kiev, Ukraine.;Matviienko, SA (corresponding author), Natl Antarctic Sci Ctr Ukraine, Kiev, Ukraine.</t>
  </si>
  <si>
    <t>10.24028/gzh.v44i1.253709</t>
  </si>
  <si>
    <t>ZX0HR</t>
  </si>
  <si>
    <t>WOS:000771583700002</t>
  </si>
  <si>
    <t>Rostov, ID; Dmitrieva, EV; Rudykh, NI</t>
  </si>
  <si>
    <t>Rostov, I. D.; Dmitrieva, E., V; Rudykh, N., I</t>
  </si>
  <si>
    <t>Interannual Variability of Thermal Characteristics in the Indian Ocean under the Conditions of Global Warming</t>
  </si>
  <si>
    <t>Indian Ocean; current climatic changes; regional features; water and air temperature; warming and cooling trends; climatic parameters; correlations</t>
  </si>
  <si>
    <t>SST VARIABILITY; HEAT-CONTENT; PACIFIC; WATER; IMPACT</t>
  </si>
  <si>
    <t>Purpose. The purpose of this work is to clarify the tendencies and regional features of interannual changes in the surface air temperature (T-a), the sea surface temperature (SST), and the water temperature (T-w) in the upper 950-m layer in the Indian Ocean basin including the adjacent area of the Southern Ocean - up to 65 degrees S over the past four decades, which are manifested as a result of planetary changes and a shift in the climate regime at the turn of the XX-XXI centuries. Methods and Results. Based on the data of the Global meteorological network, reanalysis, optimal interpolation and the Global oceanographic data assimilation system GODAS (NOAA), the regional features and trends of interannual fluctuations in the water and air temperature, and their relationship with the variations in climatic indices and pressure fields in the centers of the atmosphere and wind action have been determined for the last 4 decades. The methods of a cluster, correlation, and regression analysis, and the apparatus of empirical orthogonal functions were used. The results obtained made it possible to characterize the degree of inhomogeneity of the responses of the atmosphere surface layer, SST, and vertical distribution of T-w to the ongoing global changes, to identify the isolated regions, and to quantify the rate of warming in these water areas. Conclusions. Climatic changes in the atmosphere near-water layer and on the sea surface are expressed in positive trends (b) of changes in the SST fields and air temperature in most of the Indian Ocean basin. The values of the air temperature trends on land in the coastal areas are higher than those in the adjacent sea areas. The maximum values of the T-a trends (similar to 0.5 degrees C/10 years) over the water area of the region are noted in the area located to the north of the Madagascar Island, and those of the SST trends (similar to 0.3-0.4 degrees C/10 years) - in the central part of the ocean. In the T-a field, the individual areas with the minimal and negative values of T-a trends are observed in the northeastern, southwestern, and southern parts of the water area, and in the SST field - over a large area in the southern part of the ocean, namely, in the zone of influence of the cold Antarctic Circumpolar Current waters. The process of warming or cooling is significantly heterogeneous not only in space but also in time. In the upper 100-m layer of the water column, the spatial structure of the water temperature trends is rearranged. Below this layer, the maximum positive trends (on average 0.2-0.5 degrees C per a decade for a region) are observed in the southern and southwestern parts of the water area, and the negative ones (-0.1... -0.2 degrees C) - in the northwestern and southeastern parts. In course of the past 15 years, the largest relative increase of heat content in various layers occurred in the south of the ocean - it was by an order of magnitude higher than those in the other regions despite the insignificant SST trends.</t>
  </si>
  <si>
    <t>[Rostov, I. D.; Dmitrieva, E., V; Rudykh, N., I] Russian Acad Sci, Far Eastern Branch, VI Ilichev Pacific Oceanol Inst, Vladivostok, Russia</t>
  </si>
  <si>
    <t>Russian Academy of Sciences; Ilichev Pacific Oceanological Institute</t>
  </si>
  <si>
    <t>Rostov, ID (corresponding author), Russian Acad Sci, Far Eastern Branch, VI Ilichev Pacific Oceanol Inst, Vladivostok, Russia.</t>
  </si>
  <si>
    <t>rostov@poi.dvo.ru; e_dmitrieva@poi.dvo.ru; rudykh@poi.dvo.ru</t>
  </si>
  <si>
    <t>Rudykh, Natalia Ivanovna/N-5821-2018</t>
  </si>
  <si>
    <t>Rudykh, Natalia Ivanovna/0000-0001-6714-7662</t>
  </si>
  <si>
    <t>10.22449/1573-160X-2022-1-47-66</t>
  </si>
  <si>
    <t>ZQ7WD</t>
  </si>
  <si>
    <t>WOS:000767309800004</t>
  </si>
  <si>
    <t>Frolov, IE; Kulakov, MY; Filchuk, KV</t>
  </si>
  <si>
    <t>Frolov, I. E.; Kulakov, M. Yu; Filchuk, K., V</t>
  </si>
  <si>
    <t>Ice balance modeling in the Arctic Ocean in 1979-2019</t>
  </si>
  <si>
    <t>Arctic Ocean; climate change; sea ice; numerical modeling; interannual variability</t>
  </si>
  <si>
    <t>SEA-ICE</t>
  </si>
  <si>
    <t>The results of numerical experiments on the model of joint water and ice circulation for the period from September 1979 to December 2019, aimed at studying the interannual variability of the ice balance in the Arctic Ocean, are considered. The results obtained made it possible to analyze the geographical features of the processes of ice formation and melting in the Arctic Ocean and to identify key areas that determine the volume of ice in the ocean. It is established that the main quantity of ice is formed in waters of the Siberian seas, and the most intense melting occurs in the North European Basin, where the ice transported by the Transpolar Current through the Fram Strait enters the relatively warm water of the Greenland Sea, heated by the North Atlantic Current. The formation of the absolute minimum of ice coverage in 2012 was promoted by the anomalous position of the anticyclonic hydrological cycle - much closer to the Canadian coast. This resulted in the fact that only a small part of the ice formed in the Siberian seas was involved into a weakened circulation, while most of the ice in the stream of the Transpolar Current was transported through the Fram Strait to the Greenland Sea. Statistical analysis of the results of numerical experiments demonstrated that the trend towards a decrease in the volume of ice in the Arctic Ocean is primarily determined by the global warming, and dynamic forcing exerts significant effect on local extremes.</t>
  </si>
  <si>
    <t>[Frolov, I. E.; Kulakov, M. Yu; Filchuk, K., V] Arctic &amp; Antarctic Res Inst, St Petersburg, Russia</t>
  </si>
  <si>
    <t>Kulakov, MY (corresponding author), Arctic &amp; Antarctic Res Inst, St Petersburg, Russia.</t>
  </si>
  <si>
    <t>mod@aari.ru</t>
  </si>
  <si>
    <t>Kulakov, Mikhail/AAX-4924-2020</t>
  </si>
  <si>
    <t>RFBR [18-05-60048]</t>
  </si>
  <si>
    <t>RFBR(Russian Foundation for Basic Research (RFBR))</t>
  </si>
  <si>
    <t>The reported study was funded by RFBR according to the research project No 18-05-60048.</t>
  </si>
  <si>
    <t>10.31857/S2076673422010120</t>
  </si>
  <si>
    <t>ZI2WH</t>
  </si>
  <si>
    <t>WOS:000761486400001</t>
  </si>
  <si>
    <t>May, RI; Guzenko, RB; Tarovik, OV; Topaj, AG; Yulin, AV</t>
  </si>
  <si>
    <t>May, R., I; Guzenko, R. B.; Tarovik, O., V; Topaj, A. G.; Yulin, A., V</t>
  </si>
  <si>
    <t>Stochastic modeling of sea ice concentration fields for assessment of navigation conditions along the Northern Sea Route</t>
  </si>
  <si>
    <t>ice concentration; sea ice generator; stochastic modeling; ice conditions; Markov chain; Arctic navigation</t>
  </si>
  <si>
    <t>WEATHER GENERATOR; PRECIPITATION; SIMULATION</t>
  </si>
  <si>
    <t>Article describes a probabilistic model (stochastic generator) of spatial-temporal variability of sea ice concentration. Values of the ice concentration are generated at the nodes of the spatial grid with 10 km resolution; the model time step is one day. The change in ice concentration with time (temporal variability) is modeled on the basis of a matrix of transient probabilities (discrete Markov chain), each row of which is a distribution function of the conditional probability of changes in the ice concentration. Spatial variability is determined by empirical probability fields, with which the observed changes in fields of the ice concentration are associated with known conditional probability distribution functions. To identify the parameters of the stochastic generator, satellite data from the OSI SAF project for the period 1987-2019 were used. The generator takes into account seasonal, interannual and climatic variability. Interannual and climatic variability are determined on the basis of a stochastic model of changes in the types of ice coverage. In order to verify the developed stochastic generator, we compared the statistical indicators of observed and calculated ice fields. The results showed that the field average absolute error of statistical characteristics of the ice concentration (mean and standard deviation) does not exceed 3.3%. The discrepancy between the correlation intervals of ice coverage calculated from the model and measured ice concentration fields does not exceed 2 days. The variograms of the modeled and observed fields have a similar form and close values. As an example, we determined the duration of navigation of Arc4 ice class ships between the Barents and Kara Seas using synthetic fields of the ice concentration reproduced by the stochastic generator.</t>
  </si>
  <si>
    <t>[May, R., I; Tarovik, O., V] Krylov State Res Ctr, St Petersburg, Russia; [Guzenko, R. B.; Yulin, A., V] Arctic &amp; Antarctic Res Inst, St Petersburg, Russia; [May, R., I] St Petersburg State Univ, St Petersburg, Russia; [Topaj, A. G.] LLC Bur Hyperborea, St Petersburg, Russia</t>
  </si>
  <si>
    <t>Krylov State Research Centre; Arctic &amp; Antarctic Research Institute; Saint Petersburg State University</t>
  </si>
  <si>
    <t>May, RI (corresponding author), Krylov State Res Ctr, St Petersburg, Russia.;May, RI (corresponding author), St Petersburg State Univ, St Petersburg, Russia.</t>
  </si>
  <si>
    <t>rimay@mail.ru</t>
  </si>
  <si>
    <t>Tarovik, Oleg/E-8201-2017; May, Ruslan I./J-5316-2013</t>
  </si>
  <si>
    <t>Tarovik, Oleg/0000-0003-3318-5403;</t>
  </si>
  <si>
    <t>Russian Science Foundation [17-79-20162]; Russian Science Foundation [17-79-20162] Funding Source: Russian Science Foundation</t>
  </si>
  <si>
    <t>The study is supported by the Russian Science Foundation (Project No 17-79-20162).</t>
  </si>
  <si>
    <t>10.31857/S2076673422010121</t>
  </si>
  <si>
    <t>WOS:000761486400002</t>
  </si>
  <si>
    <t>Boronina, AS</t>
  </si>
  <si>
    <t>Boronina, A. S.</t>
  </si>
  <si>
    <t>Large-scale outbursts of lakes in the Antarctic oases: current knowledge</t>
  </si>
  <si>
    <t>Antarctic oases; hazardous hydrological processes; outbursts of lakes; hydrological research; East Antarctica</t>
  </si>
  <si>
    <t>MCMURDO DRY VALLEYS; SURFACE MASS-BALANCE; EAST ANTARCTICA; VESTFOLD HILLS; CLIMATE; UNTERSEE; MODEL; LAND</t>
  </si>
  <si>
    <t>In recent decades, the importance of studying the outburst lakes of Antarctic oases has been increasing, which is associated with a number of applied and fundamental problems. First of all, because supraglacial, englacial, and glacier-dammed lakes are characterized by a quick response to the climate changes. In the applied aspect, active (unstable) lakes and seasonal streams are relevant for research since they often provoke catastrophic natural disasters. Monitoring and prevention of such events are primarily necessary in the areas of Antarctic stations, where many year-round and seasonal research programs are implemented. This article presents historical and the present-day data and descriptions of lake outbursts located in the oases of East Antarctica. The study is based on the generalization of both published and unpublished materials presented in the funds of the Arctic and Antarctic Research Institute (St. Petersburg), in scientific and technical reports of the Soviet Antarctic Expedition and Russian Antarctic Expedition, Information bulletins (newsletters) of the Soviet Antarctic expeditions, and foreign articles. In addition to that, the results of fieldwork carried out in 2017-2020 were used. Currently, the aforementioned materials are in different form and funds, so the proposed study is the first step of generalizing research on the potential outburst water bodies on the Antarctic Continent. Through to the ongoing work, albeit irregular, our understanding of functioning of the surface hydrological systems of Antarctic oases is steadily growing.</t>
  </si>
  <si>
    <t>[Boronina, A. S.] State Hydrol Inst, St Petersburg, Russia; [Boronina, A. S.] St Petersburg State Univ, St Petersburg, Russia</t>
  </si>
  <si>
    <t>Boronina, AS (corresponding author), State Hydrol Inst, St Petersburg, Russia.</t>
  </si>
  <si>
    <t>al.b.s@yandex.ru</t>
  </si>
  <si>
    <t>The author is grateful to col. leagues S.D. Grigorieva, G.A. Deshevykh, E.R. Kiniabaeva, M.R. Kuznetsova, S.V. Popov, E.V. Ryzhova, A.A. Sukhanova, A.A. Chetverova for their assistance in the field investigations and for the results of field research. The author is also grateful to G.V. Pryakhina and two anonymous reviewers for their help in improving the text of the article. This study was supported by the Russian Foundation for Basic Research within the framework of the project No 20-05-00343 Identification of the main features of outbursts at the lakes of Antarctic oases based on the fieldwork data and mathematical modeling.</t>
  </si>
  <si>
    <t>10.31857/S2076673422010122</t>
  </si>
  <si>
    <t>WOS:000761486400003</t>
  </si>
  <si>
    <t>Chaves, DA; Lyra, GB; Francelino, MR; Da Silva, LDB; Schaefer, CERG; Thomazini, A</t>
  </si>
  <si>
    <t>Chaves, Daniela A.; Lyra, Gustavo B.; Francelino, Marcio R.; Da Silva, Leonardo D. B.; Schaefer, Carlos E. R. G.; Thomazini, Andre</t>
  </si>
  <si>
    <t>Apparent thermal diffusivity of soil in ice-free areas of Keller peninsula in maritime Antarctica</t>
  </si>
  <si>
    <t>heat flow; freezing index; seasonal temperature and soil moisture; degree days of soil freezing</t>
  </si>
  <si>
    <t>KING GEORGE ISLAND; ACTIVE-LAYER; REGIME; PERMAFROST</t>
  </si>
  <si>
    <t>Heat transfer process in the soil active Layer is important for the knowledge of its thermal properties Linked with climate issues. The objective of this work was to analyze the energy flux in different soil profiles by estimating the apparent soil thermal diffusivity (ATD). The study was carried out in Keller Peninsula, Located at King George Island in four different sites differing by soil characteristics, as well as vegetation coverage and Landscape setting. The ATD was estimated in function of the Long-term hourly temperature records at different soil depths. In addition, we estimated the seasonal mean of the ATD and the freezing N-factor. Results showed that ATD values were smaller at shallow depths and increased with depth. The diffusivity values presented Lower variability in colder conditions, especially at deeper soil Layers. Water content was the main factor affecting soil thermal diffusivity at sites 1 and 3 (more than 70 and 63% of probability). At sites 3 and 4 Lower N-factors were observed, suggesting higher snow pack and permafrost closer to the soil surface. Hence, positive ATD appears in the summer due to thawing increases soil moisture, while negative ATD appears during the freeze of the snow pack and precipitation.</t>
  </si>
  <si>
    <t>[Chaves, Daniela A.] Inst Fed Rio de Janeiro, Campus Pinheiral,Rua Jose Breves 550, BR-27197000 Pinheiral, RJ, Brazil; [Lyra, Gustavo B.] Univ Fed Rural Rio de Janeiro, Inst Florestas, Dept Ciencias Ambientais, Rodovia BR 465,Km 07, BR-23851970 Seropedica, RJ, Brazil; [Francelino, Marcio R.; Schaefer, Carlos E. R. G.] Univ Fed Vicosa UFV, Dept Solos, Av Peter Henry Ron,Campus Univ, BR-36570900 Vicosa, MG, Brazil; [Da Silva, Leonardo D. B.] Univ Fed Rural Rio de Janeiro, Dept Engn, Rodovia BR 465,Km 07, BR-23851970 Seropedica, RJ, Brazil; [Thomazini, Andre] Univ Fed Sao Joao Del Rei UFSJ, Dept Ciencias Agr DCIAG, Rua Setimo Moreira Martins 188, BR-35702031 Sete Lagoas, MG, Brazil</t>
  </si>
  <si>
    <t>Instituto Federal do Rio de Janeiro (IFRJ); Universidade Federal Rural do Rio de Janeiro (UFRRJ); Universidade Federal Rural do Rio de Janeiro (UFRRJ); Universidade Federal de Sao Joao del-Rei</t>
  </si>
  <si>
    <t>Thomazini, A (corresponding author), Univ Fed Sao Joao Del Rei UFSJ, Dept Ciencias Agr DCIAG, Rua Setimo Moreira Martins 188, BR-35702031 Sete Lagoas, MG, Brazil.</t>
  </si>
  <si>
    <t>andre.thomazini@ufsj.edu.br</t>
  </si>
  <si>
    <t>Francelino, Marcio Rocha/AAS-4224-2020; Lyra, Gustavo Bastos/L-3986-2019</t>
  </si>
  <si>
    <t>Francelino, Marcio Rocha/0000-0001-8837-1372; Lyra, Gustavo Bastos/0000-0002-9882-7000; Augusto Chaves, Daniela/0000-0001-6152-2126; Batista da Silva, Leonardo Duarte/0000-0001-9082-7965; Thomazini, Andre/0000-0001-5613-0494</t>
  </si>
  <si>
    <t>Conselho Nacional de Desenvolvimento Cientifico e Tecnologico (CNPq) [556794/2009-5]; Ministerio da Ciencia, Tecnologia e Inovacao (MCTI)</t>
  </si>
  <si>
    <t>Conselho Nacional de Desenvolvimento Cientifico e Tecnologico (CNPq)(Conselho Nacional de Desenvolvimento Cientifico e Tecnologico (CNPQ)); Ministerio da Ciencia, Tecnologia e Inovacao (MCTI)</t>
  </si>
  <si>
    <t>We acknowledge Brazilian Antarctic Program (PROANTAR), Brazilian Navy for logistical support and Conselho Nacional de Desenvolvimento Cientifico e Tecnologico (CNPq) (556794/2009-5) and Ministerio da Ciencia, Tecnologia e Inovacao (MCTI) for granting financial support. This work is a contribution of INCT-Criosfera TERRANTAR group.</t>
  </si>
  <si>
    <t>e20200458</t>
  </si>
  <si>
    <t>10.1590/0001-3765202220200458</t>
  </si>
  <si>
    <t>ZN9AO</t>
  </si>
  <si>
    <t>WOS:000765322100001</t>
  </si>
  <si>
    <t>Martins, YAT; Passos, RLF; Marques, AL; Gonçalves, DAP; Mendes, TT; Núñez-Espinosa, C; Rodrigues, LOC; Wanner, SP; Moraes, MM; Arantes, RME; Soares, DD</t>
  </si>
  <si>
    <t>Martins, Ygor A. T.; Passos, Renata L. F.; Marques, Alice L.; Goncalves, Dawit A. P.; Mendes, Thiago T.; Nunez-Espinosa, Cristian; Rodrigues, Luiz O. C.; Wanner, Samuel P.; Moraes, Michele M.; Arantes, Rosa M. E.; Soares, Danusa D.</t>
  </si>
  <si>
    <t>A 32-day tong fieldwork in Antarctica improves heat tolerance during physical exercise</t>
  </si>
  <si>
    <t>acclimatization; cold; performance; polar medicine; sweating; temperature</t>
  </si>
  <si>
    <t>PHYSIOLOGICAL-RESPONSES; INDIVIDUAL VARIATIONS; GRADED-EXERCISE; ACCLIMATION; PERFORMANCE; THERMOREGULATION; TEMPERATURE; ADAPTATION; MECHANISMS; INTENSITY</t>
  </si>
  <si>
    <t>We evaluated the influence of a 32-day camping in Antarctica on physical performance and exercise-induced thermoregulatory responses. In Brazil, before and after the Antarctic camping, the volunteers performed an incremental exercise at temperate conditions and, two days later, an exercise heat stress protocol (45-min running at 60% of maximum aerobic speed, at 31 degrees C and 60% of relative humidity). In Antarctica, core temperature was assessed on a day of fieldwork, and average values higher than 38.5 degrees C were reported. At pre- and post-Antarctica, physiological (whole-body and local sweat rate, number of active sweat glands, sweat gland output, core and skin temperatures) and perceptual (thermal comfort and sensation) variables were measured. The Antarctic camping improved the participants' performance and induced heat-related adaptations, as evidenced by sweat redistribution (lower in the chest but higher in grouped data from the forehead, forearm, and thigh) and reduced skin temperatures in the forehead and chest during the exercise heat stress protocol. Notwithstanding the acclimatization, the participants did not report differences of the thermal sensation and comfort. In conclusion, staying in an Antarctic camp for 32 days improved physical performance and elicited physiological adaptations to heat due to the physical exertion-induced hyperthermia in the field.</t>
  </si>
  <si>
    <t>[Martins, Ygor A. T.; Passos, Renata L. F.; Goncalves, Dawit A. P.; Rodrigues, Luiz O. C.; Wanner, Samuel P.; Moraes, Michele M.; Soares, Danusa D.] Univ Fed Minas Gerais, Lab Fisiol Exercicio, Escola Educ Fis Fisioterapia &amp; Terapia Ocupac, Av Presidente Antonio Carlos 6627, BR-31270901 Belo Horizonte, MG, Brazil; [Marques, Alice L.] Univ Rural Rio de Janeiro, Programa Posgrad Ciencias Sociais Desenvolvimento, Av Presidente Vargas 417, BR-20071003 Rio De Janeiro, RJ, Brazil; [Mendes, Thiago T.] Univ Fed Maranhao, Ctr Ciencias Humanas Nat Saude &amp; Tecnol, Estr Pinheiro Pacas,Km 10 S-N, BR-65200000 Pinheiro, MA, Brazil; [Nunez-Espinosa, Cristian] Univ Magallanes, Sch Med, Physiol Lab, Magallanes &amp; Chilean Antarct, Pdte Manuel Bulnes Ave, Punta Arenas 01855, Magallanes &amp; Ch, Chile; [Moraes, Michele M.; Arantes, Rosa M. E.] Univ Fed Minas Gerais, Inst Ciencias Biol, Dept Patol Geral, Av Presidente Antonio Carlos 6627, BR-31270901 Belo Horizonte, MG, Brazil; [Moraes, Michele M.; Arantes, Rosa M. E.] Univ Fed Minas Gerais, Fac Med, Nucleo Acoes &amp; Pesquisa Apoio Diagnost, UFMG FM NUPAD, Av Alfredo Balena 189, BR-30130100 Belo Horizonte, MG, Brazil</t>
  </si>
  <si>
    <t>Universidade Federal de Minas Gerais; Universidade Federal do Maranhao; Universidad de Magallanes; Universidade Federal de Minas Gerais; Universidade Federal de Minas Gerais</t>
  </si>
  <si>
    <t>Soares, DD (corresponding author), Univ Fed Minas Gerais, Lab Fisiol Exercicio, Escola Educ Fis Fisioterapia &amp; Terapia Ocupac, Av Presidente Antonio Carlos 6627, BR-31270901 Belo Horizonte, MG, Brazil.</t>
  </si>
  <si>
    <t>danusa56@gmail.com</t>
  </si>
  <si>
    <t>Wanner, Samuel P./F-9654-2012; Núñez-Espinosa, Cristian A/ADF-6181-2022; MORAES, MICHELE/W-4042-2019; Mendes, Thiago Teixeira/GWZ-5533-2022; ARANTES, ROSA MARIA ESTEVES/C-5749-2013; Goncalves, Dawit/S-3648-2016</t>
  </si>
  <si>
    <t>Wanner, Samuel P./0000-0002-4659-1032; Núñez-Espinosa, Cristian A/0000-0002-9896-7062; MORAES, MICHELE/0000-0003-4707-6099; Mendes, Thiago Teixeira/0000-0003-1644-4020; Marques, Alice/0000-0002-0202-3447; ARANTES, ROSA MARIA ESTEVES/0000-0003-1428-9717; Goncalves, Dawit/0000-0003-2621-3330; Martins, Ygor/0000-0002-5534-7330; Rodrigues, Luiz/0000-0003-0993-9869</t>
  </si>
  <si>
    <t>Conselho Nacional de Desenvolvimento Cientifico e Tecnologico (CNPq)/Ministerio da Ciencia, Tecnologia e Inovacoes (MCTI)/Coordenacao de Aperfeicoamento de Pessoal de Nivel Superior (CAPES)/Fundo Nacional de Desenvolvimento Cientifico e Tecnologico (FNDCT) [442645/2018-0]; Fundacao de Amparo a Pesquisa do Estado de Minas Gerais (FAPEMIG) [AEC-00017-18, CBB-APQ-01419-14, CDS-PPM 000304/16]; Pro-Reitoria de Pesquisa da Universidade Federal de Minas Gerais (PRPq UFMG); Conselho Nacional de Desenvolvimento Cientifico e Tecnologico (CNPq) [305952/2017-0]; Coordenacao de Aperfeicoamento de Pessoal de Nivel Superior -Brazil (CAPES) [001]; CAPES/BRAZIL [88887.321687/2019-00]</t>
  </si>
  <si>
    <t>Conselho Nacional de Desenvolvimento Cientifico e Tecnologico (CNPq)/Ministerio da Ciencia, Tecnologia e Inovacoes (MCTI)/Coordenacao de Aperfeicoamento de Pessoal de Nivel Superior (CAPES)/Fundo Nacional de Desenvolvimento Cientifico e Tecnologico (FNDCT); Fundacao de Amparo a Pesquisa do Estado de Minas Gerais (FAPEMIG)(Fundacao de Amparo a Pesquisa do Estado de Minas Gerais (FAPEMIG)); Pro-Reitoria de Pesquisa da Universidade Federal de Minas Gerais (PRPq UFMG); Conselho Nacional de Desenvolvimento Cientifico e Tecnologico (CNPq)(Conselho Nacional de Desenvolvimento Cientifico e Tecnologico (CNPQ)); Coordenacao de Aperfeicoamento de Pessoal de Nivel Superior -Brazil (CAPES)(Coordenacao de Aperfeicoamento de Pessoal de Nivel Superior (CAPES)); CAPES/BRAZIL(Coordenacao de Aperfeicoamento de Pessoal de Nivel Superior (CAPES))</t>
  </si>
  <si>
    <t>The authors thank the military personnel involved in the Brazilian Antarctic Operation (OPERANTAR) for logistical support and the volunteers who participated in this study. We also thank Professor Andres Zarankin for granting permission to evaluate his work team volunteers in the field. This study was supported by Conselho Nacional de Desenvolvimento Cientifico e Tecnologico (CNPq)/Ministerio da Ciencia, Tecnologia e Inovacoes (MCTI)/Coordenacao de Aperfeicoamento de Pessoal de Nivel Superior (CAPES)/Fundo Nacional de Desenvolvimento Cientifico e Tecnologico (FNDCT)/Programa Antartico Brasileiro (PROANTAR) [grant 442645/2018-0]; Fundacao de Amparo a Pesquisa do Estado de Minas Gerais (FAPEMIG) [grants AEC-00017-18; CDS-PPM 000304/16; CBB-APQ-01419-14] and Pro-Reitoria de Pesquisa da Universidade Federal de Minas Gerais (PRPq UFMG). RMEA received research fellowship from Conselho Nacional de Desenvolvimento Cientifico e Tecnologico (CNPq) [grant 305952/2017-0]. This study was financed in part by the Coordenacao de Aperfeicoamento de Pessoal de Nivel Superior -Brazil (CAPES) -Finance Code 001; MMM was the recipient of a post-doctoral fellowship CAPES/BRAZIL [88887.321687/2019-00] and YATM was the recipient of a master's fellowship.</t>
  </si>
  <si>
    <t>e20210593</t>
  </si>
  <si>
    <t>10.1590/0001-3765202220210593</t>
  </si>
  <si>
    <t>ZN8ZS</t>
  </si>
  <si>
    <t>WOS:000765319400001</t>
  </si>
  <si>
    <t>Costa, RR; Mendes, CRB; De Souza, MS; Tavano, VM; Secchi, ER</t>
  </si>
  <si>
    <t>Costa, Raul Rodrigo; Mendes, Carlos Rafael B.; De Souza, Marcio S.; Tavano, Virginia Maria; Secchi, Eduardo R.</t>
  </si>
  <si>
    <t>Chemotaxonomic characterization of the key genera of diatoms in the Northern Antarctic Peninsula</t>
  </si>
  <si>
    <t>Southern Ocean; phytoplankton; diatoms; HPLC-CHEMTAX; microscopy</t>
  </si>
  <si>
    <t>PHYTOPLANKTON COMMUNITIES; PHOTOSYNTHETIC PIGMENTS; SEA-ICE; CARBON; OCEAN; VARIABILITY; ECOSYSTEMS; CHEMTAX; BIOMASS; SUMMER</t>
  </si>
  <si>
    <t>Diatoms are successful in occupying a wide range of ecological niches and biomes along the global ocean. Although there is a recognized importance of diatoms for the Southern Ocean ecosystems and biogeochemical cycles, the current knowledge on their ecology and distribution along the impacted Antarctic coastal regions remains generalized at best HPLC-CHEMTAX approaches have been extensively used to this purpose, providing valuable information about the whole phytoplankton community, even for those small-size species which are normally difficult to identify by light microscopy. Despite that, the chemotaxonomic method has reserved minimal focus on great diversity of types associated with diatom genera or species. Here, we show a coupling between the key genera and the corresponding chemotaxonomic subgroup type-A or type-B of diatoms via HPLC-CHEMTAX and microscopic analysis, using chlorophyll-c(1) and chlorophyll-c(3) as biomarker pigments, respectively. The results demonstrated strong correlations for nine of the fifteen most abundant diatom genera observed along the Northern Antarctic Peninsula, from which five (four) were statistically associated with chlorophyll-c(1) (chlorophyll-c(3)). Our study highlights the importance to observe diatoms in greater detail, beyond being only one functional group, for a better understanding on their responses under a climate change scenario.</t>
  </si>
  <si>
    <t>[Costa, Raul Rodrigo; Mendes, Carlos Rafael B.; De Souza, Marcio S.; Tavano, Virginia Maria; Secchi, Eduardo R.] Univ Fed Rio Grande FURG, Inst Oceanog, Av Italia,Km 8, BR-96203900 Rio Grande, RS, Brazil</t>
  </si>
  <si>
    <t>Costa, RR (corresponding author), Univ Fed Rio Grande FURG, Inst Oceanog, Av Italia,Km 8, BR-96203900 Rio Grande, RS, Brazil.</t>
  </si>
  <si>
    <t>raul_rodrigoc@hotmail.com</t>
  </si>
  <si>
    <t>Mendes, Carlos/I-1520-2012; de Souza, Márcio Silva/AAR-5757-2021; Mendes, Carlos/AAD-6504-2021; Mendes, Carlos/GVU-7596-2022; Secchi, Eduardo/D-5038-2013; Tavano, Virginia/C-5241-2013</t>
  </si>
  <si>
    <t>Mendes, Carlos/0000-0001-6875-8860; de Souza, Márcio Silva/0000-0003-1572-9307; Mendes, Carlos/0000-0001-6875-8860; Costa, Raul Rodrigo/0000-0002-0940-3565; Secchi, Eduardo/0000-0001-9087-9909; Tavano, Virginia/0000-0003-0039-8111</t>
  </si>
  <si>
    <t>Conselho Nacional de Desenvolvimento Cientifico e Tecnologico (CNPq); Coordenacao de Aperfeicoamento de Pessoal de Nivel Superior (CAPES); CNPq [407889/20132, 405869/2013-4, 442628/2018-8, 442637/20187]; CAPES [23038.001421/2014-30]; PNPD-CAPES fellowship at the Programa de Posgraduacao em Oceanografia Biologica (FURG)</t>
  </si>
  <si>
    <t>Conselho Nacional de Desenvolvimento Cientifico e Tecnologico (CNPq)(Conselho Nacional de Desenvolvimento Cientifico e Tecnologico (CNPQ)); Coordenacao de Aperfeicoamento de Pessoal de Nivel Superior (CAPES)(Coordenacao de Aperfeicoamento de Pessoal de Nivel Superior (CAPES)); CNPq(Conselho Nacional de Desenvolvimento Cientifico e Tecnologico (CNPQ)); CAPES(Coordenacao de Aperfeicoamento de Pessoal de Nivel Superior (CAPES)); PNPD-CAPES fellowship at the Programa de Posgraduacao em Oceanografia Biologica (FURG)</t>
  </si>
  <si>
    <t>This is a multidisciplinary study as part of the Brazilian High Latitude Oceanography Group (GOAL) activities in the Brazilian Antarctic Program (PROANTAR). Financial support was provided by Conselho Nacional de Desenvolvimento Cientifico e Tecnologico (CNPq) and Coordenacao de Aperfeicoamento de Pessoal de Nivel Superior (CAPES). This study was conducted within the activities of the INTERBIOTA, NAUTILUS, PROVOCCAR, ECOPELAGOS (CNPq grant numbers 407889/20132, 405869/2013-4, 442628/2018-8, 442637/20187, respectively) and CMAR2 (CAPES grant number 23038.001421/2014-30) projects. The authors thank to the crew of the RV Almirante Maximiano of the Brazilian Navy and several scientists and technicians participating in the cruise for their valuable help during sampling. We are grateful to Simon Wright, from the Australian Antarctic Division, for providing the CHEMTAX v.1.95 software. R.R. Costa, C.R.B. Mendes and E.R. Secchi are granted with research fellowships from CNPq. M. de Souza is granted a PNPD-CAPES fellowship at the Programa de Pos-graduacao em Oceanografia Biologica (FURG). CAPES also provided free access to many relevant journals though the portal Periodicos CAPES. We are thankful for the constructive criticism of the anonymous reviewer, who helped to improve the manuscript. All authors declare they have no conflict of interests.</t>
  </si>
  <si>
    <t>e20210584</t>
  </si>
  <si>
    <t>10.1590/0001-3765202220210584</t>
  </si>
  <si>
    <t>ZN8YX</t>
  </si>
  <si>
    <t>WOS:000765317000001</t>
  </si>
  <si>
    <t>Marques, AL; Moraes, MM; Arantes, RME</t>
  </si>
  <si>
    <t>Marques, Alice L.; Moraes, Michele M.; Arantes, Rosa M. E.</t>
  </si>
  <si>
    <t>Mapping research paths and perspectives over the fieldwork of human physiology in Antarctica: reflections on the integration of science, environment , and subjectivity</t>
  </si>
  <si>
    <t>confined; extreme (ICE) environments; health Anthropology; human biology; humanities; isolated</t>
  </si>
  <si>
    <t>POLAR</t>
  </si>
  <si>
    <t>We summarize and elaborate on the challenges of researching in the field of human health in Antarctica based on the conceptual and methodological specificities of a line of investigation that aims to study the human presence in Antarctica in all of its dimensions (biological, psychological, and socio-anthropological). Herein, we discuss the principal results and limitations of the research carried out by researchers of MEDIANTAR (Antarctic medicine, physiology, and anthropology) group of Programa Antartico Brasileiro in isolated, confined, and extreme environments over the last six years. Fieldwork has been carried out in remote research camps, Brazilian navy ships (Almirante Maximiano/ H-41 and Ary Rongel/H-44), and Comandante Ferraz Antarctic Station. Adaptative responses to isolated, confined, and extreme environments were studied based on questionnaires, interviews, participative observation, biological samples, anthropometric, and physiological parameters. Our researchers face the unique situation of concomitantly working under the stressful living conditions that are the object of their investigation. A critical examination of the socio-methodological characteristics and challenges of this research niche indicates the need for exchanging the lessons learned and limitations of these practices with researchers in the humanities field, with attention to the human resources needs in multidisciplinary human-related studies.</t>
  </si>
  <si>
    <t>[Marques, Alice L.; Arantes, Rosa M. E.] Univ Rural Rio de Janeiro, Programa Posgrad Ciencias Sociais Desenvolvimento, Av Presidente Vargas 417, BR-20071003 Rio De Janeiro, RJ, Brazil; [Marques, Alice L.; Moraes, Michele M.] Univ Fed Minas Gerais, Dept Patol Geral, Grp Pesquisa MEDIANTAR Med Fisiol &amp; Antropol Anta, Av Presidente Antonio Carlos 6627, BR-31270901 Belo Horizonte, MG, Brazil; [Moraes, Michele M.; Arantes, Rosa M. E.] Univ Fed Minas Gerais, Nucleo Acoes &amp; Pesquisa Apoio Diagnost NUPAD, Av Alfredo Balena 189, BR-30130100 Belo Horizonte, MG, Brazil</t>
  </si>
  <si>
    <t>Arantes, RME (corresponding author), Univ Rural Rio de Janeiro, Programa Posgrad Ciencias Sociais Desenvolvimento, Av Presidente Vargas 417, BR-20071003 Rio De Janeiro, RJ, Brazil.;Arantes, RME (corresponding author), Univ Fed Minas Gerais, Nucleo Acoes &amp; Pesquisa Apoio Diagnost NUPAD, Av Alfredo Balena 189, BR-30130100 Belo Horizonte, MG, Brazil.</t>
  </si>
  <si>
    <t>; ARANTES, ROSA MARIA ESTEVES/C-5749-2013</t>
  </si>
  <si>
    <t>Marques, Alice/0000-0002-0202-3447; Moraes, Michele/0000-0003-4707-6099; ARANTES, ROSA MARIA ESTEVES/0000-0003-1428-9717</t>
  </si>
  <si>
    <t>Conselho Nacional de Desenvolvimento Cientifico e Tecnologico (CNPq) / Ministerio da Ciencia, Tecnologia e Inovacoes (MCTIC) / Coordenacao de Aperfeicoamento de Pessoal de Nivel Superior (CAPES) / Fundo Nacional de Desenvolvimento Cientifico e Tecnologico [442645/2018-0]; Fundacao de Amparo a Pesquisa do Estado de Minas Gerais (FAPEMIG) [AEC-00017-18, CDS-PPM 000304/16]; Pro-Reitoria de Pesquisa da Universidade Federal de Minas Gerais (PRPq UFMG); Conselho Nacional de Desenvolvimento Cientifico e Tecnologico (CNPq) [305952/2017-0]; Coordenacao de Aperfeicoamento de Pessoal de Nivel Superior - Brazil (CAPES) [001]; CAPES/BRAZIL [88887.321687/2019-00]</t>
  </si>
  <si>
    <t>Conselho Nacional de Desenvolvimento Cientifico e Tecnologico (CNPq) / Ministerio da Ciencia, Tecnologia e Inovacoes (MCTIC) / Coordenacao de Aperfeicoamento de Pessoal de Nivel Superior (CAPES) / Fundo Nacional de Desenvolvimento Cientifico e Tecnologico; Fundacao de Amparo a Pesquisa do Estado de Minas Gerais (FAPEMIG)(Fundacao de Amparo a Pesquisa do Estado de Minas Gerais (FAPEMIG)); Pro-Reitoria de Pesquisa da Universidade Federal de Minas Gerais (PRPq UFMG); Conselho Nacional de Desenvolvimento Cientifico e Tecnologico (CNPq)(Conselho Nacional de Desenvolvimento Cientifico e Tecnologico (CNPQ)); Coordenacao de Aperfeicoamento de Pessoal de Nivel Superior - Brazil (CAPES)(Coordenacao de Aperfeicoamento de Pessoal de Nivel Superior (CAPES)); CAPES/BRAZIL(Coordenacao de Aperfeicoamento de Pessoal de Nivel Superior (CAPES))</t>
  </si>
  <si>
    <t>The authors thank the military personnel involved in the Brazilian OPERANTAR for logistical support. Especially, the authors thank the volunteers who participated in this study. This study was supported by Conselho Nacional de Desenvolvimento Cientifico e Tecnologico (CNPq)/Ministerio da Ciencia, Tecnologia e Inovacoes (MCTIC)/Coordenacao de Aperfeicoamento de Pessoal de Nivel Superior (CAPES)/Fundo Nacional de Desenvolvimento Cientifico e Tecnologico (FNDCT)/Programa Antartico Brasileiro (PROANTAR) [442645/2018-0]; Fundacao de Amparo a Pesquisa do Estado de Minas Gerais (FAPEMIG) [AEC-00017-18; CDS-PPM 000304/16]; and Pro-Reitoria de Pesquisa da Universidade Federal de Minas Gerais (PRPq UFMG). RMEA received research fellowship from Conselho Nacional de Desenvolvimento Cientifico e Tecnologico (CNPq) [305952/2017-0]. This study was financed in part by the Coordenacao de Aperfeicoamento de Pessoal de Nivel Superior -Brazil (CAPES) -Finance Code 001; MMM post-doctoral fellowship, CAPES/BRAZIL [88887.321687/2019-00].</t>
  </si>
  <si>
    <t>e20210396</t>
  </si>
  <si>
    <t>10.1590/0001-3765202220210396</t>
  </si>
  <si>
    <t>ZG6ID</t>
  </si>
  <si>
    <t>WOS:000760359400001</t>
  </si>
  <si>
    <t>Putzke, J; Schaefer, CEGR; Villa, PM; Pereira, AB; Schunemann, AL; Putzke, MTL</t>
  </si>
  <si>
    <t>Putzke, Jair; Schaefer, Carlos Ernesto G. R.; Villa, Pedro M.; Pereira, Antonio B.; Schunemann, Adriano L.; Putzke, Marisa T. L.</t>
  </si>
  <si>
    <t>The diversity and structure of plant communities in the maritime Antarctic is shaped by southern giant petrel's (Macronectes giganteus) breeding activities</t>
  </si>
  <si>
    <t>formations; phytogeography; plant; succession</t>
  </si>
  <si>
    <t>KING GEORGE ISLAND; BETA-DIVERSITY; ADMIRALTY BAY; EXTRAPOLATION; RAREFACTION; POPULATION</t>
  </si>
  <si>
    <t>Southern giant petrels (Macronectes giganteus) are found in the Antarctic. They build their nests with rock fragments, disturbing large areas during incubation and chick feeding periods; however, their impact on vegetation is unknown. Thus, we aimed to evaluate the effect of Petrel nests and associated breeding activities on the diversity and structure of cryptogam communities of Stinker Point, Elephant Island. We selected 13 nests in February and March 2012 and continue the monitoring in 2018. The area of direct influence of breeding activities was photographed to calculate plant community coverage. The results demonstrated that species richness, community coverage and composition, and beta diversity showed significant differences between active and inactive nests. The linear mixed-effect models revealed that the positive effect of nest area mainly caused variation in community coverage, but had a negative effect on beta diversity. Sphaerophorus globosus (lichen) grew around the inactive nests, sometimes forming a ring up to 1 m in diameter. This ring was then surrounded by the Chorisodontium acyphyllum moss colonized by S. globosus, and a final ring of Sanionia uncinata, colonized by the same lichen. Recently constructed nests are generally surrounded by Prasiola crispa and Sanionia uncinata carpets.</t>
  </si>
  <si>
    <t>[Putzke, Jair; Pereira, Antonio B.; Schunemann, Adriano L.] Univ Fed Pampa, Programa Posgrad Ciencias Biol, Av Antonio Trilha 1847, BR-97300162 Sao Gabriel, RS, Brazil; [Schaefer, Carlos Ernesto G. R.] Univ Fed Vicosa, Dept Solos, Campus Univ,Av Peter Henry Rolfs S-N, BR-36570900 Vicosa, MG, Brazil; [Villa, Pedro M.] Univ Fed Vicosa, Dept Biol Vegetal, Campus Univ,Av Peter Henry Rolfs S-N, BR-36570900 Vicosa, MG, Brazil; [Putzke, Marisa T. L.] Univ Santa Cruz do Sul, Av Independencia 2293,CP 188, BR-96815900 Santa Cruz Do Sul, RS, Brazil</t>
  </si>
  <si>
    <t>Universidade Federal do Pampa; Universidade Federal de Vicosa; Universidade Federal de Vicosa; Universidade de Santa Cruz do Sul</t>
  </si>
  <si>
    <t>Putzke, J (corresponding author), Univ Fed Pampa, Programa Posgrad Ciencias Biol, Av Antonio Trilha 1847, BR-97300162 Sao Gabriel, RS, Brazil.</t>
  </si>
  <si>
    <t>jrputzkebr@yahoo.com</t>
  </si>
  <si>
    <t>Pereira, Antonio B/I-8201-2014; Putzke, Jair/P-9380-2019; Villa, Pedro Manuel/S-8051-2017</t>
  </si>
  <si>
    <t>Pereira, Antonio B/0000-0003-0368-4594; Villa, Pedro Manuel/0000-0003-4826-3187; , jair/0000-0002-9018-9024</t>
  </si>
  <si>
    <t>e20210597</t>
  </si>
  <si>
    <t>10.1590/0001-3765202220210597</t>
  </si>
  <si>
    <t>ZG6IG</t>
  </si>
  <si>
    <t>WOS:000760359700001</t>
  </si>
  <si>
    <t>Watts, C; Innes, J; Wilson, DJ; Thornburrow, D; Bartlam, S; Fitzgerald, N; Cave, V; Smale, M; Barker, G; Padamsee, M</t>
  </si>
  <si>
    <t>Watts, Corinne; Innes, John; Wilson, Deborah J.; Thornburrow, Danny; Bartlam, Scott; Fitzgerald, Neil; Cave, Vanessa; Smale, Mark; Barker, Gary; Padamsee, Mahajabeen</t>
  </si>
  <si>
    <t>Do mice matter? Impacts of house mice alone on invertebrates, seedlings and fungi at Sanctuary Mountain Maungatautari</t>
  </si>
  <si>
    <t>NEW ZEALAND JOURNAL OF ECOLOGY</t>
  </si>
  <si>
    <t>earthworms; ecosanctuary; invertebrates; Mus musculus; New Zealand; seedlings; weta</t>
  </si>
  <si>
    <t>MOUSE MUS-MUSCULUS; SUB-ANTARCTIC MARION; NEW-ZEALAND; RATTUS-RATTUS; ISLAND; ERADICATION; PREDATOR; POPULATIONS; RELEASE; RATS</t>
  </si>
  <si>
    <t>The advent of mammal-resistant fences has allowed multi-species eradications of mammals from ecosanctuaries on the New Zealand mainland. However, maintaining eradication of house mice (Mus musculus) has proven difficult, and at some fenced reserves they are the only exotic mammal present and reach a high population density. Over 5 years we examined the impacts of mice alone on biodiversity at Sanctuary Mountain Maungatautari by comparing forest blocks with relatively high and low numbers of mice. We managed two independently fenced sites within the sanctuary to achieve high mouse numbers (up to 46 per hectare) at one site and undetectable mouse numbers at the second site. We then reversed these treatments by eradicating mice from the first site and allowing their numbers to increase at the second. We found strong evidence that mice reduced the abundance of ground-dwelling invertebrates, in particular caterpillars, spiders, weta, and beetles, and reduced the mean body size of some taxa. In addition, earthworm abundance, biomass and species richness increased with a decreasing mouse population in one study block. No significant impact of mice on land snails, seedlings or fungi was detected at Maungatautari. Overall, there is substantial biodiversity gain from eradicating the full suite of pest mammals other than mice. However, mice may be catastrophic in ecosanctuaries that focus on the recovery of invertebrates or lizards. We expect that mouse control tools will steadily improve so that in the future mice can be eradicated and excluded from forest reserves such as Maungatautari.</t>
  </si>
  <si>
    <t>[Watts, Corinne; Innes, John; Thornburrow, Danny; Bartlam, Scott; Fitzgerald, Neil; Smale, Mark; Barker, Gary] Manaaki Whenua Landcare Res, Private Bag 3127, Hamilton 3216, New Zealand; [Wilson, Deborah J.] Manaaki Whenua Landcare Res, Private Bag 1930, Dunedin 9054, New Zealand; [Cave, Vanessa] Cave Stat Consultancy Ltd, Glentui Lane, Hamilton 3293, New Zealand; [Padamsee, Mahajabeen] Manaaki Whenua Landcare Res, Auckland Mail Ctr, Private Bag 92170, Auckland 1142, New Zealand</t>
  </si>
  <si>
    <t>Landcare Research - New Zealand; Landcare Research - New Zealand; Landcare Research - New Zealand</t>
  </si>
  <si>
    <t>Watts, C (corresponding author), Manaaki Whenua Landcare Res, Private Bag 3127, Hamilton 3216, New Zealand.</t>
  </si>
  <si>
    <t>wattsc@landcarerescarch.co.nz</t>
  </si>
  <si>
    <t>Wilson, Deborah/0000-0002-6401-3092; Fitzgerald, Neil/0000-0001-9927-616X; Cave, Vanessa/0000-0002-1020-9014</t>
  </si>
  <si>
    <t>Strategic Science Investment Fund for Crown Research Institutes from the Ministry of Business, Innovation and Employment's Science and Innovation group; Waikato Regional Council; Auckland Council</t>
  </si>
  <si>
    <t>This project was funded by the Strategic Science Investment Fund for Crown Research Institutes from the Ministry of Business, Innovation and Employment's Science and Innovation group, and by Waikato Regional Council. We thank Bill and Sue Garland for access to their property, Maungatautari iwi for permission to undertake this work on the maunga, and Maungatautari Ecological Island Trust staff, led by Lucy Bridgman, and volunteers for access to the sanctuary. In 2013 Maungatautari staff undertook and maintained the eradication of mice in the Q block. We are indebted to Stephen Thorpe, who identified the beetles. Mike Fitzgerald provided valuable discussions on mice and invertebrates. Thanks to Kevin Collins, Alan Saunders, and Dave Byers (all Waikato Regional Council) and Jack Craw (Auckland Council) for funding and other assistance, and to Al Glen, Ray Prebble, Chris Jones, Joanne Monks, James Reardon and an anonymous reviewer for improving the draft of this manuscript.</t>
  </si>
  <si>
    <t>NEW ZEALAND ECOL SOC</t>
  </si>
  <si>
    <t>CHRISTCHURCH</t>
  </si>
  <si>
    <t>PO BOX 25178, CHRISTCHURCH, NEW ZEALAND</t>
  </si>
  <si>
    <t>0110-6465</t>
  </si>
  <si>
    <t>1177-7788</t>
  </si>
  <si>
    <t>NEW ZEAL J ECOL</t>
  </si>
  <si>
    <t>N. Z. J. Ecol.</t>
  </si>
  <si>
    <t>10.20417/nzjecol.46.22</t>
  </si>
  <si>
    <t>ZF2UK</t>
  </si>
  <si>
    <t>WOS:000759426700022</t>
  </si>
  <si>
    <t>Câmara, PEAS; Menezes, GCA; Pinto, OHB; Silva, MC; Convey, P; Rosa, LH</t>
  </si>
  <si>
    <t>Camara, Paulo E. A. S.; Menezes, Graciele C. A.; Pinto, Otavio H. B.; Silva, Micheline C.; Convey, Peter; Rosa, Luiz H.</t>
  </si>
  <si>
    <t>Using metabarcoding to assess Viridiplantae sequence diversity present in Antarctic glacial ice</t>
  </si>
  <si>
    <t>Algae; Angiosperms; DNA; biodiversity</t>
  </si>
  <si>
    <t>MICROBIAL COMMUNITIES; BIOGEOCHEMISTRY; MICROORGANISMS; ABUNDANCE; CARBON; PLANT</t>
  </si>
  <si>
    <t>Antarctica contains most of the glacial ice on the planet, a habitat that is largely unexplored by biologists. Recent warming in parts of Antarctica, particularly the Antarctic Peninsula region, is leading to widespread glacial retreat, releasing melt water and, potentially, contained biological material and propagules. In this study, we used a DNA metabarcoding approach to characterize Viridiplantae DNA present in Antarctic glacial ice. Ice samples from six glaciers in the South Shetland Islands and Antarctic Peninsula were analysed, detecting the presence of DNA representing a total of 16 taxa including 11 Chlorophyta (green algae) and five Magnoliophyta (flowering plants). The green algae may indicate the presence of a viable algal community in the ice or simply of preserved DNA, and the sequence diversity assigned included representatives of Chlorophyta not previously recorded in Antarctica. The presence of flowering plant DNA is most likely to be associated with pollen or tissue fragments introduced by humans.</t>
  </si>
  <si>
    <t>[Camara, Paulo E. A. S.; Silva, Micheline C.] Univ Brasilia, Inst Ciencias Biol, Dept Bot, Campus Univ Darcy Ribeiro S-N, BR-70910900 Brasilia, DF, Brazil; [Camara, Paulo E. A. S.] Univ Fed Santa Catarina, Posgrad Plantas Fungos &amp; Algas, Campus Univ S-N,Sala 208,Bloco E, BR-88040900 Florianopolis, SC, Brazil; [Menezes, Graciele C. A.; Rosa, Luiz H.] Univ Fed Minas Gerais, Inst Ciencias Biol, Dept Microbiol, Av Antonio Carlos 6627, BR-31270000 Belo Horizonte, MG, Brazil; [Pinto, Otavio H. B.] Univ Brasilia, Inst Ciencias Biol, Dept Biol Celular, Campus Univ Darcy Ribeiro S-N, BR-70910000 Brasilia, DF, Brazil; [Convey, Peter] British Antarctic Survey, NERC, Madingley Rd, Cambridge CB3 0ET, England; [Convey, Peter] Univ Johannesburg, Dept Zool, POB 524, ZA-2006 Johannesburg, South Africa</t>
  </si>
  <si>
    <t>Universidade de Brasilia; Universidade Federal de Santa Catarina (UFSC); Universidade Federal de Minas Gerais; Universidade de Brasilia; UK Research &amp; Innovation (UKRI); Natural Environment Research Council (NERC); NERC British Antarctic Survey; University of Johannesburg</t>
  </si>
  <si>
    <t>Câmara, PEAS (corresponding author), Univ Brasilia, Inst Ciencias Biol, Dept Bot, Campus Univ Darcy Ribeiro S-N, BR-70910900 Brasilia, DF, Brazil.;Câmara, PEAS (corresponding author), Univ Fed Santa Catarina, Posgrad Plantas Fungos &amp; Algas, Campus Univ S-N,Sala 208,Bloco E, BR-88040900 Florianopolis, SC, Brazil.</t>
  </si>
  <si>
    <t>paducamara@gmail.com</t>
  </si>
  <si>
    <t>Convey, Peter/AAV-5728-2020; Camara, Paulo/GPP-2054-2022</t>
  </si>
  <si>
    <t>Convey, Peter/0000-0001-8497-9903; Camara, Paulo/0000-0002-3944-996X; Pinto, Otavio/0000-0002-8382-2987; Cunha Alves de Menezes, Graciele/0000-0002-9427-1893; Silva, Micheline/0000-0002-2389-3804</t>
  </si>
  <si>
    <t>Conselho Nacional de Desenvolvimento Cientifico e Tecnologico (CNPq); PROANTAR; Fundacao de Amparo a Pesquisa do Estado de Minas Gerais (FAPEMIG); Coordenacao de Aperfeicoamento de Pessoal de Nivel Superior - Brasil (CAPES); INCT Criosfera 2; NERC</t>
  </si>
  <si>
    <t>Conselho Nacional de Desenvolvimento Cientifico e Tecnologico (CNPq)(Conselho Nacional de Desenvolvimento Cientifico e Tecnologico (CNPQ)); PROANTAR; Fundacao de Amparo a Pesquisa do Estado de Minas Gerais (FAPEMIG)(Fundacao de Amparo a Pesquisa do Estado de Minas Gerais (FAPEMIG)); Coordenacao de Aperfeicoamento de Pessoal de Nivel Superior - Brasil (CAPES)(Coordenacao de Aperfeicoamento de Pessoal de Nivel Superior (CAPES)); INCT Criosfera 2; NERC(UK Research &amp; Innovation (UKRI)Natural Environment Research Council (NERC))</t>
  </si>
  <si>
    <t>This study received financial support from Conselho Nacional de Desenvolvimento Cientifico e Tecnologico (CNPq), PROANTAR, Fundacao de Amparo a Pesquisa do Estado de Minas Gerais (FAPEMIG), Coordenacao de Aperfeicoamento de Pessoal de Nivel Superior - Brasil (CAPES), INCT Criosfera 2. P. Convey is supported by NERC core funding to the British Antarctic Survey's 'Biodiversity, Evolution and Adaptation' Team. Thanks also to congresswoman Jo Moraes and the Biological Sciences Institute at University of Brasilia. We thank the Brazilian Navy and Air Force.</t>
  </si>
  <si>
    <t>e20201736</t>
  </si>
  <si>
    <t>10.1590/0001-3765202220201736</t>
  </si>
  <si>
    <t>ZN9AE</t>
  </si>
  <si>
    <t>WOS:000765320900001</t>
  </si>
  <si>
    <t>Santos, A; Piovesan, EK; Guzmán, J; Usma, CD; Weinschütz, LC; Dos Santos, RJM; Oliveira, GR; Figueiredo, RG; Ricetti, JHZ; Wilner, E; Sayao, JM; Kellner, AWA</t>
  </si>
  <si>
    <t>Santos, Alessandra; Piovesan, Enelise Katia; Guzman, Juliana; Usma, Cristian D.; Weinschutz, Luiz Carlos; Dos Santos, Radarany Jasmine M.; Oliveira, Gustavo R.; Figueiredo, Rodrigo G.; Ricetti, Joao Henrique Z.; Wilner, Everton; Sayao, Juliana M.; Kellner, Alexander W. A.</t>
  </si>
  <si>
    <t>Paleoenvironment of the Cerro Negro Formation (Aptian, Early Cretaceous) of Snow Island, Antarctic Peninsula</t>
  </si>
  <si>
    <t>Antarctica; Cretaceous; palynology; sedimentology; geochemistry</t>
  </si>
  <si>
    <t>SOUTH SHETLAND ISLANDS; BYERS GROUP; LIVINGSTON ISLAND; PRESIDENT-HEAD; PALYNOFACIES; BASIN; STRATIGRAPHY; ARC; GEOCHRONOLOGY; PALYNOLOGY</t>
  </si>
  <si>
    <t>A study of macro and microfacies, palynoflora and palynofacies of the non-marine Cerro Negro Formation at President Head Peninsula, Snow Island, northwest of the Antarctic Peninsula, was developed. Two assemblages were recognized: Palynofacies assemblage 1 (P1) at the base of the section with a dominance of fern spores and conifer pollen grains, and facies association consisting of a clastic layer, with the predominance of mudstones; and Palynofacies assemblage 2 (P2) at the top of the section, with remarkable abundance of AOM/Pseudoamorphous particles, associated with facies that includes tuffs. The complete section shows in some levels the presence of freshwater algae and translucent phytoclasts. The integrated data characterizes a fluvial-lacustrine environment, what is reinforced by the occurrence of freshwater algae (Botryococcus) in some levels of P1 and P2. We could verify an increase in volcanic activity towards the top of the section that apparently has played an important role in the collapse of the palynoflora. The occurrence of the spore species Muricingulisporis annulatus, Sotasporites elegans, S. triangularis, Foraminisporis wonthaggiensis, and F. asymmetricus in the Cerro Negro Formation allows the correlation with sections in South America and Australia, suggesting an Aptian age for these deposits.</t>
  </si>
  <si>
    <t>[Santos, Alessandra] Univ Vale Rio dos Sinos, Inst Tecnol Paleoceanog &amp; Mudancas Climat Itt Oce, Av Unisinos 950, BR-93022750 Sao Leopoldo, RS, Brazil; [Piovesan, Enelise Katia; Guzman, Juliana; Dos Santos, Radarany Jasmine M.] Univ Fed Pernambuco, Lab Micropaleontol Aplicada LAGESE LITPEG, Av Arquitetura S-N, BR-50740540 Recife, PE, Brazil; [Usma, Cristian D.] Univ Fed Pernambuco, Nucleo Estudos Geoquim, Av Acad Helio Ramos S-N, BR-50740530 Recife, PE, Brazil; [Usma, Cristian D.] Lab Isotopos Estaveis NEG LABISE CTG, Av Acad Helio Ramos S-N, BR-50740530 Recife, PE, Brazil; [Weinschutz, Luiz Carlos; Ricetti, Joao Henrique Z.; Wilner, Everton] Univ Contestado, Ctr Paleontol Univ Contestado CENPALEO, Av Pres Nereu Ramos 1071, BR-89306076 Mafra, SC, Brazil; [Oliveira, Gustavo R.] Univ Fed Rural Pernambuco, Dept Biol, Lab Paleontol &amp; Sistemat, Rua Dom Manuel de Medeiros S-N, BR-52171900 Recife, PE, Brazil; [Figueiredo, Rodrigo G.] Univ Fed Espirito Santo, Dept Biol, Alto Univ S-N, BR-29500000 Alegre, ES, Brazil; [Ricetti, Joao Henrique Z.] Univ Fed Rio Grande do Sul, Inst Geociencias, Programa Posgrad Geociencias, Av Bento Goncalves 9500, BR-91509900 Porto Alegre, RS, Brazil; [Sayao, Juliana M.; Kellner, Alexander W. A.] Univ Fed Rio de Janeiro, Lab Paleobiol &amp; Paleogeog Antartica, Museu Nacl, Quinta Boa Vista S-N, BR-29040040 Rio De Janeiro, RJ, Brazil; [Kellner, Alexander W. A.] Univ Fed Rio de Janeiro, Dept Geol &amp; Paleontol, Lab Sistemat &amp; Tafon Vertebrados Fosseis, Museu Nacl, Quinta Boa Vista S-N, BR-29040040 Rio De Janeiro, RJ, Brazil</t>
  </si>
  <si>
    <t>Universidade do Vale do Rio dos Sinos (Unisinos); Universidade Federal de Pernambuco; Universidade Federal de Pernambuco; Universidade do Contestado; Universidade Federal Rural de Pernambuco (UFRPE); Universidade Federal do Espirito Santo; Universidade Federal do Rio Grande do Sul; Universidade Federal do Rio de Janeiro; Universidade Federal do Rio de Janeiro</t>
  </si>
  <si>
    <t>Santos, A (corresponding author), Univ Vale Rio dos Sinos, Inst Tecnol Paleoceanog &amp; Mudancas Climat Itt Oce, Av Unisinos 950, BR-93022750 Sao Leopoldo, RS, Brazil.</t>
  </si>
  <si>
    <t>alessandrass@unisinos.br</t>
  </si>
  <si>
    <t>Piovesan, Enelise Katia/Q-2953-2017; Oliveira, Gustavo/IQW-7983-2023; Oliveira, Gustavo/F-7432-2012</t>
  </si>
  <si>
    <t>Piovesan, Enelise Katia/0000-0002-0433-0395; Weinschutz, Luiz Carlos/0000-0002-8978-6120; Wilner, Everton/0000-0002-1787-4957; Usma Cuervo, Cristian David/0000-0001-6848-445X; Guzman, Juliana/0000-0001-7898-049X; Oliveira, Gustavo/0000-0002-9871-1235; Ricetti, Joao Henrique Zahdi/0000-0003-3142-3869</t>
  </si>
  <si>
    <t>Programa Antartico Brasileiro - PROANTAR (CNPq) [407670/2013, 442677/2018-9]; Conselho Nacional de Desenvolvimento Cientifico e Tecnologico (CNPq) [311715/2017-6, 313461/2018-0]; Fundacao de Desenvolvimento Carlos Chagas Filho de Amparo a Pesquisa do Estado do Rio de Janeiro (FAPERJ) [E-26/202.905/2018]; Pro-Reitoria de Pesquisa e Pos-Graduacao of Universidade Federal de Pernambuco PROPESQ-UFPE</t>
  </si>
  <si>
    <t>Programa Antartico Brasileiro - PROANTAR (CNPq)(Conselho Nacional de Desenvolvimento Cientifico e Tecnologico (CNPQ)Fundacao de Apoio a Pesquisa do Distrito Federal (FAPDF)); Conselho Nacional de Desenvolvimento Cientifico e Tecnologico (CNPq)(Conselho Nacional de Desenvolvimento Cientifico e Tecnologico (CNPQ)); Fundacao de Desenvolvimento Carlos Chagas Filho de Amparo a Pesquisa do Estado do Rio de Janeiro (FAPERJ)(Fundacao Carlos Chagas Filho de Amparo a Pesquisa do Estado do Rio De Janeiro (FAPERJ)); Pro-Reitoria de Pesquisa e Pos-Graduacao of Universidade Federal de Pernambuco PROPESQ-UFPE</t>
  </si>
  <si>
    <t>This study was supported by the Programa Antartico Brasileiro - PROANTAR (CNPq #407670/2013, 442677/2018-9 to AWAK). The team of the PALEOANTAR Project wants to thank the NaPo Almirante Maximiano and HU-1 helicopter squadron military group for safely transporting personal and equipment from Brazil to Antarctica. The alpinists Ricardo Leizer and Luiz Carlos assisted in the deployment of the PALEOANTAR research team as well as in the maintenance of the 28-day camp at the XXXV Antarctic Operation. Ricardo Leizer is the author of the photographs used in figure 2. Michele Moraes of the MEDIANTAR Project shared a camping with our team and assisted in the collection and transportation of the material used here. AS is grateful to Cecilia Amenabar for the discussions on the identifications of the palynoflora. We would like to thank additional support from Conselho Nacional de Desenvolvimento Cientifico e Tecnologico (CNPq) to JMS (#311715/2017-6) and AWAK (#313461/2018-0); Fundacao de Desenvolvimento Carlos Chagas Filho de Amparo a Pesquisa do Estado do Rio de Janeiro (FAPERJ) to AWAK (#E-26/202.905/2018) and Pro-Reitoria de Pesquisa e Pos-Graduacao of Universidade Federal de Pernambuco PROPESQ-UFPE for fellowship to JMS and EKP.</t>
  </si>
  <si>
    <t>e20201944</t>
  </si>
  <si>
    <t>10.1590/0001-3765202220201944</t>
  </si>
  <si>
    <t>ZG6HZ</t>
  </si>
  <si>
    <t>WOS:000760359000001</t>
  </si>
  <si>
    <t>Gheller, PF; Corbisier, TN</t>
  </si>
  <si>
    <t>Gheller, Paula F.; Corbisier, Thais N.</t>
  </si>
  <si>
    <t>Monitoring the anthropogenic impacts in Admiralty Bay using meiofauna community as indicators (King George Island, Antarctica)</t>
  </si>
  <si>
    <t>Martel Inlet; Antarctic; sewage; pollution effects; meiobenthos; Nematoda</t>
  </si>
  <si>
    <t>STATION COMANDANTE FERRAZ; SHALLOW-WATER MEIOFAUNA; MARTEL INLET; NEMATODE COMMUNITIES; COASTAL SEDIMENTS; CONTINENTAL-SHELF; SURFACE SEDIMENTS; MARINE-SEDIMENTS; MCMURDO-STATION; POTTER COVE</t>
  </si>
  <si>
    <t>Activities at the Brazilian Antarctic Station (EACF) may cause damage to surrounding environment Meiofauna was used to evaluate this impact One area possibly impacted by the stations' presence (CF) and a reference area (BP) were compared. Sediment samples for meiofauna and environmental variables were obtained in two periods, at two sites and depths in each area. Densities were higher at 20-30m and nematodes were the dominant taxa (90%). Nematode densities ranged from 1,278 +/- 599 (BP1 50-60m) to 16,021 +/- 12,298 ind.10 cm(-2) (BP2 20-30m). A total of 68 genera were found. Sample richness ranged from 8 to 26 and diversity from 1.4 to 3.6 bits/ind, both being higher at BP 50-60m, where dominance of epistrate feeders was lower. Selective and non-selective deposit feeders were codominant with similar proportions. Maturity index was high and constant between samples. Aponema, Sabatieria, Daptonema, Dichromadora and Halalaimus were dominant, with higher densities at 20-30m. In contrast, Actinonema, Molgolaimus, Oxystomina and Marylynnia were more abundant at 50-60m. Differences in meiofauna community were found mainly between depths, but not between sites or periods, suggesting no anthropogenic impact. Nevertheless, lower Nematoda diversities and maturity index at 50-60m in CF when compared to BP may indicate a possible anthropogenic effect near EACF.</t>
  </si>
  <si>
    <t>[Gheller, Paula F.; Corbisier, Thais N.] Univ Sao Paulo, Inst Oceanog, Dept Oceanog Biol, Praca Oceanog 191,Cidade Univ, BR-05508120 Sao Paulo, SP, Brazil</t>
  </si>
  <si>
    <t>Gheller, PF (corresponding author), Univ Sao Paulo, Inst Oceanog, Dept Oceanog Biol, Praca Oceanog 191,Cidade Univ, BR-05508120 Sao Paulo, SP, Brazil.</t>
  </si>
  <si>
    <t>paulafgheller@usp.br</t>
  </si>
  <si>
    <t>Gheller, Paula Foltran/0000-0002-1455-1271</t>
  </si>
  <si>
    <t>Conselho Nacional de Desenvolvimento Cientifico e Tecnologico [CNPq 550354/02-6]; Conselho Nacional de Desenvolvimento Cientifico e Tecnologico/CNPq [135186/2005-6]; Ministerio da Ciencia, Tecnologia e Inovacoes (MCTI); Comissao Interministerial para os Recursos do Mar (CIRM); Ministerio do Meio Ambiente (MMA)</t>
  </si>
  <si>
    <t>Conselho Nacional de Desenvolvimento Cientifico e Tecnologico(Conselho Nacional de Desenvolvimento Cientifico e Tecnologico (CNPQ)); Conselho Nacional de Desenvolvimento Cientifico e Tecnologico/CNPq(Conselho Nacional de Desenvolvimento Cientifico e Tecnologico (CNPQ)); Ministerio da Ciencia, Tecnologia e Inovacoes (MCTI); Comissao Interministerial para os Recursos do Mar (CIRM)(California Institute for Regenerative Medicine); Ministerio do Meio Ambiente (MMA)</t>
  </si>
  <si>
    <t>We would like to thank two reviewers for their helpful comments that were material in improving the manuscript. Special thanks to Dr Lucia Campos, coordinator of Benthos Project (GEAMB), for her helpful contribution in providing samples. We thank the staff of the Brazilian Antarctic Station and scientists from REDE2 for their collaboration, especially those involved in sampling. Financial support and scholarship for this project was provided by Conselho Nacional de Desenvolvimento Cientifico e Tecnologico (CNPq 550354/02-6 -REDE 2 -Avaliacao do conhecimento da estrutura das comunidades bentonicas para o gerenciamento ambiental da Baia do Almirantado and Conselho Nacional de Desenvolvimento Cientifico e Tecnologico/CNPq 135186/2005-6). We are grateful for support of the Ministerio da Ciencia, Tecnologia e Inovacoes (MCTI), Ministerio do Meio Ambiente (MMA) and Comissao Interministerial para os Recursos do Mar (CIRM). This work is part of the master dissertation of PFG (Gheller 2007) and is in line with the Universidade de Sao Paulo policy.</t>
  </si>
  <si>
    <t>e20210616</t>
  </si>
  <si>
    <t>10.1590/0001-3765202220210616</t>
  </si>
  <si>
    <t>ZF4GK</t>
  </si>
  <si>
    <t>WOS:000759528000001</t>
  </si>
  <si>
    <t>Tyssoy, HN; Sinnhuber, M; Asikainen, T; Bender, S; Clilverd, MA; Funke, B; van de Kamp, M; Pettit, JM; Randall, CE; Reddmann, T; Rodger, CJ; Rozanov, E; Smith-Johnsen, C; Sukhodolov, T; Verronen, PT; Wissing, JM; Yakovchuk, O</t>
  </si>
  <si>
    <t>Nesse Tyssoy, H.; Sinnhuber, M.; Asikainen, T.; Bender, S.; Clilverd, M. A.; Funke, B.; van de Kamp, M.; Pettit, J. M.; Randall, C. E.; Reddmann, T.; Rodger, C. J.; Rozanov, E.; Smith-Johnsen, C.; Sukhodolov, T.; Verronen, P. T.; Wissing, J. M.; Yakovchuk, O.</t>
  </si>
  <si>
    <t>HEPPA III Intercomparison Experiment on Electron Precipitation Impacts: 1. Estimated Ionization Rates During a Geomagnetic Active Period in April 2010</t>
  </si>
  <si>
    <t>medium energy electrons; ionization rates; atmospheric impact</t>
  </si>
  <si>
    <t>ENERGETIC PARTICLE-PRECIPITATION; SOLAR PROTON EVENTS; MIDDLE ATMOSPHERE; NITRIC-OXIDE; SATELLITE-OBSERVATIONS; CLIMATE MODEL; OZONE; FLUXES; MESOSPHERE; NOY</t>
  </si>
  <si>
    <t>Precipitating auroral and radiation belt electrons are considered an important part of the natural forcing of the climate system. Recent studies suggest that this forcing is underestimated in current chemistry-climate models. The High Energy Particle Precipitation in the Atmosphere III intercomparison experiment is a collective effort to address this point. Here, eight different estimates of medium energy electron (MEE) (&gt;30keV) $(&gt; 30\hspace*{.5em}keV)$ ionization rates are assessed during a geomagnetic active period in April 2010. The objective is to understand the potential uncertainty related to the MEE energy input. The ionization rates are all based on the Medium Energy Proton and Electron Detector (MEPED) on board the NOAA/POES and EUMETSAT/MetOp spacecraft series. However, different data handling, ionization rate calculations, and background atmospheres result in a wide range of mesospheric electron ionization rates. Although the eight data sets agree well in terms of the temporal variability, they differ by about an order of magnitude in ionization rate strength both during geomagnetic quiet and disturbed periods. The largest spread is found in the aftermath of enhanced geomagnetic activity. Furthermore, governed by different energy limits, the atmospheric penetration depth varies, and some differences related to latitudinal coverage are also evident. The mesospheric NO densities simulated with the Whole Atmospheric Community Climate Model driven by highest and lowest ionization rates differ by more than a factor of eight. In a follow-up study, the atmospheric responses are simulated in four chemistry-climate models (CCM) and compared to satellite observations, considering both the CCM structure and the ionization forcing.</t>
  </si>
  <si>
    <t>[Nesse Tyssoy, H.; Smith-Johnsen, C.] Univ Bergen, Dept Phys &amp; Technol, Birkeland Ctr Space Sci, Bergen, Norway; [Sinnhuber, M.; Reddmann, T.] Karlsruhe Inst Technol, Eggenstein Leopoldshafen, Germany; [Asikainen, T.; Verronen, P. T.] Univ Oulu, Oulu, Finland; [Bender, S.] Norwegian Univ Sci &amp; Technol, Birkeland Ctr Space Sci, Trondheim, Norway; [Clilverd, M. A.] British Antarctic Survey UKRI NERC, Cambridge, England; [Funke, B.] CSIC, Inst Astrofis Andalucia, Granada, Spain; [van de Kamp, M.; Verronen, P. T.] Finnish Meteorol Inst, Space &amp; Earth Observat Ctr, Helsinki, Finland; [Pettit, J. M.; Randall, C. E.] Univ Colorado, LASP, Boulder, CO 80309 USA; [Rodger, C. J.] Univ Otago, Dunedin, New Zealand; [Rozanov, E.; Sukhodolov, T.] PMOD WRC, Davos, Switzerland; [Rozanov, E.; Sukhodolov, T.; Yakovchuk, O.] St Petersburg State Univ, St Petersburg, Russia; [Wissing, J. M.; Yakovchuk, O.] Univ Rostock, Rostock, Germany; [Yakovchuk, O.] Lomonosov Moscow State Univ, Skobeltsyn Inst Nucl Phys, Moscow, Russia</t>
  </si>
  <si>
    <t>University of Bergen; Helmholtz Association; Karlsruhe Institute of Technology; University of Oulu; Norwegian University of Science &amp; Technology (NTNU); UK Research &amp; Innovation (UKRI); Natural Environment Research Council (NERC); NERC British Antarctic Survey; Consejo Superior de Investigaciones Cientificas (CSIC); CSIC - Instituto de Astrofisica de Andalucia (IAA); Finnish Meteorological Institute; University of Colorado System; University of Colorado Boulder; University of Otago; Saint Petersburg State University; University of Rostock; Lomonosov Moscow State University</t>
  </si>
  <si>
    <t>Tyssoy, HN (corresponding author), Univ Bergen, Dept Phys &amp; Technol, Birkeland Ctr Space Sci, Bergen, Norway.</t>
  </si>
  <si>
    <t>hilde.nesse@uib.no</t>
  </si>
  <si>
    <t>Rodger, Craig/A-1501-2011; Verronen, Pekka T/G-6658-2014; van de Kamp, Max/GSI-4607-2022; Funke, Bernd/C-2162-2008; RANDALL, CORA/L-8760-2014; Sinnhuber, Miriam/A-7252-2013</t>
  </si>
  <si>
    <t>Funke, Bernd/0000-0003-0462-4702; Reddmann, Thomas/0000-0003-1733-7016; Bender, Stefan/0000-0002-8728-053X; Rodger, Craig J./0000-0002-6770-2707; RANDALL, CORA/0000-0002-4313-4397; Verronen, P. T./0000-0002-3479-9071; Sukhodolov, Timofei/0000-0001-7100-738X; Pettit, Joshua/0000-0003-3733-6774; Sinnhuber, Miriam/0000-0002-3527-9051</t>
  </si>
  <si>
    <t>Norwegian Research Council (NRC) [223252, 302040]; NRC [223252]; Academy of Finland [335555 ICT-SUNVAC, 321440]; Agencia Estatal de Investigacion of the Ministerio de Ciencia, Innovacion y Universidades [ESP2017-87143-R, PID2019-110689RB-I00]; Centre of Excellence Severo Ochoa award [SEV-2017-0709]; NSF CEDAR grant [AGS 1651428]; Ministry of Science and Higher Education of the Russian Federation [075-15-2021-583]; German Russian cooperation project H-EPIC - Russian Foundation for Basic Research (RFBR) [20-55-12020]; German Research Foundation DFG [SI 1088/7-1]; German Science Foundation (DFG) [WI4417/2-1]; German Aerospace Center (DLR) [D/921/67284894]; International Space Science Institute, Bern, Switzerland</t>
  </si>
  <si>
    <t>Norwegian Research Council (NRC)(Research Council of Norway); NRC(National Research Centre (NRC)); Academy of Finland(Research Council of Finland); Agencia Estatal de Investigacion of the Ministerio de Ciencia, Innovacion y Universidades(Spanish Government); Centre of Excellence Severo Ochoa award; NSF CEDAR grant; Ministry of Science and Higher Education of the Russian Federation; German Russian cooperation project H-EPIC - Russian Foundation for Basic Research (RFBR)(Russian Foundation for Basic Research (RFBR)); German Research Foundation DFG(German Research Foundation (DFG)); German Science Foundation (DFG)(German Research Foundation (DFG)); German Aerospace Center (DLR)(Helmholtz AssociationGerman Aerospace Centre (DLR)); International Space Science Institute, Bern, Switzerland</t>
  </si>
  <si>
    <t>This study as well as the companion paper are a collaborative effort of the working group five: Medium Energy Electrons (MEE) Model-Measurement intercomparison of the SPARC Solaris-Heppa initiative, see . The authors thank the SPARC/WCRP for supporting the initial working group meetings. H. Nesse TyssOy is supported by the Norwegian Research Council (NRC) under contract 223252 and 302040. S. Bender and C. Smith-Johnsen are also supported by the NRC under contract 223252. T. Asikainen is supported by the Academy of Finland (PROSPECT project no: 321440). B. Funke acknowledges financial support from the Agencia Estatal de Investigacion of the Ministerio de Ciencia, Innovacion y Universidades through projects ESP2017-87143-R and PID2019-110689RB-I00, as well as the Centre of Excellence Severo Ochoa award to the Instituto de Astrofisica de Andalucia (SEV-2017-0709). J. Pettit's work is funded by NSF CEDAR grant AGS 1651428. E.Rozanov's and T. Sukhodolov's work on the manuscript is done in the SPbSU Ozone Layer and Upper Atmosphere Research Laboratory supported by the Ministry of Science and Higher Education of the Russian Federation under agreement 075-15-2021-583 and was partly supported by German Russian cooperation project H-EPIC funded by the Russian Foundation for Basic Research (RFBR project No 20-55-12020). M. Sinnhuber work was partly supported by the German Research Foundation DFG (grant SI 1088/7-1). The work of P. T. Verronen is supported by the Academy of Finland (project No. 335555 ICT-SUNVAC). The development of AISstom has been supported by the German Science Foundation (DFG; grant no. WI4417/2-1). J.M. Wissing is supported by the German Aerospace Center (DLR; grant no. D/921/67284894). M. Sinnhuber, M. A. Clilverd, B. Funke, C. E. Randall, C. J. Rodger, J. M. Wissing, and P. T. Verronen would like to thank the International Space Science Institute, Bern, Switzerland for supporting the project Quantifying Hemispheric Differences in Particle Forcing Effects on Stratospheric Ozone (Leader: D. R. Marsh).</t>
  </si>
  <si>
    <t>e2021JA029128</t>
  </si>
  <si>
    <t>10.1029/2021JA029128</t>
  </si>
  <si>
    <t>ZF4OW</t>
  </si>
  <si>
    <t>WOS:000759550200039</t>
  </si>
  <si>
    <t>Rodger, CJ; Hendry, AT; Clilverd, MA; Forsyth, C; Morley, SK</t>
  </si>
  <si>
    <t>Rodger, Craig J.; Hendry, Aaron T.; Clilverd, Mark A.; Forsyth, Colin; Morley, Steven K.</t>
  </si>
  <si>
    <t>Examination of Radiation Belt Dynamics During Substorm Clusters: Activity Drivers and Dependencies of Trapped Flux Enhancements</t>
  </si>
  <si>
    <t>radiation belt electrons; radiation belt acceleration; magnetospheric substorm; magnetospheric convection; whistler mode chorus</t>
  </si>
  <si>
    <t>SOLAR-WIND; RELATIVISTIC ELECTRONS; CHORUS; WAVES; SEED</t>
  </si>
  <si>
    <t>Dynamical variations of radiation belt trapped electron fluxes are examined to better understand the variability of enhancements linked to substorm clusters. Analysis is undertaken using the Substorm Onsets and Phases from Indices of the Electrojet substorm cluster algorithm for event detection. Observations from low earth orbit are complemented by additional measurements from medium earth orbit to allow a major expansion in the energy range considered, from medium energy energetic electrons up to ultra-relativistic electrons. The number of substorms identified inside a cluster does not depend strongly on solar wind drivers or geomagnetic indices either before, during, or after the cluster start time. Clusters of substorms linked to moderate (100 nT &lt; AE &lt;= 300 nT) or strong AE (AE &gt;= 300 nT) disturbances are associated with radiation belt flux enhancements, including up to ultra-relativistic energies by the strongest substorms (as measured by strong southward B-z and high AE). These clusters reliably occur during times of high speed solar winds streams with associated increased magnetospheric convection. However, substorm clusters associated with quiet AE disturbances (AE &lt;= 100 nT) lead to no significant chorus whistler mode intensity enhancements, or increases in energetic, relativistic, or ultra-relativistic electron flux in the outer radiation belts. In these cases the solar wind speed is low, and the geomagnetic Kp index indicates a lack of magnetospheric convection. Our study clearly indicates that clusters of substorms occurring outside of high speed wind streams are not by themselves sufficient to drive acceleration, which may be due to the lack of pre-cluster convection.</t>
  </si>
  <si>
    <t>[Rodger, Craig J.; Hendry, Aaron T.] Univ Otago, Dept Phys, Dunedin, New Zealand; [Clilverd, Mark A.] British Antarctic Survey UKRI NERC, Cambridge, England; [Forsyth, Colin] UCL Mullard Space Sci Lab, Dorking, Surrey, England; [Morley, Steven K.] Los Alamos Natl Lab, Space Sci &amp; Applicat, Los Alamos, NM USA</t>
  </si>
  <si>
    <t>University of Otago; UK Research &amp; Innovation (UKRI); Natural Environment Research Council (NERC); NERC British Antarctic Survey; University of London; University College London; United States Department of Energy (DOE); Los Alamos National Laboratory</t>
  </si>
  <si>
    <t>Rodger, CJ (corresponding author), Univ Otago, Dept Phys, Dunedin, New Zealand.</t>
  </si>
  <si>
    <t>crodger@physics.otago.ac.nz</t>
  </si>
  <si>
    <t>Rodger, Craig/A-1501-2011; Morley, Steven/A-8321-2008; Forsyth, Colin/E-4159-2010</t>
  </si>
  <si>
    <t>Morley, Steven/0000-0001-8520-0199; Forsyth, Colin/0000-0002-0026-8395; Rodger, Craig J./0000-0002-6770-2707</t>
  </si>
  <si>
    <t>NERC [NE/P017185/1, NE/V002554/2]; US Department of Energy; Laboratory Directed Research and Development (LDRD) program [20190262ER]; NERC IRF [NE/N014480/1]; NERC [NE/N014480/1] Funding Source: UKRI</t>
  </si>
  <si>
    <t>NERC(UK Research &amp; Innovation (UKRI)Natural Environment Research Council (NERC)); US Department of Energy(United States Department of Energy (DOE)); Laboratory Directed Research and Development (LDRD) program; NERC IRF(UK Research &amp; Innovation (UKRI)Natural Environment Research Council (NERC)); NERC(UK Research &amp; Innovation (UKRI)Natural Environment Research Council (NERC))</t>
  </si>
  <si>
    <t>The authors would like to thank the researchers and engineers of NOAA's Space Environment Center for the provision of the data and the operation of the SEM-2 instrument carried onboard these spacecraft over more than two decades. The authors also thank R. Gamble for preparing and J.-J. Berthelier for originally providing the DEMETER ICE data. The authors would like to thank the CXD team at Los Alamos National Lab-oratory who develop, maintain, operate, and process the GPS CXD data used in this study. The authors gratefully acknowledge the SuperMAG collaborators for providing the SML and SMU indices from which the SOPHIE events were derived. Colin Forsyth was funded by NERC IRF NE/N014480/1 and NERC grants NE/P017185/1 and NE/V002554/2. Contributions by Steven K. Morley were performed under the auspices of the US Department of Energy and partially supported by the Laboratory Directed Research and Development (LDRD) program, award 20190262ER.</t>
  </si>
  <si>
    <t>e2021JA030003</t>
  </si>
  <si>
    <t>10.1029/2021JA030003</t>
  </si>
  <si>
    <t>Green Published, Green Accepted, Green Submitted</t>
  </si>
  <si>
    <t>WOS:000759550200057</t>
  </si>
  <si>
    <t>Rizzotti, D; Manfrin, C; Gerdol, M; Greco, S; Santovito, G; Giulianini, PG</t>
  </si>
  <si>
    <t>Rizzotti, Damiano; Manfrin, Chiara; Gerdol, Marco; Greco, Samuele; Santovito, Gianfranco; Giulianini, Piero G.</t>
  </si>
  <si>
    <t>Morphological analysis of erythrocytes of an Antarctic teleost under heat stress: Bias of the stabling effect</t>
  </si>
  <si>
    <t>JOURNAL OF THERMAL BIOLOGY</t>
  </si>
  <si>
    <t>Trematomus bemacchii; Stabling; Shape descriptors; Biomarker</t>
  </si>
  <si>
    <t>TREMATOMUS-BERNACCHII; MARGINAL BAND; NUCLEAR ABNORMALITIES; NOTOTHENIOID FISH; ROSS SEA; ACCLIMATION; TEMPERATURE; EXPOSURE; REVEALS; COLD</t>
  </si>
  <si>
    <t>The stenothermal Antarctic fish that live in the coastal waters of the Terra Nova Bay (Ross Sea) are rarely exposed to temperatures above zero during the year. We tested whether a slight temperature rise of 1.5 degrees C affects a sensitive biomarker such as erythrocytes morphology in sections of blood pellets of a small demersal notothen. The erythrocytes' shape descriptors showed significant or highly significant differences temporally from the capture of fish to the conclusion of the experiment. Surprisingly, the erythrocyte's morphology did not show significant differences between the two experimental conditions, returning similar results in control fish stabled at -0.9 degrees C and in the fish treated at +0.6 degrees C, although the values of the shape descriptors were often lower in the latter. This study demonstrates the critical issues of comparative physiology in the study of extremely sensitive organisms, such as the fish of the High Antarctic Zone. Moreover, the stabling effect inside the aquarium facilities appears to significantly obscure the effects of the experimental heat treatment.</t>
  </si>
  <si>
    <t>[Rizzotti, Damiano; Manfrin, Chiara; Gerdol, Marco; Greco, Samuele; Giulianini, Piero G.] Univ Trieste, Dept Life Sci, Trieste, Italy; [Santovito, Gianfranco] Univ Padua, Dept Biol, Padua, Italy</t>
  </si>
  <si>
    <t>University of Trieste; University of Padua</t>
  </si>
  <si>
    <t>Manfrin, C (corresponding author), Univ Trieste, Dept Life Sci, Trieste, Italy.</t>
  </si>
  <si>
    <t>cmanfrin@units.it</t>
  </si>
  <si>
    <t>Santovito, Gianfranco/ABB-9484-2021; Gerdol, Marco/D-2115-2013</t>
  </si>
  <si>
    <t>Santovito, Gianfranco/0000-0001-8260-7006; Gerdol, Marco/0000-0001-6411-0813; Giulianini, Piero Giulio/0000-0001-5356-7754; Rizzotti, Damiano/0000-0002-7624-4015</t>
  </si>
  <si>
    <t>Italian Program of Antarctic Research [PNRA16_00099, PNRA18_00077]</t>
  </si>
  <si>
    <t>Italian Program of Antarctic Research</t>
  </si>
  <si>
    <t>This work was funded by the Italian Program of Antarctic Research (grant number PNRA16_00099 and PNRA18_00077).</t>
  </si>
  <si>
    <t>0306-4565</t>
  </si>
  <si>
    <t>1879-0992</t>
  </si>
  <si>
    <t>J THERM BIOL</t>
  </si>
  <si>
    <t>J. Therm. Biol.</t>
  </si>
  <si>
    <t>10.1016/j.jtherbio.2021.103139</t>
  </si>
  <si>
    <t>Biology; Zoology</t>
  </si>
  <si>
    <t>Life Sciences &amp; Biomedicine - Other Topics; Zoology</t>
  </si>
  <si>
    <t>ZH5NG</t>
  </si>
  <si>
    <t>WOS:000760984900002</t>
  </si>
  <si>
    <t>Camoying, MG; Thoms, S; Geuer, JK; Koch, BP; Bischof, K; Trimborn, S</t>
  </si>
  <si>
    <t>Camoying, Marianne G.; Thoms, Silke; Geuer, Jana K.; Koch, Boris P.; Bischof, Kai; Trimborn, Scarlett</t>
  </si>
  <si>
    <t>In contrast to diatoms, cryptophytes are susceptible to iron limitation, but not to ocean acidification</t>
  </si>
  <si>
    <t>PHYSIOLOGIA PLANTARUM</t>
  </si>
  <si>
    <t>PHOTOSYNTHETIC ELECTRON-TRANSPORT; DOMOIC ACID PRODUCTION; PHYTOPLANKTON COMMUNITY; ANTARCTIC PENINSULA; PSEUDO-NITZSCHIA; CARBON ACQUISITION; INORGANIC CARBON; PHOTOSYSTEM-II; WEDDELL SEA; COASTAL</t>
  </si>
  <si>
    <t>Previous field studies in the Southern Ocean (SO) indicated an increased occurrence and dominance of cryptophytes over diatoms due to climate change. To gain a better mechanistic understanding of how the two ecologically important SO phytoplankton groups cope with ocean acidification (OA) and iron (Fe) availability, we chose two common representatives of Antarctic waters, the cryptophyte Geminigera cryophila and the diatom Pseudo-nitzschia subcurvata. Both species were grown at 2 degrees C under different pCO(2) (400 vs. 900 mu atm) and Fe (0.6 vs. 1.2 nM) conditions. For P. subcurvata, an additional high pCO(2) level was applied (1400 mu atm). At ambient pCO(2) under low Fe supply, growth of G. cryophila almost stopped while it remained unaffected in P. subcurvata. Under high Fe conditions, OA was not beneficial for P. subcurvata, but stimulated growth and carbon production of G. cryophila. Under low Fe supply, P. subcurvata coped much better with OA than the cryptophyte, but invested more energy into photoacclimation. Our study reveals that Fe limitation was detrimental for the growth of G. cryophila and suppressed the positive OA effect. The diatom was efficient in coping with low Fe, but was stressed by OA while both factors together strongly impacted its growth. The distinct physiological response of both species to OA and Fe limitation explains their occurrence in the field. Based on our results, Fe availability is an important modulator of OA effects on SO phytoplankton, with different implications on the occurrence of cryptophytes and diatoms in the future.</t>
  </si>
  <si>
    <t>[Camoying, Marianne G.; Thoms, Silke; Geuer, Jana K.; Koch, Boris P.; Trimborn, Scarlett] Helmholtz Ctr Polar &amp; Marine Res, Alfred Wegener Inst, Ecol Chem, Bremerhaven, Germany; [Koch, Boris P.] Univ Appl Sci Bremerhaven, Dept Technol, Bremerhaven, Germany; [Bischof, Kai; Trimborn, Scarlett] Univ Bremen, Marine Bot &amp; MARUM, Bremen, Germany</t>
  </si>
  <si>
    <t>Camoying, MG (corresponding author), Helmholtz Ctr Polar &amp; Marine Res, Alfred Wegener Inst, Ecol Chem, Bremerhaven, Germany.</t>
  </si>
  <si>
    <t>marianne.camoying@awi.de</t>
  </si>
  <si>
    <t>Koch, Boris/B-2784-2009</t>
  </si>
  <si>
    <t>Koch, Boris/0000-0002-8453-731X; Bischof, Kai/0000-0002-4497-1920; Camoying, Marianne/0000-0002-4180-7850; Trimborn, Scarlett/0000-0003-1434-9927</t>
  </si>
  <si>
    <t>Alfred Wegener Institute Helmholtz Centre for Polar and Marine Research, AWI Strategy Fund; Katholischer Akademischer Auslander-Dienst (KAAD)</t>
  </si>
  <si>
    <t>Alfred Wegener Institute Helmholtz Centre for Polar and Marine Research, AWI Strategy Fund (J. Geuer); Katholischer Akademischer Auslander-Dienst (KAAD), Phd Fellowship (M. Camoying).</t>
  </si>
  <si>
    <t>0031-9317</t>
  </si>
  <si>
    <t>1399-3054</t>
  </si>
  <si>
    <t>PHYSIOL PLANTARUM</t>
  </si>
  <si>
    <t>Physiol. Plant.</t>
  </si>
  <si>
    <t>e13614</t>
  </si>
  <si>
    <t>10.1111/ppl.13614</t>
  </si>
  <si>
    <t>ZG4XF</t>
  </si>
  <si>
    <t>WOS:000760262000007</t>
  </si>
  <si>
    <t>Kita, DM; Giovanella, P; Yoshinaga, TT; Pellizzer, EP; Sette, LD</t>
  </si>
  <si>
    <t>Kita, Daniela M.; Giovanella, Patricia; Yoshinaga, Thais T.; Pellizzer, Elisa P.; Sette, Lara D.</t>
  </si>
  <si>
    <t>Antarctic fungi applied to textile dye bioremediation</t>
  </si>
  <si>
    <t>Antarctica; environmental biotechnology; extremophiles; mycology; pollutants</t>
  </si>
  <si>
    <t>COLD-ADAPTED ENZYMES; PENICILLIUM-OXALICUM; FILAMENTOUS FUNGI; AZO DYES; DIVERSITY; SOIL; DECOLORIZATION; GROWTH; BIODEGRADATION; COMMUNITIES</t>
  </si>
  <si>
    <t>Antarctica has one of the most hostile conditions on the planet. The environmental characteristics found in this region favor the development of extremophile microorganisms, which are poorly explored biotechnologically. In this context, this study aimed at selectively isolating fungi with potential for the bioremediation of a textile dye. A total of 11 filamentous fungi were isolated from Antarctic samples after incubation in Minimal Mineral medium with the addition of Sulphur Indigo Blue dye. The Antarctic-derived fungi were submitted to textile dye decolorization analysis and biomass production. Isolates LAMAI 2400 and LAMAI 2402 showed more than 90% of decolorization at 15 degrees C, whereas at 28 degrees C these isolates showed 81.86 and 98.89%, respectively. In general, the toxicity of the bioassays, evaluated using Cucumis sativus, was higher than in the control. Both isolates, LAMAI 2400 and LAMAI 2402, were identified as Penicillium cf oxalicum and classified as mesophilic-psychrotolerant. This fungal species has rarely been reported in the Antarctic environments. The results presented herein indicate the potential of the fungi recovered from Antarctic marine sediments for bioremediation of textile dyes at low and moderate temperatures, broadening the perspectives in the field of Antarctic mycology.</t>
  </si>
  <si>
    <t>[Kita, Daniela M.; Giovanella, Patricia; Yoshinaga, Thais T.; Pellizzer, Elisa P.; Sette, Lara D.] Univ Estadual Paulista, Inst Biociencias, Dept Biol Geral &amp; Aplicada, UNESP, Av 24A,1515, BR-13506900 Rio Claro, SP, Brazil; [Giovanella, Patricia; Sette, Lara D.] Univ Estadual Paulista, Ctr Estudos Ambientais, Inst Biociencias, UNESP, Av 24A,1515, BR-13506900 Rio Claro, SP, Brazil</t>
  </si>
  <si>
    <t>Sette, LD (corresponding author), Univ Estadual Paulista, Inst Biociencias, Dept Biol Geral &amp; Aplicada, UNESP, Av 24A,1515, BR-13506900 Rio Claro, SP, Brazil.;Sette, LD (corresponding author), Univ Estadual Paulista, Ctr Estudos Ambientais, Inst Biociencias, UNESP, Av 24A,1515, BR-13506900 Rio Claro, SP, Brazil.</t>
  </si>
  <si>
    <t>Sette, Lara Durães/C-8298-2013</t>
  </si>
  <si>
    <t>Sette, Lara Durães/0000-0002-5980-3786; Pais Pellizzer, Elisa/0000-0002-1936-6331</t>
  </si>
  <si>
    <t>Fundacao de Amparo a Pesquisa do Estado de Sao Paulo (FAPESP) [2018/12098-9]; Conselho Nacional de Desenvolvimento Cientifico e Tecnologico (CNPq) [407986/2018-6]; CNPq [303218/2019-3, 130461/2019-9, 130364/2017-7]; FAPESP [2016/174884, 2019/01632-7]</t>
  </si>
  <si>
    <t>Fundacao de Amparo a Pesquisa do Estado de Sao Paulo (FAPESP)(Fundacao de Amparo a Pesquisa do Estado de Sao Paulo (FAPESP)); Conselho Nacional de Desenvolvimento Cientifico e Tecnologico (CNPq)(Conselho Nacional de Desenvolvimento Cientifico e Tecnologico (CNPQ)); CNPq(Conselho Nacional de Desenvolvimento Cientifico e Tecnologico (CNPQ)); FAPESP(Fundacao de Amparo a Pesquisa do Estado de Sao Paulo (FAPESP))</t>
  </si>
  <si>
    <t>This research was supported by Fundacao de Amparo a Pesquisa do Estado de Sao Paulo (FAPESP) (grant #2018/12098-9) and Conselho Nacional de Desenvolvimento Cientifico e Tecnologico (CNPq) (grant #407986/2018-6). DMK thanks FAPESP for the Scientific Initiation scholarship (#2019/01632-7), TTY thanks CNPq (#130461/2019-9) for the Master scholarship. PG thanks FAPESP for the Postdoctoral Fellowship (#2016/174884), EPP thanks CNPq (#130364/2017-7) for the Master scholarship. LDS thanks CNPq for the Productivity Fellowship (303218/2019-3). The authors thank the MICROSFERA project (PROANTAR/CNPq) for the support with sample collection, Iago Duarte for contributing with map preparation, and Milene Ferro for the help with phylogenetic tree generation.</t>
  </si>
  <si>
    <t>e20210234</t>
  </si>
  <si>
    <t>10.1590/0001-3765202220210234</t>
  </si>
  <si>
    <t>ZF4FY</t>
  </si>
  <si>
    <t>WOS:000759526800001</t>
  </si>
  <si>
    <t>Bracci, A; Baldini, L; Roberto, N; Adirosi, E; Montopoli, M; Scarchilli, C; Grigioni, P; Ciardini, V; Levizzani, V; Porcu, F</t>
  </si>
  <si>
    <t>Quantitative Precipitation Estimation over Antarctica Using Different Ze-SR Relationships Based on Snowfall Classification Combining Ground Observations</t>
  </si>
  <si>
    <t>remote sensing; snowfall; Antarctica; quantitative precipitation estimation; Ze-SR relation; MRR; radar; disdrometer; DDA; snow classification</t>
  </si>
  <si>
    <t>BAND RADAR MEASUREMENTS; ROSS ICE SHELF; TERRA-NOVA-BAY; MICROPHYSICAL PROPERTIES; SCATTERING PROPERTIES; OPTICAL DISDROMETER; DUMONT DURVILLE; BLOWING SNOW; ADELIE LAND; FALL SPEEDS</t>
  </si>
  <si>
    <t>Snow plays a crucial role in the hydrological cycle and energy budget of the Earth, and remote sensing instruments with the necessary spatial coverage, resolution, and temporal sampling are essential for snowfall monitoring. Among such instruments, ground-radars have scanning capability and a resolution that make it possible to obtain a 3D structure of precipitating systems or vertical profiles when used in profiling mode. Radars from space have a lower spatial resolution, but they provide a global view. However, radar-based quantitative estimates of solid precipitation are still a challenge due to the variability of the microphysical, geometrical, and electrical features of snow particles. Estimations of snowfall rate are usually accomplished using empirical, long-term relationships between the equivalent radar reflectivity factor (Ze) and the liquid-equivalent snowfall rate (SR). Nevertheless, very few relationships take advantage of the direct estimation of the microphysical characteristics of snowflakes. In this work, we used a K-band vertically pointing radar collocated with a laser disdrometer to develop Ze-SR relationships as a function of snow classification. The two instruments were located at the Italian Antarctic Station Mario Zucchelli. The K-band radar probes the low-level atmospheric layers, recording power spectra at 32 vertical range gates. It was set at a high vertical resolution (35 m), with the first trusted range gate at a height of only 100 m. The disdrometer was able to provide information on the particle size distribution just below the trusted radar gate. Snow particles were classified into six categories (aggregate, dendrite aggregate, plate aggregate, pristine, dendrite pristine, plate pristine). The method was applied to the snowfall events of the Antarctic summer seasons of 2018-2019 and 2019-2020, with a total of 23,566 min of precipitation, 15.3% of which was recognized as showing aggregate features, 33.3% dendrite aggregate, 7.3% plates aggregate, 12.5% pristine, 24% dendrite pristine, and 7.6% plate pristine. Applying the appropriate Ze-SR relationship in each snow category, we calculated a total of 87 mm water equivalent, differing from the total found by applying a unique Ze-SR. Our estimates were also benchmarked against a colocated Alter-shielded weighing gauge, resulting in a difference of 3% in the analyzed periods.</t>
  </si>
  <si>
    <t>[Bracci, Alessandro; Baldini, Luca; Roberto, Nicoletta; Adirosi, Elisa; Montopoli, Mario] CNR, ISAC, Natl Res Council Italy, Inst Atmospher Sci &amp; Climate, I-00133 Rome, Italy; [Bracci, Alessandro; Porcu, Federico] Alma Mater Studiorum Univ Bologna, Dept Phys &amp; Astron Augusto Righi, I-40126 Bologna, Italy; [Scarchilli, Claudio; Grigioni, Paolo; Ciardini, Virginia] ENEA, Lab Measurements &amp; Observat Environm &amp; Climate, I-00123 Rome, Italy; [Levizzani, Vincenzo] CNR, ISAC, Inst Atmospher Sci &amp; Climate, Natl Res Council Italy, I-40129 Bologna, Italy</t>
  </si>
  <si>
    <t>Baldini, L (corresponding author), CNR, ISAC, Natl Res Council Italy, Inst Atmospher Sci &amp; Climate, I-00133 Rome, Italy.</t>
  </si>
  <si>
    <t>alessandro.bracci5@unibo.it; l.baldini@isac.cnr.it; nicoletta.roberto@artov.isac.cnr.it; elisa.adirosi@artov.isac.cnr.it; m.montopoli@isac.cnr.it; claudio.scarchilli@enea.it; paolo.grigioni@enea.it; virginia.ciardini@enea.it; v.levizzani@isac.cnr.it; federico.porcu@unibo.it</t>
  </si>
  <si>
    <t>Bracci, Alessandro/HGU-6017-2022; adirosi, elisa/Q-5226-2018; Bracci, Alessandro/AGZ-4030-2022; Baldini, Luca/C-7166-2015; Levizzani, Vincenzo/A-9070-2013; Montopoli, Mario/C-8464-2014</t>
  </si>
  <si>
    <t>adirosi, elisa/0000-0001-9500-5004; Bracci, Alessandro/0000-0001-7047-6213; Baldini, Luca/0000-0001-5217-1205; grigioni, paolo/0000-0001-9802-4972; Levizzani, Vincenzo/0000-0002-7620-5235; Scarchilli, Claudio/0000-0002-2414-2439; Montopoli, Mario/0000-0003-0099-0393</t>
  </si>
  <si>
    <t>Italian National Antarctic Program (PNRA)</t>
  </si>
  <si>
    <t>This work is carried out in the framework of the APP (Antarctic Precipitation Properties), MALOX (MAss LOst in wind fluX) and IAMCO (Italian Antarctic Meteo-Climatological Observatory) projects funded by the Italian National Antarctic Program (PNRA).</t>
  </si>
  <si>
    <t>10.3390/rs14010082</t>
  </si>
  <si>
    <t>ZG4VB</t>
  </si>
  <si>
    <t>WOS:000760256400001</t>
  </si>
  <si>
    <t>Lima, IGO; Bispo, JRS; Agostinho, AYH; De Queiroz, AC; Moreira, MSA; Passarini, MRZ; De Oliveira, VM; Sette, LD; Rosa, LH; Duarte, AWF</t>
  </si>
  <si>
    <t>Lima, Igor G. O.; Bispo, James R. S.; Agostinho, Adson Y. H.; De Queiroz, Aline C.; Moreira, Magna Suzana A.; Passarini, Michel Rodrigo Z.; De Oliveira, Valeria M.; Sette, Lara D.; Rosa, Luiz Henrique; Duarte, Alysson Wagner F.</t>
  </si>
  <si>
    <t>Antarctic environments as a source of bacterial and fungal therapeutic enzymes</t>
  </si>
  <si>
    <t>Antarctica; collagenase; extremophiles; L-Asparaginase; superoxide dismutase; therapeutics enzymes</t>
  </si>
  <si>
    <t>IRON-SUPEROXIDE-DISMUTASE; PSEUDOALTEROMONAS-HALOPLANKTIS; BIOCHEMICAL-CHARACTERIZATION; PSYCHROPHILIC BACTERIUM; OXIDATIVE STRESS; EXPRESSION; RIBONUCLEASES; CLONING; MICROORGANISMS; IDENTIFICATION</t>
  </si>
  <si>
    <t>Microbial therapeutic enzymes are the protagonists in the pharmacological treatment of different human diseases. The intrinsic enzymatic characteristics, such as high affinity and specificity to the corresponding substrate, enable effective therapies, with minimal adverse effects and complete remission. However, immunogenicity, short half-life, low enzymatic yield, and low selectivity regarding available enzyme drugs are currently the main obstacles to their development and the broad adherence to therapeutic protocols. By harboring adapted and still unexplored microbial life, environments of extreme conditions, such as Antarctica, become especially important in the prospecting and development of new enzymatic compounds that present higher yields and the possibility of genetic improvement. Antarctic microorganisms have adaptation mechanisms, such as more fluid cell membranes, production of antifreeze proteins and enzymes with more malleable structures, more robust, stable, selective catalytic sites for their respective substrates, and high antioxidant capacity. In this context, this review aims to explore enzymes synthesized by bacteria and fungi from Antarctica as potential drug producers, capable of providing therapeutic efficacy, less adverse effects, and lower production costs with highlight to L-Asparaginase, collagenase, superoxide dismutase and ribonucleases. In addition, this review highlights the unique biotechnological profile of these Antarctic extremophile microorganisms.</t>
  </si>
  <si>
    <t>[Lima, Igor G. O.; Bispo, James R. S.; Agostinho, Adson Y. H.; De Queiroz, Aline C.; Duarte, Alysson Wagner F.] Univ Fed Alagoas, Complexo Ciencias Med &amp; Enfermagem, Campus Arapiraca,Av Manoel Severino Barbosa S-N, BR-57315226 Arapiraca, AL, Brazil; [Moreira, Magna Suzana A.] Univ Fed Alagoas, Inst Ciencias Biol &amp; Saude, Av Lourival Melo Mota S-N, BR-57072900 Maceio, Alagoas, Brazil; [Passarini, Michel Rodrigo Z.] Univ Fed Integra Latino Amer, Av Silvio Amer Sasdelli 1842, BR-85866000 Foz Do Iguacu, PR, Brazil; [De Oliveira, Valeria M.] Univ Estadual Campinas, Ctr Pluridisciplinar Pesquisas Quim Biol &amp; Agra, R Alexandre Cazellato 999, BR-13148218 Paulinia, SP, Brazil; [Sette, Lara D.] Univ Estadual Paulista, Dept Biol Geral &amp; Aplicada, Inst Biociencias, Av 24 A,1515 Bela Vista, BR-13506752 Rio Claro, SP, Brazil; [Rosa, Luiz Henrique] Univ Fed Minas Gerais, Inst Ciencias Biol, Av Presidente Antonio Carlos 6627, BR-31270901 Belo Horizonte, MG, Brazil</t>
  </si>
  <si>
    <t>Universidade Federal de Alagoas; Universidade Federal de Alagoas; Universidade Estadual de Campinas; Universidade Estadual Paulista; Universidade Federal de Minas Gerais</t>
  </si>
  <si>
    <t>Duarte, AWF (corresponding author), Univ Fed Alagoas, Complexo Ciencias Med &amp; Enfermagem, Campus Arapiraca,Av Manoel Severino Barbosa S-N, BR-57315226 Arapiraca, AL, Brazil.</t>
  </si>
  <si>
    <t>alysson.duarte@arapiraca.ufal.br</t>
  </si>
  <si>
    <t>Queiroz, Aline Cavalcanti de/GLS-3284-2022; Oliveira, Valéria Maia/L-2422-2014; Sette, Lara Durães/C-8298-2013; Duarte, Alysson Wagner Fernandes/S-8062-2019</t>
  </si>
  <si>
    <t>Queiroz, Aline Cavalcanti de/0000-0002-6362-2726; Oliveira, Valéria Maia/0000-0001-8817-4758; Sette, Lara Durães/0000-0002-5980-3786; Duarte, Alysson Wagner Fernandes/0000-0001-9626-7524; Alexandre Moreira, Magna Suzana/0000-0002-9979-1994; Zambrano Passarini, Michel/0000-0002-8614-1896</t>
  </si>
  <si>
    <t>Fundacao de Amparo a Pesquisa do Estado de Alagoas-FAPEAL [60030 1074/2016]; Conselho Nacional de Desenvolvimento Cientifico e Tecnologico (CNPq) [433388/2018-8, 442258/2018-6]; Coordenacao de Aperfeicoamento de Pessoal de Nivel Superior (CAPES); Fundacao de Amparo a Pesquisa do Estado de Minas Gerais (FAPEMIG); Conselho Nacional de Desenvolvimento Cientifico e Tecnologico [CNPQ -PIBITI 143722/2020-4]</t>
  </si>
  <si>
    <t>Fundacao de Amparo a Pesquisa do Estado de Alagoas-FAPEAL(Fundacao de Amparo a Pesquisa do Estado de Alagoas (FAPEAL)); Conselho Nacional de Desenvolvimento Cientifico e Tecnologico (CNPq)(Conselho Nacional de Desenvolvimento Cientifico e Tecnologico (CNPQ)); Coordenacao de Aperfeicoamento de Pessoal de Nivel Superior (CAPES)(Coordenacao de Aperfeicoamento de Pessoal de Nivel Superior (CAPES)); Fundacao de Amparo a Pesquisa do Estado de Minas Gerais (FAPEMIG)(Fundacao de Amparo a Pesquisa do Estado de Minas Gerais (FAPEMIG)); Conselho Nacional de Desenvolvimento Cientifico e Tecnologico(Conselho Nacional de Desenvolvimento Cientifico e Tecnologico (CNPQ))</t>
  </si>
  <si>
    <t>The authors acknowledge the financial support from Fundacao de Amparo a Pesquisa do Estado de Alagoas-FAPEAL (60030 1074/2016), Conselho Nacional de Desenvolvimento Cientifico e Tecnologico (CNPq, 433388/2018-8 and 442258/2018-6), Coordenacao de Aperfeicoamento de Pessoal de Nivel Superior (CAPES) and Fundacao de Amparo a Pesquisa do Estado de Minas Gerais (FAPEMIG). The scholarship for first author was supported by Conselho Nacional de Desenvolvimento Cientifico e Tecnologico (CNPQ -PIBITI 143722/2020-4). We would like to thank the parliamentarian Tereza Nelma da Silva Porto Viana Soares (Alagoas) for supporting the Brazilian Antarctic research. English review by Prof. Me. Jonatha Rodrigues da Silva.</t>
  </si>
  <si>
    <t>e20210452</t>
  </si>
  <si>
    <t>10.1590/0001-3765202220210452</t>
  </si>
  <si>
    <t>ZF4FR</t>
  </si>
  <si>
    <t>WOS:000759526100001</t>
  </si>
  <si>
    <t>Seger, A; Hallegraeff, G</t>
  </si>
  <si>
    <t>Seger, Andreas; Hallegraeff, Gustaaf</t>
  </si>
  <si>
    <t>Application of clay minerals to remove extracellular ichthyotoxins produced by the dinoflagellates Karlodinium veneficum and Karenia mikimotoi</t>
  </si>
  <si>
    <t>HARMFUL ALGAE</t>
  </si>
  <si>
    <t>Fish-killing toxin; Microalgae; Ichthyotoxin; Management; Mitigation</t>
  </si>
  <si>
    <t>RED TIDE DINOFLAGELLATE; ADSORPTION; SORPTION; MONTMORILLONITE; TOXINS; FLOCCULATION; KARLOTOXINS; BENTONITE; POLYETHER; DINOPHYTA</t>
  </si>
  <si>
    <t>Mitigation of fish-killing algal toxins by clay minerals offers great promise as an emergency strategy for fish farms threatened by harmful algal blooms, but its efficiency is highly clay and algal species (i.e. ichthyotoxin) specific. We here screened several different clay types (kaolin, zeolite, Korean loess and six bentonites) for their adsorptive capacity of extracellular Karlodinium veneficum and Karenia mikimotoi ichthyotoxins as quantified with the rainbow trout RTgill-W1 cell line assay. Treatment with Korean loess, zeolite (0-0.5 g L - 1), polyaluminium chloride (0-0.1 g L (- 1)) and clays modified with this flocculant (0-0.25 g L (- 1)) could not significantly improve gill cell viability compared to toxic controls. Kaolin only demonstrated effective removal in case of K. mikimotoi, but concentrations required for complete removal of cytotoxicity were at least 2 x those required for bentonite. Bentonites of high swelling capacity and ideally small particle size (&lt;2 mu m) proved best suited for ichthyotoxin removal against both algal species (100% removal at concentrations as low as 0.1 g L (- 1)). Complete elimination of K. veneficum and K. mikimotoi toxicity towards the rainbow trout gill cell line was achieved by bentonite clay, demonstrating the potential to control ichthyotoxicity in an aquaculture setting through targeted clay application.</t>
  </si>
  <si>
    <t>[Seger, Andreas] Univ Tasmania, Inst Marine &amp; Antarctic Studies, 15-21 Nubeena Crescent, Taroona, Tas 7053, Australia; [Hallegraeff, Gustaaf] Univ Tasmania, Inst Marine &amp; Antarctic Studies, 20 Castray Esplanade, Battery Point, Tas 7004, Australia</t>
  </si>
  <si>
    <t>Seger, A (corresponding author), Univ Tasmania, Inst Marine &amp; Antarctic Studies, 15-21 Nubeena Crescent, Taroona, Tas 7053, Australia.</t>
  </si>
  <si>
    <t>andreas.seger@utas.edu.au</t>
  </si>
  <si>
    <t>Seger, Andreas/0000-0001-7018-0455</t>
  </si>
  <si>
    <t>Australian Research Council [DP130102859]; Australian Postgraduate Award</t>
  </si>
  <si>
    <t>Australian Research Council(Australian Research Council); Australian Postgraduate Award(Australian Government)</t>
  </si>
  <si>
    <t>The authors would like to thank Prof. Allen R. Place from the Institute of Marine &amp; Environmental Technology (IMET) for helpful discussions. We thank Tae-Gyu Park for providing the Korean loess and M. de Salas for establishing dinoflagellate cultures, as well as Paul Byrne (Australian Pacific Ltd.) Jenny Arnold (Arumpo Bentonite), Tim Jones (Sibelco), Tony Pekin (Watheroo Bentonites) and Josh Noble (AMCOL) for providing the bentonite samples. This work was funded by the Australian Research Council (Grant DP130102859 to GMH) and Andreas Seger supported by an Australian Postgraduate Award.</t>
  </si>
  <si>
    <t>1568-9883</t>
  </si>
  <si>
    <t>1878-1470</t>
  </si>
  <si>
    <t>Harmful Algae</t>
  </si>
  <si>
    <t>10.1016/j.hal.2021.102151</t>
  </si>
  <si>
    <t>YY0IC</t>
  </si>
  <si>
    <t>WOS:000754475900009</t>
  </si>
  <si>
    <t>Dos Santos, LEF</t>
  </si>
  <si>
    <t>Figueiredo Dos Santos, Leo Evandro</t>
  </si>
  <si>
    <t>Constitutionality analysis of amendments to the Protocol on Environmental Protection on the Antarctic Treaty Annexes</t>
  </si>
  <si>
    <t>Antarctic; Constitutionality; Madrid Protocol; Treaties</t>
  </si>
  <si>
    <t>Antarctic environmental and climatic conditions have repercussions in Brazil and South America and are a central focus of concern as their balance may be affected. Therefore, legal instruments of environmental protection such as the Protocol on Environmental Protection to the Antarctic Treaty are fundamental. To streamline its application, the Protocol foresees accelerated mechanism for the approval and entry into force of Measures that modify provisions in its Annexes. This basis makes it unnecessary to submit amendments to domestic processes of international treaties approval in member countries of the Antarctic Treaty - in the case of Brazil, National Congress approval. This could give rise to a violation of Articles 49, item I, and 84, item VIII, of the 1988 Brazilian Constitution. This paper claims that there is no violation. This conclusion was based on an approach that supports constitutionality based on formal foundations and interpretation of the law, so that, mainly, the provisions and norms arising therefrom are understood in the context of Executive Agreements. The methodological construction is supported by the deductive method and assumes that the research hypothesis is controlled.</t>
  </si>
  <si>
    <t>[Figueiredo Dos Santos, Leo Evandro] Univ Fed Rio Grande do Sul, Polar Climate Ctr, 9500 Bento Goncalves Ave,Bldg 43136, BR-91501970 Porto Alegre, RS, Brazil</t>
  </si>
  <si>
    <t>Dos Santos, LEF (corresponding author), Univ Fed Rio Grande do Sul, Polar Climate Ctr, 9500 Bento Goncalves Ave,Bldg 43136, BR-91501970 Porto Alegre, RS, Brazil.</t>
  </si>
  <si>
    <t>leoefs@gmail.com</t>
  </si>
  <si>
    <t>FIGUEIREDO DOS SANTOS, LEO EVANDRO/0000-0002-0050-5119</t>
  </si>
  <si>
    <t>e20210385</t>
  </si>
  <si>
    <t>10.1590/0001-3765202120210385</t>
  </si>
  <si>
    <t>ZF4IX</t>
  </si>
  <si>
    <t>WOS:000759534500001</t>
  </si>
  <si>
    <t>Lee, H; Choi, J; Im, Y; Oh, W; Hwang, K; Lee, K</t>
  </si>
  <si>
    <t>Lee, Hyungbeen; Choi, Junghwa; Im, Yangjae; Oh, Wooseok; Hwang, Kangseok; Lee, Kyounghoon</t>
  </si>
  <si>
    <t>Spatial-Temporal Distribution of the Euphausiid Euphausia pacifica and Fish Schools in the Coastal Southwestern East Sea</t>
  </si>
  <si>
    <t>WATER</t>
  </si>
  <si>
    <t>Euphausia pacifica; acoustic data; distribution; fish school; North Atlantic krill; coastal southwestern East Sea</t>
  </si>
  <si>
    <t>ANTARCTIC KRILL; SCOTIA SEA; ZOOPLANKTON; ISLANDS; BIOMASS</t>
  </si>
  <si>
    <t>The spatial and temporal distribution of euphausiid krill Euphausia pacifica (Crustacea: Malacostraca) and of fish schools were observed along acoustic transects at the southwestern East Sea coastline of Korea. Two-frequency (38- and 120-kHz) acoustic backscatter data were examined from April to July 2010. A decibel identification window (SV 120-38) and school detection algorithm identified Euphausia pacifica and fish schools in the acoustic backscatter, respectively. The E. pacifica was regularly observed in middle of southern waters, where phytoplankton was abundant during spring, and irregularly during summer, when phytoplankton was homogeneously distributed. Using the distorted-wave Born approximation model, the acoustic density we calculated of E. pacifica was higher in spring (April: 75.9 mg m(-2), May: 85.3 mg m(-2)) than in summer (June: 71.4 mg m(-2), July: 54.1 mg m(-2)). The fish schools observed by the acoustic data tended to significantly increase from spring to summer. Although major fish species, such as anchovies and herring, fed on copepods and euphausiids in the survey area, the temporal and spatial distribution of E. pacifica was weakly correlated with the distribution of the fish schools. These findings aid in our understanding of the temporal and spatial distribution dynamics of euphausiids and fish schools in the food web of the coastal southwestern East Sea.</t>
  </si>
  <si>
    <t>[Lee, Hyungbeen] Natl Inst Fisheries Sci, Fisheries Resources Res Ctr, Tongyeong 53064, South Korea; [Choi, Junghwa] Natl Inst Fisheries Sci, Jeju Fisheries Res Inst, Resources &amp; Environm Res Div, Jeju 63068, South Korea; [Im, Yangjae] Natl Inst Fisheries Sci, Fisheries Resources Management Div, Busan 46083, South Korea; [Oh, Wooseok] Chonnam Natl Univ, Div Fisheries Sci, Docters Course, Yeosu 59696, South Korea; [Hwang, Kangseok] Natl Fisheries Res &amp; Dev Inst, Dokdo Fisheries Res Ctr, Pohang 37709, South Korea; [Lee, Kyounghoon] Chonnam Natl Univ, Dept Marine Technol, Yeosu 59626, South Korea</t>
  </si>
  <si>
    <t>National Institute of Fisheries Science; National Institute of Fisheries Science; National Institute of Fisheries Science; Chonnam National University; Chonnam National University</t>
  </si>
  <si>
    <t>Lee, K (corresponding author), Chonnam Natl Univ, Dept Marine Technol, Yeosu 59626, South Korea.</t>
  </si>
  <si>
    <t>hblee00@korea.kr; choi2291@korea.kr; ocean1982@korea.kr; owsnice@gmail.com; kshwang@korea.kr; khlee71@jnu.ac.kr</t>
  </si>
  <si>
    <t>LEE, Kyounghoon/IWM-4396-2023</t>
  </si>
  <si>
    <t>, Jung Hwa/0000-0003-3392-0818; LEE, Kyounghoon/0000-0002-4226-9011</t>
  </si>
  <si>
    <t>National Institute of Fisheries Science [R2022030]; Ecosystem Structure and Function of Marine Protected Area (MPA) in Antarctica project [PM21060]; Ministry of Oceans and Fisheries [20170336]</t>
  </si>
  <si>
    <t>National Institute of Fisheries Science; Ecosystem Structure and Function of Marine Protected Area (MPA) in Antarctica project; Ministry of Oceans and Fisheries</t>
  </si>
  <si>
    <t>This research was supported by the National Institute of Fisheries Science (R2022030), Korea and was partially supported by the Ecosystem Structure and Function of Marine Protected Area (MPA) in Antarctica project (PM21060) funded by the Ministry of Oceans and Fisheries (20170336), Korea.</t>
  </si>
  <si>
    <t>2073-4441</t>
  </si>
  <si>
    <t>WATER-SUI</t>
  </si>
  <si>
    <t>Water</t>
  </si>
  <si>
    <t>10.3390/w14020203</t>
  </si>
  <si>
    <t>Environmental Sciences; Water Resources</t>
  </si>
  <si>
    <t>Environmental Sciences &amp; Ecology; Water Resources</t>
  </si>
  <si>
    <t>ZE3SH</t>
  </si>
  <si>
    <t>WOS:000758806200001</t>
  </si>
  <si>
    <t>Bantcev, D; Ganyushkin, D; Terekhov, A; Ekaykin, A; Tokarev, I; Chistyakov, K</t>
  </si>
  <si>
    <t>Bantcev, Dmitriy; Ganyushkin, Dmitriy; Terekhov, Anton; Ekaykin, Alexey; Tokarev, Igor; Chistyakov, Kirill</t>
  </si>
  <si>
    <t>Isotopic Composition of Glacier Ice and Meltwater in the Arid Parts of the Altai Mountains (Central Asia)</t>
  </si>
  <si>
    <t>glaciers; runoff; isotopic composition; isotopic separation; Altai</t>
  </si>
  <si>
    <t>HYDROGRAPH SEPARATION; NORTHERN SLOPE; RUNOFF; RIVER; MASSIF; ORIGIN; CORE</t>
  </si>
  <si>
    <t>The objective of this study is to reveal the isotopic composition of ice and meltwater in glaciated regions of South-Eastern Altai. The paper depicts differences between the isotopic composition of glacier ice from several types of glaciers and from various locations. Detected differences between the isotopic composition of glacier ice in diversified parts of the study region are related to local climate patterns. Isotopic composition of meltwater and isotopic separation for glacier rivers runoff showed that in the Tavan-Bogd massif, seasonal snow participates more in the formation of glacier runoff due to better conditions for snow accumulation on the surface of glaciers. In other research areas pure glacier meltwater prevails in runoff.</t>
  </si>
  <si>
    <t>[Bantcev, Dmitriy; Ganyushkin, Dmitriy; Ekaykin, Alexey; Chistyakov, Kirill] St Petersburg State Univ, Inst Earth Sci, Univ Skaya Nab 7-9, St Petersburg 199034, Russia; [Terekhov, Anton] State Hydrol Inst, Vasilyevsky Isl,2nd Line,23, St Petersburg 199004, Russia; [Ekaykin, Alexey] Arctic &amp; Antarctic Res Inst, Beringa 38, St Petersburg 199397, Russia; [Tokarev, Igor] St Petersburg State Univ, Res Pk, Univ Nab 7-9, St Petersburg 199034, Russia</t>
  </si>
  <si>
    <t>Saint Petersburg State University; Arctic &amp; Antarctic Research Institute; Saint Petersburg State University</t>
  </si>
  <si>
    <t>Bantcev, D (corresponding author), St Petersburg State Univ, Inst Earth Sci, Univ Skaya Nab 7-9, St Petersburg 199034, Russia.</t>
  </si>
  <si>
    <t>d.bantsev@spbu.ru; d.ganyushkin@spbu.ru; antonvterekhov@gmail.com; ekaykin@aari.ru; i.tokarev@spbu.ru; k.chistyakov@spbu.ru</t>
  </si>
  <si>
    <t>Chistyakov, Kirill V/M-8489-2013; Tokarev, Igor Vladimirovich/ADR-9438-2022; Bantcev, Dmitrii/AAK-2319-2020; Terekhov, Anton/S-1329-2016; Ganyushkin, Dmitry/M-8516-2013; Ekaykin, Alexey/K-9894-2015</t>
  </si>
  <si>
    <t>Tokarev, Igor Vladimirovich/0000-0003-1095-0731; Ganyushkin, Dmitry/0000-0001-6109-8652; Ekaykin, Alexey/0000-0001-9819-2802</t>
  </si>
  <si>
    <t>Russian Foundation for Basic Research (RFBR) [19-05-00535]; [AcknowledgmentsRFBR 19-05-00535]</t>
  </si>
  <si>
    <t>Russian Foundation for Basic Research (RFBR)(Russian Foundation for Basic Research (RFBR));</t>
  </si>
  <si>
    <t>This research was funded by Russian Foundation for Basic Research (RFBR), grant number No. 19-05-00535.</t>
  </si>
  <si>
    <t>10.3390/w14020252</t>
  </si>
  <si>
    <t>ZC5LE</t>
  </si>
  <si>
    <t>WOS:000757560700001</t>
  </si>
  <si>
    <t>Siqueira, RG; Lopes, DV; De Souza, JJLL; Schaefer, CEGR; Souza, CD; De Oliveira, FS; Fernandes, EI</t>
  </si>
  <si>
    <t>Siqueira, Rafael G.; Lopes, Davi, V; De Souza, Jose Joao L. L.; Schaefer, Carlos Ernesto G. R.; Souza, Caroline D.; De Oliveira, Fabio S.; Fernandes Filho, Elpidio Inacio</t>
  </si>
  <si>
    <t>Acid sulfate soils from Antarctica: genesis and properties along a climatic gradient</t>
  </si>
  <si>
    <t>Chemical weathering; jarosite; pedogenesis; pyrite; soil acidity; sulfurization</t>
  </si>
  <si>
    <t>JAMES-ROSS-ISLAND; KING GEORGE ISLAND; SOUTH-SHETLAND ISLANDS; MARITIME ANTARCTICA; VEGA-ISLAND; GLACIAL HISTORY; WEDDELL SEA; CAPE LAMB; PENINSULA; CRYOSOLS</t>
  </si>
  <si>
    <t>Sulfurization is a pedogenic process that involves pyrite oxidation and strong soil acidification, accounting for the formation of acid sulfate soils. In Antarctica, acid sulfate soils are related to specific parent materials, such as sulfide-bearing andesites in Maritime Antarctica and pyritized sedimentary rocks in James Ross Archipelago. The hypothesis is that the acid sulfate soils of these regions vary according with a climate gradient The reviewing of current data showed that the acid sulfate soils of warmer and wetter Maritime Antarctica have a greater weathering degree, higher acidity, leaching, phosphorus adsorption capacity, structural development, and well-crystallized iron oxides and kaolinite formation. On the other hand, the sulfurization at the drier region of James Ross Archipelago is counterbalanced by the semiaridity, resulting in lower acidity and higher base contents combined with little morphological and mineralogical evolution besides presence of weatherable minerals in the clay fraction. The sulfurization process interplays with other pedogenic processes, such as the phosphatization in Maritime Antarctica and salinization in James Ross Archipelago. Higher temperatures and soil moisture enhance the pedogenesis, showing that even the Antarctic sulfate soils, which originated from specific parent materials, have their development and characteristics controlled by a clear climatic gradient.</t>
  </si>
  <si>
    <t>[Siqueira, Rafael G.; De Souza, Jose Joao L. L.; Schaefer, Carlos Ernesto G. R.; Fernandes Filho, Elpidio Inacio] Univ Fed Vicosa, Dept Solos, Av PH Rolfs S-N,Campus Univ, BR-36570000 Vicosa, MG, Brazil; [Lopes, Davi, V] Univ Fed Rio Grande do Norte, Ctr Ensino Super Serido, Dept Geog, Rua Joaquim Gregorio S-N, BR-59300000 Caico, RN, Brazil; [Souza, Caroline D.] Inst Fed Minas Gerais, Campus Ouro Preto,Rua Pandia Calogeras 898, BR-35400000 Ouro Preto, MG, Brazil; [De Oliveira, Fabio S.] Univ Fed Minas Gerais, Dept Geog, Av Antonio Carlos 6627, BR-31270901 Belo Horizonte, MG, Brazil</t>
  </si>
  <si>
    <t>Universidade Federal de Vicosa; Universidade Federal do Rio Grande do Norte; Instituto Federal de Educacao, Ciencia e Tecnologia de Minas Gerais (IFMG); Universidade Federal de Minas Gerais</t>
  </si>
  <si>
    <t>Siqueira, RG (corresponding author), Univ Fed Vicosa, Dept Solos, Av PH Rolfs S-N,Campus Univ, BR-36570000 Vicosa, MG, Brazil.</t>
  </si>
  <si>
    <t>rafael.geo.siqueira@gmail.com</t>
  </si>
  <si>
    <t>de Souza, José João Lelis Leal/AAL-7291-2021; Souza, José João Lelis Leal de/G-5960-2018; Delpupo Souza, Caroline/L-7578-2017</t>
  </si>
  <si>
    <t>de Souza, José João Lelis Leal/0000-0003-4670-6626; Souza, José João Lelis Leal de/0000-0003-4670-6626; Siqueira, Rafael Gomes/0000-0003-2779-136X; Delpupo Souza, Caroline/0000-0001-5055-3963; Fernandes Filho, Elpidio Inacio/0000-0003-2440-8329; Oliveira, Fabio/0000-0002-1450-7609; Lopes, Davi/0000-0003-3336-7397</t>
  </si>
  <si>
    <t>Coordenacao de Aperfeicoamento de Pessoal de Nivel Superior -Brasil (CAPES) [001]</t>
  </si>
  <si>
    <t>Coordenacao de Aperfeicoamento de Pessoal de Nivel Superior -Brasil (CAPES)(Coordenacao de Aperfeicoamento de Pessoal de Nivel Superior (CAPES))</t>
  </si>
  <si>
    <t>This study was funded in part by the Coordenacao de Aperfeicoamento de Pessoal de Nivel Superior -Brasil (CAPES) -Finance Code 001. This work is a contribution of Institute of Science and Technology of the Cryosphere -TERRANTAR group (https://www.ufrgs.br/inctcriosfera/terrantar.html).</t>
  </si>
  <si>
    <t>e20210625</t>
  </si>
  <si>
    <t>10.1590/0001-3765202120210625</t>
  </si>
  <si>
    <t>ZF4HO</t>
  </si>
  <si>
    <t>WOS:000759531000001</t>
  </si>
  <si>
    <t>Michaelis, J; Luepkes, C</t>
  </si>
  <si>
    <t>Michaelis, Janosch; Luepkes, Christof</t>
  </si>
  <si>
    <t>The Impact of Lead Patterns on Mean Profiles of Wind, Temperature, and Turbulent Fluxes in the Atmospheric Boundary Layer over Sea Ice</t>
  </si>
  <si>
    <t>atmospheric boundary layer; sea ice leads; turbulent fluxes; microscale modeling; regional climate modeling; convection over leads; sea ice; turbulence parameterization; vertical entrainment; counter-gradient transport</t>
  </si>
  <si>
    <t>PHYSICAL PROCESSES; HEAT-TRANSFER; TRANSPORT; MODEL; OCEAN</t>
  </si>
  <si>
    <t>In the polar regions, the atmospheric boundary layer (ABL) characteristics are strongly influenced by convection over leads, which are elongated channels in the sea ice covered ocean. The effects on the ABL depend on meteorological forcing and lead geometry. In non-convection-resolving models, in which several leads of potentially different characteristics might be present in a single grid cell, such surface characteristics and the corresponding ABL patterns are not resolved. Our main goal is to investigate potential implications for such models when these subgrid-scale patterns are not considered appropriately. We performed non-eddy-resolving microscale simulations over five different domains with leads of different widths separated by 100% sea ice. We also performed coarser-resolved simulations over a domain representing a few grid cells of a regional climate model, wherein leads were not resolved but accounted for via a fractional sea ice cover of 91% in each cell. Domain size and mean sea ice concentration were the same in all simulations. Differences in the domain-averaged ABL profiles and patterns of wind, temperature, and turbulent fluxes indicate a strong impact of both the leads and their geometry. Additional evaluations of different turbulence parameterizations show large effects by both gradient-independent heat transport and vertical entrainment.</t>
  </si>
  <si>
    <t>[Michaelis, Janosch; Luepkes, Christof] Helmholtz Ctr Polar &amp; Marine Res, Alfred Wegener Inst, D-27570 Bremerhaven, Germany</t>
  </si>
  <si>
    <t>Michaelis, J (corresponding author), Helmholtz Ctr Polar &amp; Marine Res, Alfred Wegener Inst, D-27570 Bremerhaven, Germany.</t>
  </si>
  <si>
    <t>janosch.michaelis@awi.de; christof.luepkes@awi.de</t>
  </si>
  <si>
    <t>Michaelis, Janosch/GRO-0453-2022; amplification, ³ - Arctic/AAU-6640-2020; Lupkes, Christof/B-4897-2014</t>
  </si>
  <si>
    <t>Michaelis, Janosch/0000-0002-0564-2083; Lupkes, Christof/0000-0001-6518-0717</t>
  </si>
  <si>
    <t>Deutsche Forschungsgemeinschaft (DFG, German Research Foundation) via the Transregional Collaborative Research Center ArctiC Amplification (AC)3 [268020496-TRR 172]; Deutsche Forschungsgemeinschaft (DFG, German Research Foundation) [SPP 1158, LU 818/5-1]</t>
  </si>
  <si>
    <t>Deutsche Forschungsgemeinschaft (DFG, German Research Foundation) via the Transregional Collaborative Research Center ArctiC Amplification (AC)3(German Research Foundation (DFG)); Deutsche Forschungsgemeinschaft (DFG, German Research Foundation)(German Research Foundation (DFG))</t>
  </si>
  <si>
    <t>This research was funded by Deutsche Forschungsgemeinschaft (DFG, German Research Foundation) via the Transregional Collaborative Research Center ArctiC Amplification (AC)3 (project number 268020496-TRR 172) and in the framework of the priority program SPP 1158 Antarctic Research with comparative investigations in Arctic ice areas (grant LU 818/5-1).</t>
  </si>
  <si>
    <t>10.3390/atmos13010148</t>
  </si>
  <si>
    <t>ZD8OX</t>
  </si>
  <si>
    <t>WOS:000758455900001</t>
  </si>
  <si>
    <t>Mousavi, M; Colliander, A; Miller, JZ; Kimball, JS</t>
  </si>
  <si>
    <t>Mousavi, Mohammad; Colliander, Andreas; Miller, Julie Z.; Kimball, John S.</t>
  </si>
  <si>
    <t>A Novel Approach to Map the Intensity of Surface Melting on the Antarctica Ice Sheet Using SMAP L-Band Microwave Radiometry</t>
  </si>
  <si>
    <t>Microwave radiometry; Ice; Snow; Antarctica; Satellite broadcasting; Microwave integrated circuits; Microwave FET integrated circuits; Earth; electromagnetic propagation; electromagnetic scattering; geophysical inverse problems; ice; microwave radiometry; modeling; multilayered media; satellites; water resources</t>
  </si>
  <si>
    <t>SOIL-MOISTURE; GREENLAND; SNOWMELT; SHELVES</t>
  </si>
  <si>
    <t>The polar ice sheets have undergone unprecedented melt events in recent years, which have consequences for the ice sheet mass balance and stability, and global sea level. In this article, we employed L-band (1.4 GHz) brightness temperature observations collected by NASA's Soil Moisture Active Passive (SMAP) mission to investigate the extent, duration, and intensity of melt events on the Antarctic Ice Sheet from 2015 to 2020. The observed microwave response depends on the sensor measurement frequency. Our hypothesis for this article is that the relatively long wavelength (21 cm) SMAP observations can detect a wider range of surface wetness conditions relative to shorter wavelength microwave observations that attain signal saturation at relatively lower wetness levels and within shallower surface layers. SMAP provides nearly all-weather surface monitoring over all of Antarctica twice daily with morning and evening overpasses at about 40 km spatial resolution. We applied an empirical threshold algorithm using horizontally and vertically polarized microwave brightness temperature differences to detect surface melt events over Antarctica. The results show that the SMAP empirical algorithm can be used to detect melt extent and duration, and the geophysical model-based algorithm can be used to detect variations in snow wetness, which serve as an indicator of melt intensity. Analysis of the melt seasons between 2015 and 2020 shows that even though the melt extent in 2019-2020 was not as large as during the 2015-2016 melt season, it was significantly more intense, particularity on the West Antarctic Ice Sheet.</t>
  </si>
  <si>
    <t>[Mousavi, Mohammad; Colliander, Andreas] CALTECH, Jet Prop Lab, 4800 Oak Grove Dr, Pasadena, CA 91125 USA; [Miller, Julie Z.] Univ Colorado, Boulder, CO 80309 USA; [Kimball, John S.] Univ Montana, Numer Terradynam Simulat Grp, Missoula, MT 59807 USA</t>
  </si>
  <si>
    <t>California Institute of Technology; National Aeronautics &amp; Space Administration (NASA); NASA Jet Propulsion Laboratory (JPL); University of Colorado System; University of Colorado Boulder; University of Montana System; University of Montana</t>
  </si>
  <si>
    <t>Mousavi, M (corresponding author), CALTECH, Jet Prop Lab, 4800 Oak Grove Dr, Pasadena, CA 91125 USA.</t>
  </si>
  <si>
    <t>mousavi@jpl.nasa.gov; andreas.colliander@jpl.nasa.gov; jzmiller.research@gmail.com; johnk@ntsg.umt.edu</t>
  </si>
  <si>
    <t>Colliander, Andreas/M-9864-2018</t>
  </si>
  <si>
    <t>Kimball, John S./0000-0002-5493-5878; Miller, J. Z./0000-0003-1452-1627</t>
  </si>
  <si>
    <t>Jet Propulsion Laboratory, California Institute of Technology; National Aeronautics and Space Administration; NASA MEaSUREs [80NSSC18K0980]; Cryospheric Science Program [80NSSC18K1055]</t>
  </si>
  <si>
    <t>Jet Propulsion Laboratory, California Institute of Technology; National Aeronautics and Space Administration(National Aeronautics &amp; Space Administration (NASA)); NASA MEaSUREs; Cryospheric Science Program</t>
  </si>
  <si>
    <t>This work was supported in part by the Jet Propulsion Laboratory, California Institute of Technology, under a contract with the National Aeronautics and Space Administration and in part by the NASA MEaSUREs under Grant 80NSSC18K0980 and Cryospheric Science Program under Grant 80NSSC18K1055.</t>
  </si>
  <si>
    <t>10.1109/JSTARS.2022.3147430</t>
  </si>
  <si>
    <t>ZC9SC</t>
  </si>
  <si>
    <t>WOS:000757849300001</t>
  </si>
  <si>
    <t>Ma, CM; Yang, PK; Tan, X; Bao, M</t>
  </si>
  <si>
    <t>Ma, Chenming; Yang, Pengkun; Tan, Xin; Bao, Ming</t>
  </si>
  <si>
    <t>Possible Causes of the Occurrence of a Rare Antarctic Sudden Stratospheric Warming in 2019</t>
  </si>
  <si>
    <t>Antarctic SSW; central Pacific warming; anomalous deep convection; planetary wave; stratospheric state</t>
  </si>
  <si>
    <t>WAVE-ACTIVITY FLUX; PLANETARY-WAVES; EL-NINO; WINTER; PROPAGATION; TROPOSPHERE; STATIONARY; ATMOSPHERE; PRECURSOR; VORTEX</t>
  </si>
  <si>
    <t>A minor Antarctic sudden stratospheric warming (SSW) with the strongest circulation changes since the first major SSW over the Antarctic was recorded in 2002 occurred in early September 2019. The diagnosis demonstrates two possible causes of this SSW. First, the tropical central Pacific warming is identified, which enhanced the amplitude of tropospheric planetary wavenumber 1 (W1) in the extratropics on the seasonal time scale. Second, the impact of intraseasonal convection anomalies similar to previous studies is also suggested here. The enhanced deep convection over the South Pacific Convergence Zone (SPCZ) in late August-early September excited a Rossby wave train to deepen an anomalous ridge, which significantly and persistently strengthened the tropospheric W1. The central Pacific warming and intraseasonal convection anomalies jointly provided the conditions for the occurrence of the Antarctic SSW in 2019 on different time scales. On the other hand, the difference of the stratospheric state between the Antarctic SSWs in 2019 and 2002 may be an important reason why the 2019 event did not meet the major SSW criteria. The stratospheric state before the 2019 SSW event is somewhat not as ideal as that of the 2002 event. Vertical planetary waves are, hence, more difficult to enter into the polar stratosphere, making it more difficult to trigger major events.</t>
  </si>
  <si>
    <t>[Ma, Chenming; Yang, Pengkun; Bao, Ming] Nanjing Univ, Sch Atmospher Sci, Nanjing 210023, Peoples R China; [Tan, Xin] China Univ Geosci, Sch Environm Studies, Dept Atmospher Sci, Wuhan 430074, Peoples R China</t>
  </si>
  <si>
    <t>Nanjing University; China University of Geosciences</t>
  </si>
  <si>
    <t>Yang, PK (corresponding author), Nanjing Univ, Sch Atmospher Sci, Nanjing 210023, Peoples R China.</t>
  </si>
  <si>
    <t>mg1928020@smail.nju.edu.cn; pkyang@smail.nju.edu.cn; tanxin@cug.edu.cn; baom@nju.edu.cn</t>
  </si>
  <si>
    <t>10.3390/atmos13010147</t>
  </si>
  <si>
    <t>ZC0ZB</t>
  </si>
  <si>
    <t>WOS:000757258000001</t>
  </si>
  <si>
    <t>Allegue, H; Guinet, C; Patrick, SC; Hindell, MA; McMahon, CR; Réale, D</t>
  </si>
  <si>
    <t>Allegue, Hassen; Guinet, Christophe; Patrick, Samantha C.; Hindell, Mark A.; McMahon, Clive R.; Reale, Denis</t>
  </si>
  <si>
    <t>Sex, body size, and boldness shape the seasonal foraging habitat selection in southern elephant seals</t>
  </si>
  <si>
    <t>benefit-cost trade-off; biologging; habitat selection; Mirounga leonina; personality</t>
  </si>
  <si>
    <t>MIROUNGA-LEONINA; RISK-TAKING; INDIVIDUAL-DIFFERENCES; ANIMAL TEMPERAMENT; DIVING BEHAVIOR; PERSONALITY; KERGUELEN; ECOLOGY; GROWTH; TEMPERATURE</t>
  </si>
  <si>
    <t>Selecting foraging habitat is a fundamental behavior in the life of organisms as it directly links resource acquisition to fitness. Differences in habitat selection among individuals may arise from several intrinsic and extrinsic factors, and yet, their interaction has been given little attention in the study of wild populations. We combine sex, body size, and boldness to explain individual differences in the seasonal foraging habitat selection of southern elephant seals (Mirounga leonina) from the Kerguelen Archipelago. We hypothesize that habitat selection is linked to the trade-off between resource acquisition and risk, and that individuals differ in their position along this trade-off because of differences in reproductive strategies, life stages, and metabolic requirements. Before the post-molt foraging trip, we used a novel object approach test to quantify the boldness of 28 subadult and adult females and 42 subadult males and equipped them with data loggers to track their movements at sea. Subadult males selected neritic and oceanic habitats, whereas females mostly selected less productive oceanic habitats. Both sexes showed a seasonal shift from Antarctic habitats in the south in the summer to the free of ice subantarctic and subtropical habitats in the north in the winter. Males avoided oceanic habitats and selected more productive neritic and Antarctic habitats with body size mostly in the winter. Bolder males selected northern warmer waters in winter, while shyer ones selected the Kerguelen plateau and southern colder oceanic waters. Bolder females selected the Kerguelen plateau in the summer when prey profitability is assumed to be the highest. This study not only provides new insights into the spatiotemporal foraging ecology of elephant seals in relation to personality but also emphasizes the relevance of combining several intrinsic and extrinsic factors in understanding among-individual variation in space use essential in wildlife management and conservation.</t>
  </si>
  <si>
    <t>[Allegue, Hassen; Reale, Denis] Univ Quebec Montreal, Dept Sci Biol, Montreal, PQ, Canada; [Guinet, Christophe] CNRS, CEBC, Ctr Etud Biol Chize, Chize, France; [Patrick, Samantha C.] Univ Liverpool, Sch Environm Sci, Liverpool, Merseyside, England; [Hindell, Mark A.; McMahon, Clive R.] Inst Marine &amp; Antarctic Studies, Battery Point, Tas, Australia; [Hindell, Mark A.] Univ Tasmania, Antarctic Climate &amp; Ecosyst Cooperat Res Ctr, Hobart, Tas, Australia; [McMahon, Clive R.] Sydney Inst Marine Sci, Sydney, NSW, Australia; [McMahon, Clive R.] Macquarie Univ, Dept Biol Sci, Sydney, NSW, Australia</t>
  </si>
  <si>
    <t>University of Quebec; University of Quebec Montreal; Centre National de la Recherche Scientifique (CNRS); University of Liverpool; University of Tasmania; University of Tasmania; Antarctic Climate &amp; Ecosystems Cooperative Research Centre (ACE CRC); Sydney Institute of Marine Science; Macquarie University</t>
  </si>
  <si>
    <t>Allegue, H (corresponding author), Univ Quebec Montreal, Dept Sci Biol, Montreal, PQ, Canada.</t>
  </si>
  <si>
    <t>h.all@disroot.org</t>
  </si>
  <si>
    <t>McMahon, Clive R/D-5713-2013; Hindell, Mark A/K-1131-2013</t>
  </si>
  <si>
    <t>McMahon, Clive R/0000-0001-5241-8917; REALE, Denis/0000-0002-0419-7125; Hindell, Mark/0000-0002-7823-7185; Allegue, Hassen/0000-0001-9357-9151; GUINET, Christophe/0000-0003-2481-6947</t>
  </si>
  <si>
    <t>Institut polaire francais Paul-Emile Victor; Center of Biological Studies of Chize; Integrated Marine Observing System; Australian Research Council; Natural Sciences and Engineering Research Council of Canada</t>
  </si>
  <si>
    <t>Institut polaire francais Paul-Emile Victor; Center of Biological Studies of Chize; Integrated Marine Observing System; Australian Research Council(Australian Research Council); Natural Sciences and Engineering Research Council of Canada(Natural Sciences and Engineering Research Council of Canada (NSERC)CGIAR)</t>
  </si>
  <si>
    <t>e8457</t>
  </si>
  <si>
    <t>10.1002/ece3.8457</t>
  </si>
  <si>
    <t>YO3LR</t>
  </si>
  <si>
    <t>WOS:000747845400005</t>
  </si>
  <si>
    <t>Zhu, WZ; Wang, SH; Gao, HM; Ge, YM; Dai, J; Zhang, XL; Yang, Q</t>
  </si>
  <si>
    <t>Zhu, Wen-Zhuo; Wang, Shu-Heng; Gao, Hui-Min; Ge, Ya-Ming; Dai, Jun; Zhang, Xiao-Ling; Yang, Qiao</t>
  </si>
  <si>
    <t>Characterization of Bioactivities and Biosynthesis of Angucycline/Angucyclinone Derivatives Derived from Gephyromycinifex aptenodytis gen. nov., sp. nov.</t>
  </si>
  <si>
    <t>MARINE DRUGS</t>
  </si>
  <si>
    <t>gut microbiota; Gephyromycinifex aptenodytis; angucycline; angucyclinone derivatives; exopolysaccharides; type III PKS; biogenetic pathway; Antarctic actinobacteria</t>
  </si>
  <si>
    <t>STREPTOMYCES; DINOFLAGELLATE; ANGUCYCLINONE</t>
  </si>
  <si>
    <t>Strain NJES-13(T) is the type strain and currently the only species of the newly established actinobacteria genera Aptenodytes in the family Dermatophilaceae isolated from the gut microbiota of the Antarctic emperor penguin. This strain demonstrated excellent bioflocculation activity with bacteria-derived exopolysaccharides (EPSs). Moreover, it produced bioactive angucycline/angucyclinone derivatives (ADs) and contained one type III polyketide synthase (T3PKS), thus demonstrating great potential to produce novel bioactive compounds. However, the low productivity of the potential new AD metabolite was the main obstacle for its chemical structure elucidation. In this study, to increase the concentration of targeted metabolites, the influence of cellular morphology on AD metabolism in strain NJES-13(T) was determined using glass bead-enhanced fermentation. Based on the cellular ultra-structural observation driven by bacterial EPSs, and quantitative analysis of the targeted metabolites, the successful increasing of the productivity of three AD metabolites was achieved. Afterward, a new frigocyclinone analogue was isolated and then identified as 2-hydroxy-frigocyclinone, as well as two other known ADs named 2-hydroxy-tetrangomycin (2-HT) and gephyromycin (GPM). Three AD metabolites were found to demonstrate different bioactivities. Both C-2 hydroxyl substitutes, 2-hydroxy-tetrangomycin and 2-hydroxy-frigocyclinone, exhibited variable inhibitory activities against Staphylococcus aureus, Bacillus subtilis and Candida albicans. Moreover, the newly identified 2-hydroxy-frigocyclinone also showed significant cytotoxicity against three tested human-derived cancerous cell lines (HL-60, Bel-7402 and A549), with all obtained IC50 values less than 10 mu M. Based on the genetic analysis after genomic mining, the plausible biogenetic pathway of the three bioactive ADs in strain NJES-13(T) was also proposed.</t>
  </si>
  <si>
    <t>[Zhu, Wen-Zhuo; Wang, Shu-Heng; Gao, Hui-Min; Zhang, Xiao-Ling; Yang, Qiao] Zhejiang Ocean Univ, Dept Marine Chem, Coll Marine Sci &amp; Technol, Zhoushan 316022, Peoples R China; [Ge, Ya-Ming] Zhejiang Ocean Univ, Natl Engn Res Ctr Marine Aquaculture, Zhoushan 316021, Peoples R China; [Dai, Jun] Hubei Univ Technol, Nat 111 Ctr Cellular Regulat &amp; Mol Pharmaceut, Key Lab Fermentat Engn, Minist Educ,Coll Bioengn, Wuhan 430068, Peoples R China; [Zhang, Xiao-Ling; Yang, Qiao] Zhejiang Ocean Univ, ABI Grp, Zhoushan 316022, Peoples R China; [Yang, Qiao] Zhejiang Ocean Univ, Dept Environm Sci &amp; Engn, Zhoushan 316022, Peoples R China</t>
  </si>
  <si>
    <t>Zhejiang Ocean University; Zhejiang Ocean University; Hubei University of Technology; Zhejiang Ocean University; Zhejiang Ocean University</t>
  </si>
  <si>
    <t>Zhang, XL; Yang, Q (corresponding author), Zhejiang Ocean Univ, Dept Marine Chem, Coll Marine Sci &amp; Technol, Zhoushan 316022, Peoples R China.;Zhang, XL; Yang, Q (corresponding author), Zhejiang Ocean Univ, ABI Grp, Zhoushan 316022, Peoples R China.;Yang, Q (corresponding author), Zhejiang Ocean Univ, Dept Environm Sci &amp; Engn, Zhoushan 316022, Peoples R China.</t>
  </si>
  <si>
    <t>zhuwenzhuo@zjou.edu.cn; wangshuheng@zjou.edu.cn; gaohuimin@zjou.edu.cn; geyaming@zjou.edu.cn; jundai@hbut.edu.cn; zhangxiaoling@zjou.edu.cn; qiaoyang1979@whu.edu.cn</t>
  </si>
  <si>
    <t>Li, Binxu/KDO-3273-2024; Gao, Huimin/I-8253-2012; Lin, Kuan-Yu/JXM-6653-2024</t>
  </si>
  <si>
    <t>Yang, Qiao/0000-0002-7770-5389</t>
  </si>
  <si>
    <t>1660-3397</t>
  </si>
  <si>
    <t>MAR DRUGS</t>
  </si>
  <si>
    <t>Mar. Drugs</t>
  </si>
  <si>
    <t>10.3390/md20010034</t>
  </si>
  <si>
    <t>ZB7RM</t>
  </si>
  <si>
    <t>WOS:000757034900001</t>
  </si>
  <si>
    <t>Khaledi, J; Nitschke, C; Lane, PNJ; Penman, T; Nyman, P</t>
  </si>
  <si>
    <t>Khaledi, Jabbar; Nitschke, Craig; Lane, Patrick N. J.; Penman, Trent; Nyman, Petter</t>
  </si>
  <si>
    <t>The Influence of Atmosphere-Ocean Phenomenon on Water Availability Across Temperate Australia</t>
  </si>
  <si>
    <t>WATER RESOURCES RESEARCH</t>
  </si>
  <si>
    <t>climate variability modes; water availability; streamflow variability; rainfall variability; temperate Australia</t>
  </si>
  <si>
    <t>SOUTHERN ANNULAR MODE; DECADAL CLIMATE VARIABILITY; KENDALL TREND TEST; EL-NINO; RAINFALL VARIABILITY; ANTARCTIC OSCILLATION; EASTERN AUSTRALIA; NON-STATIONARITY; UNITED-STATES; DIPOLE MODE</t>
  </si>
  <si>
    <t>Links between climate variability modes, rainfall, and streamflow are important for understanding the trajectories of change and dynamics in water availability. In this study, we examined the influence of the El Nino Southern Oscillation, Indian Ocean Dipole, Southern Annular Mode, and Interdecadal Pacific Oscillation modes on interannual variations in rainfall and streamflow in four hydroclimate regions. We also explored the link between climate variability modes and extreme rainfall and streamflow years. Climate mode indices, rainfall, and streamflow data from 1975 to 2018 were analyzed for 92 predominately forested catchments located across temperate Australia. Climate modes had divergent influences on streamflow and rainfall between and within regions. Across temperate Australia, a higher proportion of interannual variation in rainfall was explained by climate modes than for streamflow, indicating factors other than atmosphere-ocean phenomena are important in determining interannual streamflow variability. Extremes in rainfall and streamflow across regions were related to the co-occurrence of climate modes, with a stronger relationship between teleconnections and low rainfall/streamflow years than high rainfall/streamflow years. The study provides new insights into the regional drivers of hydrological extremes and consolidates our understanding of the role of teleconnections on water availability in the temperate zone of Australia.</t>
  </si>
  <si>
    <t>[Khaledi, Jabbar; Nitschke, Craig; Lane, Patrick N. J.; Penman, Trent; Nyman, Petter] Univ Melbourne, Sch Ecosyst &amp; Forest Sci, Parkville, Vic, Australia</t>
  </si>
  <si>
    <t>University of Melbourne</t>
  </si>
  <si>
    <t>Khaledi, J (corresponding author), Univ Melbourne, Sch Ecosyst &amp; Forest Sci, Parkville, Vic, Australia.</t>
  </si>
  <si>
    <t>jkhaledi@student.unimelb.edu.au</t>
  </si>
  <si>
    <t>Nitschke, Craig/AGI-8890-2022; Penman, Trent D/A-7242-2012</t>
  </si>
  <si>
    <t>Nitschke, Craig/0000-0003-2514-9744; Khaledi, Jabbar/0000-0002-0473-9406; Penman, Trent/0000-0002-5203-9818</t>
  </si>
  <si>
    <t>Melbourne Research Scholarship; Australian Research Council [LP150100654]; Melbourne Water Corporation; Victorian Department of Environment, Land, Water, and Planning through the Integrated Forest Ecosystem Research program; Australian Research Council [LP150100654] Funding Source: Australian Research Council</t>
  </si>
  <si>
    <t>Melbourne Research Scholarship; Australian Research Council(Australian Research Council); Melbourne Water Corporation; Victorian Department of Environment, Land, Water, and Planning through the Integrated Forest Ecosystem Research program; Australian Research Council(Australian Research Council)</t>
  </si>
  <si>
    <t>This research was funded by a Melbourne Research Scholarship, the Australian Research Council (LP150100654), Melbourne Water Corporation, and the Victorian Department of Environment, Land, Water, and Planning through the Integrated Forest Ecosystem Research program. The authors would like to thank the reviewers of our manuscript whose comments have greatly improved this study.</t>
  </si>
  <si>
    <t>0043-1397</t>
  </si>
  <si>
    <t>1944-7973</t>
  </si>
  <si>
    <t>WATER RESOUR RES</t>
  </si>
  <si>
    <t>Water Resour. Res.</t>
  </si>
  <si>
    <t>e2020WR029409</t>
  </si>
  <si>
    <t>10.1029/2020WR029409</t>
  </si>
  <si>
    <t>Environmental Sciences; Limnology; Water Resources</t>
  </si>
  <si>
    <t>Environmental Sciences &amp; Ecology; Marine &amp; Freshwater Biology; Water Resources</t>
  </si>
  <si>
    <t>YT4CR</t>
  </si>
  <si>
    <t>WOS:000751310200010</t>
  </si>
  <si>
    <t>Girard, L; Geudens, N; Pauwels, B; Höfte, M; Martins, JC; De Mot, R</t>
  </si>
  <si>
    <t>Girard, Lea; Geudens, Niels; Pauwels, Brent; Hofte, Monica; Martins, Jose C.; De Mot, Rene</t>
  </si>
  <si>
    <t>Transporter Gene-Mediated Typing for Detection and Genome Mining of Lipopeptide-Producing Pseudomonas</t>
  </si>
  <si>
    <t>APPLIED AND ENVIRONMENTAL MICROBIOLOGY</t>
  </si>
  <si>
    <t>ABC transporter; biosynthetic gene clusters; secondary metabolites</t>
  </si>
  <si>
    <t>PEPTIDE SYNTHETASE GENES; LINE-INDUCING PRINCIPLE; CYCLIC LIPODEPSIPEPTIDES; FUNCTIONAL-CHARACTERIZATION; BIOLOGICAL-ACTIVITY; SWARMING MOTILITY; SYRINGAE STRAINS; VIRULENCE FACTOR; CICHORII SF1-54; PUTISOLVIN-II</t>
  </si>
  <si>
    <t>Pseudomonas lipopeptides (LPs) are involved in diverse ecological functions and have biotechnological application potential associated with their antimicrobial and/or antiproliferative activities. They are synthesized by multimodular nonribosomal peptide synthetases which, together with transport and regulatory proteins, are encoded by large biosynthetic gene clusters (BGCs). These secondary metabolites are classified in distinct families based on the sequence and length of the oligopeptide and size of the macrocycle, if present. The phylogeny of PleB, the MacBlike transporter that is part of a dedicated ATP-dependent tripartite efflux system driving export of Pseudomonas LPs, revealed a strong correlation with LP chemical diversity. As each LP BGC carries its cognate pleB, PleB is suitable as a diagnostic sequence for genome mining, allowing assignment of the putative metabolite to a particular LP family. In addition, pleB proved to be a suitable target gene for an alternative PCR method for detecting LP-producing Pseudomonas sp. and did not rely on amplification of catalytic domains of the biosynthetic enzymes. Combined with amplicon sequencing, this approach enabled typing of Pseudomonas strains as potential producers of a LP belonging to one of the known LP families, underscoring its value for strain prioritization. This finding was validated by chemical characterization of known LPs from three different families secreted by novel producers isolated from the rice or maize rhizosphere, namely, the type strains of Pseudomonas fulva (putisolvin), Pseudomonas zeae (tensin), and Pseudomonas xantholysinigenes (xantholysin). In addition, a new member of the Bananamide family, prosekin, was discovered in the type strain of Pseudomonas prosekii, which is an Antarctic isolate. IMPORTANCE Pseudomonas spp. are ubiquitous bacteria able to thrive in a wide range of ecological niches, and lipopeptides often support their lifestyle but also their interaction with other micro- and macro-organisms. Therefore, the production of lipopeptides is widespread among Pseudomonas strains. Consequently, Pseudomonas lipopeptide research not only affects chemists and microbiologists but also touches a much broader audience, including biochemists, ecologists, and plant biologists. In this study, we present a reliable transporter gene-guided approach for the detection and/or typing of Pseudomonas lipopeptide producers. Indeed, it allows us to readily assess the lipopeptide diversity among sets of Pseudomonas isolates and differentiate strains likely to produce known lipopeptides from producers of potentially novel lipopeptides. This work provides a valuable tool that can also be integrated in a genome mining strategy and adapted for the typing of other specialized metabolites.</t>
  </si>
  <si>
    <t>[Girard, Lea; Pauwels, Brent; De Mot, Rene] Katholieke Univ Leuven, Ctr Microbial &amp; Plant Genet, Fac Biosci Engn, Heverlee, Belgium; [Geudens, Niels; Martins, Jose C.] Univ Ghent, Fac Sci, Dept Organ &amp; Macromol Chem, NMR &amp; Struct Anal Unit, Ghent, Belgium; [Pauwels, Brent; Hofte, Monica] Univ Ghent, Fac Biosci Engn, Dept Plants &amp; Crops, Lab Phytopathol, Ghent, Belgium</t>
  </si>
  <si>
    <t>KU Leuven; Ghent University; Ghent University</t>
  </si>
  <si>
    <t>De Mot, R (corresponding author), Katholieke Univ Leuven, Ctr Microbial &amp; Plant Genet, Fac Biosci Engn, Heverlee, Belgium.</t>
  </si>
  <si>
    <t>rene.demot@kuleuven.be</t>
  </si>
  <si>
    <t>Martins, José CO/G-9406-2016; Hofte, Monica MR/A-6154-2008</t>
  </si>
  <si>
    <t>Girard, Lea/0000-0002-2163-5924; Martins, Jose/0000-0001-7350-2253; Geudens, Niels/0000-0003-0459-7142; Hofte, Monica/0000-0002-0850-3249</t>
  </si>
  <si>
    <t>Fonds Wetenschappelijk Onderzoek - Vlaanderen (FWO); Fonds de la Recherche Scientifique - FNRS under EOS [30650620]; Ghent University [GOA-028-19]</t>
  </si>
  <si>
    <t>Fonds Wetenschappelijk Onderzoek - Vlaanderen (FWO)(FWO); Fonds de la Recherche Scientifique - FNRS under EOS(Fonds de la Recherche Scientifique - FNRS); Ghent University(Ghent University)</t>
  </si>
  <si>
    <t>This work was supported by the Fonds Wetenschappelijk Onderzoek - Vlaanderen (FWO) and the Fonds de la Recherche Scientifique - FNRS under EOS project 30650620 (RHIZOCLIP) to M.H., R.D.M., and J.C.M. as well as a concerted research action GOA-028-19 (MEMCLIP) attributed to J.C.M. and M.H. by Ghent University.</t>
  </si>
  <si>
    <t>0099-2240</t>
  </si>
  <si>
    <t>1098-5336</t>
  </si>
  <si>
    <t>APPL ENVIRON MICROB</t>
  </si>
  <si>
    <t>Appl. Environ. Microbiol.</t>
  </si>
  <si>
    <t>e01869-21</t>
  </si>
  <si>
    <t>10.1128/AEM.01869-21</t>
  </si>
  <si>
    <t>YP6HR</t>
  </si>
  <si>
    <t>WOS:000748723400021</t>
  </si>
  <si>
    <t>Chen, Y; Zhu, L; Bai, PZ; Cui, SQ; Xin, YH; Zhang, Y; Zhang, JL</t>
  </si>
  <si>
    <t>Chen, Ya; Zhu, Lin; Bai, Pengze; Cui, Siqi; Xin, Yuhua; Zhang, Ying; Zhang, Jianli</t>
  </si>
  <si>
    <t>Hymenobacter terricola sp. nov., isolated from Antarctic soil</t>
  </si>
  <si>
    <t>Bacteroidetes; Hymenobacter; new taxa; novel species</t>
  </si>
  <si>
    <t>EMENDED DESCRIPTION; FATTY-ACIDS; GEN. NOV.; SANDSTONE; SEQUENCES; SEDIMENT; TAXONOMY; PROPOSAL; FAMILY; TAXA</t>
  </si>
  <si>
    <t>Strain 3F2T was isolated from a soil sample obtained from the surface of Deception Island, Antarctica. The isolate was a Gramstain- negative, aerobic, non- motile, rod- shaped bacterium, and its colonies were red to pink in colour. Phylogenetic analysis based on 16S rRNA gene sequences indicated that strain 3F2T belonged to the genus Hymenobacter, family Hymenobacteraceae and was most closely related to Hymenobacter sedentarius DG5BT (97.0% sequence similarity), Hymenobacter soli PB17T (96.9%), Hymenobacter terrae DG7AT (96.8%) and Hymenobacter rufus S1-2-2-6T (96.5%). Growth occurred at 4-20 degrees C (optimum, 10 degrees C), up to 1.0 % (w/v) NaCl (optimum, 0%) and pH 6.0-8.0 (optimum, pH 7.0). The chemotaxonomic characteristics of strain 3F2T, which had MK- 7 as its predominant menaquinone and summed feature 3 (C16:1 omega 7c and/or C16:1 omega 6c), iso-C15:0, anteiso-C15:0 and C16:1 omega 5c as its major fatty acids, were consistent with classification in the genus Hymenobacter. The polar lipid profile of strain 3F2T comprised phosphatidylethanolamine, two unidentified aminolipids, two unidentified aminophospholipids and three unidentified polar lipids. The genome of strain 3F2T was 6.56 Mbp with a G+C content of 61.5 mol%. Average nucleotide identity (ANI) values between 3F2T and the other species of the genus Hymenobacter were found to be low (ANIm &lt;87.0%, ANIb &lt;82.0% and OrthoANIu &lt;83.0%). Furthermore, digital DNA-DNA hybridization and average amino acid identity values between strain 3F2T and the closely related species ranged from 20.0 to 26.3% and from 64.0 to 81.1 %, respectively. Based on the results of our phylogenetic, phenotypic, genotypic and chemotaxonomic analyses, it is concluded that strain 3F2T represents a novel species within the genus Hymenobacter, for which the name Hymenobacter terricola sp. nov. is proposed. The type strain is 3F2T (=KCTC 72468T=CGMCC 1.13716T).</t>
  </si>
  <si>
    <t>[Chen, Ya; Zhu, Lin; Bai, Pengze; Cui, Siqi; Zhang, Ying; Zhang, Jianli] Beijing Inst Technol, Sch Life Sci, Key Lab Mol Med &amp; Biotherapy, Beijing 100081, Peoples R China; [Xin, Yuhua] Chinese Acad Sci, China Gen Microbiol Culture Collect Ctr, Inst Microbiol, Beijing 100101, Peoples R China</t>
  </si>
  <si>
    <t>Beijing Institute of Technology; Chinese Academy of Sciences; Institute of Microbiology, CAS</t>
  </si>
  <si>
    <t>Zhang, JL (corresponding author), Beijing Inst Technol, Sch Life Sci, Key Lab Mol Med &amp; Biotherapy, Beijing 100081, Peoples R China.</t>
  </si>
  <si>
    <t>zhangjianli@bit.edu.cn</t>
  </si>
  <si>
    <t>zhang, jianli/0000-0002-3194-0375</t>
  </si>
  <si>
    <t>National Key Research and Development Program of China [2016YFC0501302]; National Natural Science Foundation of China (NSFC) [31070002]</t>
  </si>
  <si>
    <t>National Key Research and Development Program of China; National Natural Science Foundation of China (NSFC)(National Natural Science Foundation of China (NSFC))</t>
  </si>
  <si>
    <t>This research was supported by the National Key Research and Development Program of China (2016YFC0501302) and by the National Natural Science Foundation of China (NSFC, grant number 31070002).</t>
  </si>
  <si>
    <t>10.1099/ijsem.0.005205</t>
  </si>
  <si>
    <t>YT7JR</t>
  </si>
  <si>
    <t>WOS:000751531900001</t>
  </si>
  <si>
    <t>Nguyen, CT; Oluwadare, ST; Le, NT; Alizadeh, M; Wickert, J; Schuh, H</t>
  </si>
  <si>
    <t>Nguyen, Chinh Thai; Oluwadare, Seun Temitope; Le, Nhung Thi; Alizadeh, Mahdi; Wickert, Jens; Schuh, Harald</t>
  </si>
  <si>
    <t>Spatial and Temporal Distributions of Ionospheric Irregularities Derived from Regional and Global ROTI Maps</t>
  </si>
  <si>
    <t>ionosphere; ionospheric irregularities; ionospheric disturbances; ionospheric scintillations; TEC; VTEC; ROTI</t>
  </si>
  <si>
    <t>EQUATORIAL SCINTILLATIONS; DISTURBANCES; CREST; LINKS</t>
  </si>
  <si>
    <t>Major advancements in the monitoring of both the occurrence and impacts of space weather can be made by evaluating the occurrence and distribution of ionospheric disturbances. Previous studies have shown that the fluctuations in total electron content (TEC) values estimated from Global Navigation Satellite System (GNSS) observations clearly exhibit the intensity levels of ionospheric irregularities, which vary continuously in both time and space. The duration and intensity of perturbations depend on the geographic location. They are also dependent on the physical activities of the Sun, the Earth's magnetic activities, as well as the process of transferring energy from the Sun to the Earth. The aim of this study is to establish ionospheric irregularity maps using ROTI (rate of TEC index) values derived from conventional dual-frequency GNSS measurements (30-s interval). The research areas are located in Southeast Asia (15 degrees S-25 degrees N latitude and 95 degrees E-115 degrees E longitude), which is heavily affected by ionospheric scintillations, as well as in other regions around the globe. The regional ROTI map of Southeast Asia clearly indicates that ionospheric disturbances in this region are dominantly concentrated around the two equatorial ionization anomaly (EIA) crests, occurring mainly during the evening hours. Meanwhile, the global ROTI maps reveal the spatial and temporal distributions of ionospheric scintillations. Within the equatorial region, South America is the most vulnerable area (22.6% of total irregularities), followed by West Africa (8.2%), Southeast Asia (4.7%), East Africa (4.1%), the Pacific (3.8%), and South Asia (2.3%). The generated maps show that the scintillation occurrence is low in the mid-latitude areas during the last solar cycle. In the polar regions, ionospheric irregularities occur at any time of the day. To compare ionospheric disturbances between regions, the Earth is divided into ten sectors and their irregularity coefficients are calculated accordingly. The quantification of the degrees of disturbance reveals that about 58 times more ionospheric irregularities are observed in South America than in the southern mid-latitudes (least affected region). The irregularity coefficients in order from largest to smallest are as follows: South America, 3.49; the Arctic, 1.94; West Africa, 1.77; Southeast Asia, 1.27; South Asia, 1.24; the Antarctic, 1.10; East Africa, 0.89; the Pacific, 0.32; northern mid-latitudes, 0.15; southern mid-latitudes, 0.06.</t>
  </si>
  <si>
    <t>[Nguyen, Chinh Thai; Oluwadare, Seun Temitope; Le, Nhung Thi; Alizadeh, Mahdi; Wickert, Jens; Schuh, Harald] German Res Ctr Geosci GFZ, D-14473 Potsdam, Germany; [Nguyen, Chinh Thai] Hanoi Univ Min &amp; Geol, Fac Geomat &amp; Land Adm, Dept Geodesy, Hanoi 100000, Vietnam; [Le, Nhung Thi] Hanoi Univ Nat Resources &amp; Environm, Fac Surveying Mapping &amp; Geog Informat, Hanoi 100000, Vietnam; [Alizadeh, Mahdi] KN Toosi Univ Technol, Fac Geodesy &amp; Geomat Engn, Tehran 19697, Iran; [Wickert, Jens; Schuh, Harald] Tech Univ Berlin, Inst Geodesy &amp; Geoinformat Sci, D-10623 Berlin, Germany</t>
  </si>
  <si>
    <t>Helmholtz Association; Helmholtz-Center Potsdam GFZ German Research Center for Geosciences; Hanoi University of Mining &amp; Geology; K. N. Toosi University of Technology; Technical University of Berlin</t>
  </si>
  <si>
    <t>Nguyen, CT (corresponding author), German Res Ctr Geosci GFZ, D-14473 Potsdam, Germany.;Nguyen, CT (corresponding author), Hanoi Univ Min &amp; Geol, Fac Geomat &amp; Land Adm, Dept Geodesy, Hanoi 100000, Vietnam.</t>
  </si>
  <si>
    <t>chinh@gfz-potsdam.de; oluwa@gfz-potsdam.de; nhung@gfz-potsdam.de; alizadeh@kntu.ac.ir; wickert@gfz-potsdam.de; schuh@gfz-potsdam.de</t>
  </si>
  <si>
    <t>Le, Nhung Thi/IST-5212-2023; Oluwadare, Temitope Seun/IUO-5662-2023; Alizadeh, Mahdi/AAJ-9372-2020; Schuh, Harald/L-7074-2013</t>
  </si>
  <si>
    <t>Le, Nhung Thi/0000-0003-2085-6319; Alizadeh, Mahdi/0000-0001-5721-5561; Nguyen, Thai Chinh/0000-0002-6355-8226; Schuh, Harald/0000-0001-5443-0370</t>
  </si>
  <si>
    <t>10.3390/rs14010010</t>
  </si>
  <si>
    <t>YV6SN</t>
  </si>
  <si>
    <t>WOS:000752857600001</t>
  </si>
  <si>
    <t>Jandreau, J; Chu, XZ</t>
  </si>
  <si>
    <t>Jandreau, Jackson; Chu, Xinzhao</t>
  </si>
  <si>
    <t>Comparison of Three Methodologies for Removal of Random-Noise-Induced Biases From Second-Order Statistical Parameters of Lidar and Radar Measurements</t>
  </si>
  <si>
    <t>EARTH AND SPACE SCIENCE</t>
  </si>
  <si>
    <t>STRATOSPHERIC GRAVITY-WAVES; TEMPERATURE; ATMOSPHERE; WIND</t>
  </si>
  <si>
    <t>Random-noise-induced biases are inherent issues to the accurate derivation of second-order statistical parameters (e.g., variances, fluxes, energy densities, and power spectra) from lidar and radar measurements. We demonstrate here for the first time an altitude-interleaved method for eliminating such biases, following the original proposals by Gardner and Chu (2020, https://doi.org/10.1364/ao.400375) who demonstrated a time-interleaved method. Interleaving in altitude bins provides two statistically independent samples over the same time period and nearly the same altitude range, thus enabling the replacement of variances that include the noise-induced biases with covariances that are intrinsically free of such biases. Comparing the interleaved method with previous variance subtraction (VS) and spectral proportion (SP) methods using gravity wave potential energy density calculated from Antarctic lidar data and from a forward model, this study finds the accuracy and precision of each method differing in various conditions, each with its own strengths and weakness. VS performs well in high-SNR, yet its accuracy fails at lower-SNR as it often yields negative values. SP is accurate and precise under high-SNR, remaining accurate in worse conditions than VS would, yet develops a positive bias under low-SNR. The interleaved method is accurate in all SNRs but requires a large number of samples to drive random-noise terms in covariances toward zero and to compensate for the reduced precision due to the splitting of return signals. Therefore, selecting the proper bias removal/ elimination method for actual signal and sample conditions is crucial in utilizing lidar/radar data, as neglecting this can conceal trends or overstate atmospheric variability. Plain Language Summary Second-order statistics like atmospheric wave-induced variances or fluxes of physical parameters calculated from lidar or radar data would have positive biases if detection-noiseinduced variances or fluxes were not properly eliminated. If such biases remained, not only would atmospheric variances be overestimated, implying unrealistic wave activity and growth rates, but certain phenomena could be concealed, presenting misleading pictures of the atmospheric observations. While various methods have been developed to account for this, all have limitations to their use. This study summarizes the development, theory, and application procedures for three different methods, namely conventional variance subtraction, the spectral proportion method, and the interleaved method, which can be used to correct such biases. The newest of these methods is adapted from operating on the data time-wise into an altitude-wise approach, improving its applicability. The performances of the three methods are compared by calculating the variance-based gravity wave potential energy density derived from lidar data taken at McMurdo, Antarctica. Their accuracies are assessed by using a forward model. This study aims to guide future research by providing information on how and when to apply each of these methods in order to enhance the outcomes of existing and future lidar/radar systems and datasets.</t>
  </si>
  <si>
    <t>[Jandreau, Jackson; Chu, Xinzhao] Univ Colorado, Cooperat Inst Res Environm Sci, Boulder, CO 80309 USA; [Jandreau, Jackson; Chu, Xinzhao] Univ Colorado, Dept Aerosp Engn Sci, Boulder, CO 80309 USA</t>
  </si>
  <si>
    <t>University of Colorado System; University of Colorado Boulder; University of Colorado System; University of Colorado Boulder</t>
  </si>
  <si>
    <t>Chu, XZ (corresponding author), Univ Colorado, Cooperat Inst Res Environm Sci, Boulder, CO 80309 USA.;Chu, XZ (corresponding author), Univ Colorado, Dept Aerosp Engn Sci, Boulder, CO 80309 USA.</t>
  </si>
  <si>
    <t>xinzhao.chu@colorado.edu</t>
  </si>
  <si>
    <t>; CHU, XINZHAO/I-5670-2015</t>
  </si>
  <si>
    <t>Jandreau, Jackson Robert/0000-0002-6439-3419; CHU, XINZHAO/0000-0001-6147-1963</t>
  </si>
  <si>
    <t>NSF [OPP-1246405, OPP-1443726, OPP-2110428, AGS-2029162, AGS-1452351]; NASA LWS grant [80NSSC20K0002]; Cooperative Institute for Research in Environmental Sciences (CIRES) Graduate Student Research Award; George C. and Joan A. Reid Memorial Scholarship; Aerospace Engineering Sciences Smead Scholars Program</t>
  </si>
  <si>
    <t>NSF(National Science Foundation (NSF)); NASA LWS grant; Cooperative Institute for Research in Environmental Sciences (CIRES) Graduate Student Research Award; George C. and Joan A. Reid Memorial Scholarship; Aerospace Engineering Sciences Smead Scholars Program</t>
  </si>
  <si>
    <t>We gratefully acknowledge the graduate students and research scientists who made contributions to the McMurdo lidar campaign, including winter-over lidar scientists Zhibin Yu (2011), Brendan Roberts (2012), Weichun Fong (2013), Cao Chen (2014), Jian Zhao (2015), Ian Barry (2016), Zhengyu Hua (2017), Dongming Chang (2018), Zimu Li and Ian Geraghty (2019), and Xianxin Li and Cissi Lin (2020), and summer scientists Wentao Huang, Zhangjun Wang, John A. Smith, Xian Lu, Muzhou Lu, and Clare Miller. We are grateful to Richard Dean, Nikolas Sinkola, and Adam Godfrey for their engineering help and support. We sincerely appreciate the staff of the United States Antarctic Program, McMurdo Station, Antarctica, New Zealand, and Scott Base for their superb support over the years. This work was partially supported by NSF grants OPP-1246405, OPP-1443726, OPP-2110428, AGS-2029162, and AGS-1452351. The work of X. Chu was partially supported by NASA LWS grant 80NSSC20K0002. J. Jandreau is grateful to the generous support of Cooperative Institute for Research in Environmental Sciences (CIRES) Graduate Student Research Award, George C. and Joan A. Reid Memorial Scholarship, and Aerospace Engineering Sciences Smead Scholars Program.</t>
  </si>
  <si>
    <t>2333-5084</t>
  </si>
  <si>
    <t>EARTH SPACE SCI</t>
  </si>
  <si>
    <t>Earth Space Sci.</t>
  </si>
  <si>
    <t>e2021EA002073</t>
  </si>
  <si>
    <t>10.1029/2021EA002073</t>
  </si>
  <si>
    <t>YT3BA</t>
  </si>
  <si>
    <t>WOS:000751237800014</t>
  </si>
  <si>
    <t>Castro-Morales, K; Canning, A; Körtzinger, A; Göckede, M; Küsel, K; Overholt, WA; Wichard, T; Redlich, S; Arzberger, S; Kolle, O; Zimov, N</t>
  </si>
  <si>
    <t>Castro-Morales, K.; Canning, A.; Koertzinger, A.; Goeckede, M.; Kuesel, K.; Overholt, W. A.; Wichard, T.; Redlich, S.; Arzberger, S.; Kolle, O.; Zimov, N.</t>
  </si>
  <si>
    <t>Effects of Reversal of Water Flow in an Arctic Floodplain River on Fluvial Emissions of CO2 and CH4</t>
  </si>
  <si>
    <t>JOURNAL OF GEOPHYSICAL RESEARCH-BIOGEOSCIENCES</t>
  </si>
  <si>
    <t>carbon dioxide; methane; Arctic rivers; permafrost; riverine carbon; streamflow</t>
  </si>
  <si>
    <t>DISSOLVED ORGANIC-MATTER; CARBON-DIOXIDE; HYDROLOGIC CONNECTIVITY; PERMAFROST CARBON; CLIMATE-CHANGE; GAS-EXCHANGE; WIND-SPEED; METHANE; LAND; STREAMS</t>
  </si>
  <si>
    <t>When organic matter from thawed permafrost is released, the sources and sinks of greenhouse gases (GHGs), like carbon dioxide (CO2) and methane (CH4) in Arctic rivers will be influenced in the future. However, the temporal variation, environmental controls, and magnitude of the Arctic riverine GHGs are largely unknown. We measured in situ high temporal resolution concentrations of CO2, CH4, and oxygen (O-2) in the Ambolikha River in northeast Siberia between late June and early August 2019. During this period, the largely supersaturated riverine CO2 and CH4 concentrations decreased steadily by 90% and 78%, respectively, while the O-2 concentrations increased by 22% and were driven by the decreasing water temperature. Estimated gas fluxes indicate that during late June 2019, significant emissions of CO2 and CH4 were sustained, possibly by external terrestrial sources during flooding, or due to lateral exchange with gas-rich downstream-flowing water. In July and early August, the river reversed its flow constantly and limited the water exchange at the site. The composition of dissolved organic matter and microbial communities analyzed in discrete samples also revealed a temporal shift. Furthermore, the cumulative total riverine CO2 emissions (36.8 gC-CO2 m(-2)) were nearly five times lower than the CO2 uptake at the adjacent floodplain. Emissions of riverine CH4 (0.21 gC-CH4 m(-2)) were 16 times lower than the floodplain CH4 emissions. Our study revealed that the hydraulic connectivity with the land in the late freshet, and reversing flow directions in Arctic streams in summer, regulate riverine carbon replenishment and emissions.</t>
  </si>
  <si>
    <t>[Castro-Morales, K.; Kuesel, K.; Overholt, W. A.; Arzberger, S.] Friedrich Schiller Univ Jena, Inst Biodivers, Jena, Germany; [Canning, A.; Koertzinger, A.] GEOMAR Helmholtz Ctr Ocean Res Kiel, Kiel, Germany; [Koertzinger, A.] Christian Albrecht Univ Kiel, Kiel, Germany; [Goeckede, M.; Kolle, O.] Max Planck Inst Biogeochem, Jena, Germany; [Kuesel, K.] German Ctr Integrat Biodivers Res iDiv, Leipzig, Germany; [Wichard, T.; Redlich, S.] Friedrich Schiller Univ Jena, Inst Inorgan &amp; Analyt Chem, Jena, Germany; [Arzberger, S.] Univ Bayreuth, Bayreuth, Germany; [Zimov, N.] Northeast Sci Stn, Pleistocene Pk, Chersky, Russia</t>
  </si>
  <si>
    <t>Friedrich Schiller University of Jena; Helmholtz Association; GEOMAR Helmholtz Center for Ocean Research Kiel; University of Kiel; Max Planck Society; Friedrich Schiller University of Jena; University of Bayreuth</t>
  </si>
  <si>
    <t>Castro-Morales, K (corresponding author), Friedrich Schiller Univ Jena, Inst Biodivers, Jena, Germany.</t>
  </si>
  <si>
    <t>karel.castro.morales@uni-jena.de</t>
  </si>
  <si>
    <t>Zimov, Nikita/JCO-9342-2023; Overholt, Will/X-2461-2019; Körtzinger, Arne/A-4141-2014; Goeckede, Mathias/C-1027-2017; Wichard, Thomas/C-2794-2009</t>
  </si>
  <si>
    <t>Zimov, Nikita/0000-0003-1577-1521; Overholt, Will/0000-0002-2897-6991; Caning, Anna/0000-0003-0864-7813; Goeckede, Mathias/0000-0003-2833-8401; Castro-Morales, Karel/0000-0003-1245-3982; Kusel, Kirsten/0000-0002-5396-0975; Wichard, Thomas/0000-0003-0061-4160</t>
  </si>
  <si>
    <t>Deutsche Forschungsgemeinschaft (DFG, German Research Foundation) [396657413]; C-CASCADES ITN of the EU [643052]; MOSES program of the Helmholtz Association; European Commission [727890, 773421]; German Ministry of Education and Research [03F0764D]; Collaborative Research Centre 1076 AquaDiva (CRC AquaDiva) - DFG [218627073]; DFG [424256657]; Projekt DEAL</t>
  </si>
  <si>
    <t>Deutsche Forschungsgemeinschaft (DFG, German Research Foundation)(German Research Foundation (DFG)); C-CASCADES ITN of the EU; MOSES program of the Helmholtz Association; European Commission(European Union (EU)European Commission Joint Research Centre); German Ministry of Education and Research(Federal Ministry of Education &amp; Research (BMBF)); Collaborative Research Centre 1076 AquaDiva (CRC AquaDiva) - DFG; DFG(German Research Foundation (DFG)); Projekt DEAL</t>
  </si>
  <si>
    <t>This work was conceived and developed within the project PROPERAQUA funded by the Deutsche Forschungsgemeinschaft (DFG, German Research Foundation) with number 396657413. The contributions from AC and AK were funded by the C-CASCADES ITN of the EU (project number 643052), and the MOSES program of the Helmholtz Association. MG and OK were supported through funding by the European Commission (INTAROS project, No. 727890 and Nunataryuk project, No. 773421), and the German Ministry of Education and Research (KoPf project, Grant No. 03F0764D). KK and WAO were supported by the Collaborative Research Centre 1076 AquaDiva (CRC AquaDiva) funded by DFG (project No. ID 218627073). TW and SR were funded by the DFG in the framework of the priority program (SPP 1158) Antarctic Research with comparative investigations in Arctic ice areas (project No. 424256657). The authors thank the personnel of the Northeast Scientific Station and Pleistocene Park in Chersky for their valuable assistance during the field work, as well as Dr. Robert Lehmann for the analysis of DOC samples at the FSU. Many thanks to two anonymous reviewers for their helpful comments and critical reading throughout the revision of this work. Open access funding was enabled and organized by Projekt DEAL.</t>
  </si>
  <si>
    <t>2169-8953</t>
  </si>
  <si>
    <t>2169-8961</t>
  </si>
  <si>
    <t>J GEOPHYS RES-BIOGEO</t>
  </si>
  <si>
    <t>J. Geophys. Res.-Biogeosci.</t>
  </si>
  <si>
    <t>e2021JG006485</t>
  </si>
  <si>
    <t>10.1029/2021JG006485</t>
  </si>
  <si>
    <t>YU2PJ</t>
  </si>
  <si>
    <t>WOS:000751889000005</t>
  </si>
  <si>
    <t>Schlegel, R; Murray, T; Smith, AM; Brisbourne, AM; Booth, AD; King, EC; Clark, RA</t>
  </si>
  <si>
    <t>Schlegel, Rebecca; Murray, Tavi; Smith, Andrew M.; Brisbourne, Alex M.; Booth, Adam D.; King, Edward C.; Clark, Roger A.</t>
  </si>
  <si>
    <t>Radar Derived Subglacial Properties and Landforms Beneath Rutford Ice Stream, West Antarctica</t>
  </si>
  <si>
    <t>ice stream; bed properties; radar reflectivity; West Antarctica</t>
  </si>
  <si>
    <t>SCALE GLACIAL LINEATIONS; GROUND-PENETRATING RADAR; BASAL CONDITIONS BENEATH; THWAITES GLACIER; REFLECTIVITY BENEATH; SIPLE DOME; VELOCITY; FLOW; ATTENUATION; BEDFORMS</t>
  </si>
  <si>
    <t>Basal properties beneath ice streams and glaciers are known to be a control for ice flow dynamics, hence knowledge of them is crucial for predicting sea level due to changes in glacial dynamics. Basal properties, processes and topography also drive the formation of subglacial landforms. Bed properties beneath Rutford Ice Stream (West Antarctica) have previously been described using seismic acoustic impedance measurements at a sparse spatial coverage. Here, we derive bed properties in a 15 x 17 km grid of surface radar data with coverage and sampling much higher than previous seismic studies. Bed reflection amplitudes in surface radar data were calibrated using sediment porosities (ranging from 0.4-0.5) derived from seismic acoustic impedance. We find the bed properties are spatially variable, consisting of low porosity material in some areas and soft sediment in other areas. Comparison of seismic and surface radar data imply the low porosity material to be a consolidated sediment or sedimentary rock. Mega-scale glacial lineations (MSGLs) are ubiquitous on the bed and consist of soft, high porosity, probably deforming sediment, consistent with previous interpretations of MSGLs. We find some MSGLs have high reflectivity on their crest, interpreted as water bodies overlying high porosity sediment, whereas the trough around and the upstream end of some landforms consist of low porosity material. Integrating these different observations, we place constraints on possible explanations for the occurrence of water on the crest of landforms.</t>
  </si>
  <si>
    <t>[Schlegel, Rebecca; Murray, Tavi] Swansea Univ, Glaciol Grp, Dept Geog, Swansea, W Glam, Wales; [Smith, Andrew M.; Brisbourne, Alex M.; King, Edward C.] British Antarctic Survey, Nat Environm Res Council, Cambridge, England; [Booth, Adam D.; Clark, Roger A.] Univ Leeds, Inst Appl Geosci, Sch Earth &amp; Environm, Leeds, W Yorkshire, England</t>
  </si>
  <si>
    <t>Swansea University; UK Research &amp; Innovation (UKRI); Natural Environment Research Council (NERC); NERC British Antarctic Survey; University of Leeds</t>
  </si>
  <si>
    <t>Schlegel, R (corresponding author), Swansea Univ, Glaciol Grp, Dept Geog, Swansea, W Glam, Wales.</t>
  </si>
  <si>
    <t>967901@swansea.ac.uk</t>
  </si>
  <si>
    <t>; Brisbourne, Alex/E-6198-2013</t>
  </si>
  <si>
    <t>Schlegel, Rebecca/0000-0003-1149-2816; Brisbourne, Alex/0000-0002-9887-7120; SMITH, ANDREW/0000-0001-8577-482X; Murray, Tavi/0000-0001-6714-6512</t>
  </si>
  <si>
    <t>Natural Environment Research Council (NERC) PhD Studentship through Swansea University [NE/G013187/1]; NERC AFI [NE/G013187/1, NE/G014159/1]; NERC [NE/G014159/1, NE/G013187/1] Funding Source: UKRI</t>
  </si>
  <si>
    <t>Natural Environment Research Council (NERC) PhD Studentship through Swansea University(UK Research &amp; Innovation (UKRI)Natural Environment Research Council (NERC)); NERC AFI(UK Research &amp; Innovation (UKRI)Natural Environment Research Council (NERC)); NERC(UK Research &amp; Innovation (UKRI)Natural Environment Research Council (NERC))</t>
  </si>
  <si>
    <t>R. Schlegel was funded by a Natural Environment Research Council (NERC) PhD Studentship through Swansea University (Project Studentship grant NE/G013187/1). This work was funded by NERC AFI award numbers NE/G014159/1 and NE/G013187/1. We thank BAS Operations and N. Gillett for fieldwork support. We also thank T. Jordan as well as C. Clark and his working group for the discussion on this work. Finally, we thank the scientific editor Olga Sergienko, and three reviewers, Reinhard Drews and two anonymous reviewers, who helped to improve this paper considerably.</t>
  </si>
  <si>
    <t>e2021JF006349</t>
  </si>
  <si>
    <t>10.1029/2021JF006349</t>
  </si>
  <si>
    <t>YT8ZJ</t>
  </si>
  <si>
    <t>WOS:000751642600010</t>
  </si>
  <si>
    <t>Inall, ME; Brearley, JA; Henley, SF; Fraser, AD; Reed, S</t>
  </si>
  <si>
    <t>Inall, Mark E.; Brearley, J. Alexander; Henley, Sian F.; Fraser, Alexander D.; Reed, Sarah</t>
  </si>
  <si>
    <t>Landfast Ice Controls on Turbulence in Antarctic Coastal Seas</t>
  </si>
  <si>
    <t>landfast ice; turbulence; wind; tides; mixing; nutrients</t>
  </si>
  <si>
    <t>MARGUERITE BAY; TIDAL ENERGY; OCEAN; DISSIPATION; PENINSULA; VARIABILITY; SHELF; WIND; PARAMETERIZATION; FLUXES</t>
  </si>
  <si>
    <t>Knowledge of the ocean surface layer beneath Antarctic landfast ice is sparse. In this article surface layer turbulent and fine structure are quantified with and without landfast ice at the same West Antarctic Peninsula location. Landfast ice reduced turbulence levels locally to an order of magnitude less than ice-free values, and near-inertial energy and sub-inertial tidal energy levels to less than half their ice-free values. Vertical turbulent heat and nutrient fluxes were, respectively, 6 and 10 times greater than previously estimated. Under-ice tidal energy dissipation over the entire Antarctic continental shelf due to seasonal landfast ice cover is estimated to be between 788 MW to similar to 6 GW. The total rate of wind-generated turbulence in the surface ocean is greatly reduced by the presence of seasonal landfast ice to an average of 14% of the ice-free value, but with large sectoral variations. Counter-intuitively, however, tides and wind contribute approximately equally to the turbulent kinetic energy budget of the upper ocean between the Antarctic coastline and the maximal landfast ice extent, with large sectoral variations, attributed to geographic variations in the strength of the barotropic tide.</t>
  </si>
  <si>
    <t>[Inall, Mark E.; Reed, Sarah] Scottish Assoc Marine Sci, Oban, Argyll, Scotland; [Inall, Mark E.; Henley, Sian F.] Univ Edinburgh, Sch GeoSci, Edinburgh, Midlothian, Scotland; [Brearley, J. Alexander] British Antarctic Survey, Cambridge, England; [Fraser, Alexander D.] Univ Tasmania, Inst Marine &amp; Antarctic Studies, Australian Antarctic Program Partnership, Hobart, Tas, Australia</t>
  </si>
  <si>
    <t>UHI Millennium Institute; University of Edinburgh; UK Research &amp; Innovation (UKRI); Natural Environment Research Council (NERC); NERC British Antarctic Survey; University of Tasmania</t>
  </si>
  <si>
    <t>Inall, ME (corresponding author), Scottish Assoc Marine Sci, Oban, Argyll, Scotland.;Inall, ME (corresponding author), Univ Edinburgh, Sch GeoSci, Edinburgh, Midlothian, Scotland.</t>
  </si>
  <si>
    <t>mark.inall@sams.ac.uk</t>
  </si>
  <si>
    <t>Fraser, Alexander/AFO-7186-2022; Brearley, Alexander/C-3313-2012; /I-4835-2014</t>
  </si>
  <si>
    <t>Fraser, Alexander/0000-0003-1924-0015; Henley, Sian Frances/0000-0003-1221-1983; Brearley, Alexander/0000-0003-3700-8017; /0000-0002-1624-4275</t>
  </si>
  <si>
    <t>UKRI-NERC [NE/L011166/1, NE/K010034/1]; Australian Government [6]</t>
  </si>
  <si>
    <t>UKRI-NERC(UK Research &amp; Innovation (UKRI)Natural Environment Research Council (NERC)); Australian Government(Australian Government)</t>
  </si>
  <si>
    <t>M. E. Inall was supported by UKRI-NERC through BAS Collaborative Grant Scheme during sabbatical supported by SAMS/UHI. J. A. Brearley was funded by UKRI-NERC through Independent Research Fellowship NE/L011166/1. S. F. Henley was funded by UKRI-NERC through Independent Research Fellowship NE/K010034/1. A. D. Fraser received grant funding from the Australian Government as part of the Antarctic Science Collaboration Initiative program, Project 6 of the Australian Antarctic Program Partnership.</t>
  </si>
  <si>
    <t>e2021JC017963</t>
  </si>
  <si>
    <t>10.1029/2021JC017963</t>
  </si>
  <si>
    <t>YU2OD</t>
  </si>
  <si>
    <t>WOS:000751885800024</t>
  </si>
  <si>
    <t>Reyes-Macaya, D; Hoogakker, B; Martínez-Méndez, G; Llanillo, PJ; Grasse, P; Mohtadi, M; Mix, A; Leng, MJ; Struck, U; McCorkle, DC; Troncoso, M; Gayo, EM; Lange, CB; Farias, L; Carhuapoma, W; Graco, M; Cornejo-D'Ottone, M; Holz, RD; Fernandez, C; Narvaez, D; Vargas, CA; Garcia-Araya, F; Hebbeln, D</t>
  </si>
  <si>
    <t>Reyes-Macaya, Dharma; Hoogakker, Babette; Martinez-Mendez, Gema; Llanillo, Pedro J.; Grasse, Patricia; Mohtadi, Mahyar; Mix, Alan; Leng, Melanie J.; Struck, Ulrich; McCorkle, Daniel C.; Troncoso, Macarena; Gayo, Eugenia M.; Lange, Carina B.; Farias, Laura; Carhuapoma, Wilson; Graco, Michelle; Cornejo-D'Ottone, Marcela; De Pol Holz, Ricardo; Fernandez, Camila; Narvaez, Diego; Vargas, Cristian A.; Garcia-Araya, Francisco; Hebbeln, Dierk</t>
  </si>
  <si>
    <t>Isotopic Characterization of Water Masses in the Southeast Pacific Region: Paleoceanographic Implications</t>
  </si>
  <si>
    <t>oxygen and deuterium stable isotopes in seawater; carbon stable isotopes in dissolved inorganic carbon; Southeast Pacific; water mass distribution; paleoceanography proxies</t>
  </si>
  <si>
    <t>HUMBOLDT CURRENT SYSTEM; OPTIMUM MULTIPARAMETER ANALYSIS; ANAEROBIC AMMONIUM OXIDATION; EASTERN TROPICAL PACIFIC; NORTHERN CHILE; INTERANNUAL VARIABILITY; PLANKTONIC-FORAMINIFERA; BIOLOGICAL PRODUCTIVITY; INTERMEDIATE WATERS; OCEAN CIRCULATION</t>
  </si>
  <si>
    <t>In this study, we used stable isotopes of oxygen (delta O-18), deuterium (delta D), and dissolved inorganic carbon (delta C-13(DIC)) in combination with temperature, salinity, oxygen, and nutrient concentrations to characterize the coastal (71 degrees-78 degrees W) and an oceanic (82 degrees-98 degrees W) water masses (SAAW-Subantarctic Surface Water; STW-Subtropical Water; ESSW-Equatorial Subsurface water; AAIW-Antarctic Intermediate Water; PDW-Pacific Deep Water) of the Southeast Pacific (SEP). The results show that delta O-18 and delta D can be used to differentiate between SAAW-STW, SAAW-ESSW, and ESSW-AAIW. delta C-13(DIC) signatures can be used to differentiate between STW-ESSW (oceanic section), SAAW-ESSW, ESSW-AAIW, and AAIW-PDW. Compared with the oceanic section, our new coastal section highlights differences in both the chemistry and geometry of water masses above 1,000 m. Previous paleoceanographic studies using marine sediments from the SEP continental margin used the present-day hydrological oceanic transect to compare against, as the coastal section was not sufficiently characterized. We suggest that our new results of the coastal section should be used for past characterizations of the SEP water masses that are usually based on continental margin sediment samples.</t>
  </si>
  <si>
    <t>[Reyes-Macaya, Dharma; Mohtadi, Mahyar; Hebbeln, Dierk] Univ Bremen, MARUM Zentrum Marine Umweltwissensch, Bremen, Germany; [Reyes-Macaya, Dharma; Hoogakker, Babette] Heriot Watt Univ, Lyell Ctr, Edinburgh, Midlothian, Scotland; [Reyes-Macaya, Dharma; Gayo, Eugenia M.; Farias, Laura] Nucleo Milenio UPWELL, ANID Millennium Sci Initiat Program, La Serena, Chile; [Martinez-Mendez, Gema; Llanillo, Pedro J.] AWI Alfred Wegener Inst Helmholtz, Helmholtz Zentrum Polar &amp; Meeresforsch, Bremerhaven, Germany; [Grasse, Patricia] Deutsch Zentrum Integrat Biodiversitatsforsch, Halle, Germany; [Grasse, Patricia] GFOMAR Helmholtz Zentrum Ozeanforsch, Kiel, Germany; [Mix, Alan] Oregon State Univ, COAS Coll Earth Ocean &amp; Atmospher Sci, Corvallis, OR 97331 USA; [Leng, Melanie J.] British Geol Survey, Natl Environm Isotope Facil, Nottingham, England; [Leng, Melanie J.] Univ Nottingham, Sch Biosci, Loughborough, Leics, England; [Struck, Ulrich] Leibniz Inst Evolut &amp; Biodivers Sci, Museum Nat Kunde, Berlin, Germany; [Struck, Ulrich] Free Univ Berlin, Dept Earth Sci, Berlin, Germany; [McCorkle, Daniel C.] Woods Hole Oceanog Inst, Falmouth, MA USA; [Troncoso, Macarena; Gayo, Eugenia M.; Farias, Laura] Univ Chile, ANID FONDAP Ctr Ciencia Clima &amp; Resiliencia, Santiago, Chile; [Lange, Carina B.; Fernandez, Camila; Narvaez, Diego] Univ Concepcion, Ctr Invest Oceanog COPAS Sur Austral, Concepcion, Chile; [Lange, Carina B.; Farias, Laura; Fernandez, Camila; Narvaez, Diego] Univ Concepcion, Dept Oceanog, Concepcion, Chile; [Lange, Carina B.; Fernandez, Camila] Univ Austral Chile, ANID FONDAP Ctr IDEAL, Valdivia, Chile; [Lange, Carina B.] Scripps Inst Oceanog, La Jolla, CA USA; [Lange, Carina B.] Stn Zool Anton Dohrn, Naples, Italy; [Farias, Laura; Vargas, Cristian A.] Inst Milenio Socioecol Costera, ANID Millennium Sci Initiat Program, Santiago, Chile; [Carhuapoma, Wilson; Graco, Michelle] IMARPE Inst Mar Peru, Lima, Peru; [Cornejo-D'Ottone, Marcela] Pontificia Univ Catolica Valparaiso, Escuela Ciencias Mar, Valparaiso, Chile; [Cornejo-D'Ottone, Marcela; Vargas, Cristian A.] Inst Milenio Oceanog, ANID Millennium Sci Initiat Program, Concepcion, Chile; [De Pol Holz, Ricardo] Univ Magallanes, Ctr Invest GAIA Antartica, Punta Arenas, Chile; [De Pol Holz, Ricardo] Univ Magallanes, Network Extreme Environm Res, Punta Arenas, Chile; [Fernandez, Camila] UPMC Univ Paris 6, CNRS, Sorbonne Univ, Paris, France; [Fernandez, Camila] Observ Oceanol Banyuls Mer, Lab Oceanog Microbienne, Banyuls Sur Mer, France; [Vargas, Cristian A.] Univ Concepcion, Dept Sistemas Acuat, Fac Ciencias Ambientales, Concepcion, Chile; [Garcia-Araya, Francisco] Univ Concepcion, Fac Ciencias Quim, Dept Ciencias Tierra, Concepcion, Chile</t>
  </si>
  <si>
    <t>University of Bremen; Heriot Watt University; Helmholtz Association; Alfred Wegener Institute, Helmholtz Centre for Polar &amp; Marine Research; Oregon State University; UK Research &amp; Innovation (UKRI); Natural Environment Research Council (NERC); NERC British Geological Survey; University of Nottingham; Leibniz Institut fur Evolutions und Biodiversitatsforschung; Free University of Berlin; Woods Hole Oceanographic Institution; Universidad de Chile; Universidad de Concepcion; Universidad de Concepcion; Universidad Austral de Chile; University of California System; University of California San Diego; Scripps Institution of Oceanography; Stazione Zoologica Anton Dohrn di Napoli; Pontificia Universidad Catolica de Valparaiso; Universidad de Magallanes; Universidad de Magallanes; Centre National de la Recherche Scientifique (CNRS); Sorbonne Universite; Sorbonne Universite; Universidad de Concepcion; Universidad de Concepcion</t>
  </si>
  <si>
    <t>Reyes-Macaya, D (corresponding author), Univ Bremen, MARUM Zentrum Marine Umweltwissensch, Bremen, Germany.;Reyes-Macaya, D (corresponding author), Heriot Watt Univ, Lyell Ctr, Edinburgh, Midlothian, Scotland.;Reyes-Macaya, D (corresponding author), Nucleo Milenio UPWELL, ANID Millennium Sci Initiat Program, La Serena, Chile.</t>
  </si>
  <si>
    <t>dharmareyesas@gmail.com</t>
  </si>
  <si>
    <t>Grasse, Patricia/AAJ-6483-2020; Lange, Carina/AHC-2015-2022; Gayo, Eugenia M/C-4055-2012; Mohtadi, Mahyar/N-2106-2014; Llanillo, Pedro/L-5877-2015; De Pol-Holz, Ricardo/E-3740-2013; Mix, Alan/B-2366-2009</t>
  </si>
  <si>
    <t>Grasse, Patricia/0000-0002-1745-4418; Lange, Carina/0000-0002-2916-4207; Mohtadi, Mahyar/0000-0003-3306-0969; Llanillo, Pedro/0000-0002-9308-501X; Reyes Macaya, Dharma Andrea/0000-0003-3913-6004; Vargas, Cristian A./0000-0002-1486-3611; Gayo, Eugenia M./0000-0003-0746-0512; Leng, Melanie/0000-0003-1115-5166; Narvaez, Diego/0000-0001-9866-1189; Troncoso, Macarena/0000-0002-1163-6931; Hoogakker, Babette/0000-0002-8171-9679; De Pol-Holz, Ricardo/0000-0002-3281-8232; Cornejo-D'Ottone, Marcela/0000-0003-1016-4423; Carhuapoma Bernabe, Wilson Joaquin/0000-0001-8474-9710; Mix, Alan/0000-0001-7108-3534</t>
  </si>
  <si>
    <t>German Federal Ministry of Education and Research projects [03G0102A, 03G0245A, 03G0211A]; HADES-ERC Advanced Grant (Benthic diagenesis and microbiology of hadal trenches) [669947]; Deutsche Forschungsgemeinschaft [Sonderforschungsbereich 754]; Concurso Nacional de Asignacion de Tiempo de Buque ASG-61 Cabo de Hornos [AUB180003]; FONDECyT [11161091, 1180954, 1210171]; COPAS Sur-Austral Center (CONICYT PIA APOYO CCTE) [AFB170006]; FONDECYT/ANID; ANID-Chile [AUB 150006/12806]; IMARPE-Peru; ANID-Millennium Science Initiative Program [NCN19_153]; ANID/FONDAP [(CR)2 15110009]; ANID/FONDAP IDEAL [15150003]; Millennium Institute of Oceanography (IMO) [ICN12_019]; Becas Chile [17342817-0]; DAAD [57144001]; FARGO project (FAte of ocean oxygenation in a waRminG wOrld, UKRI); [PPR 137]; FLF [MR/S034293/1] Funding Source: UKRI; NERC [NE/V003917/1] Funding Source: UKRI</t>
  </si>
  <si>
    <t>German Federal Ministry of Education and Research projects; HADES-ERC Advanced Grant (Benthic diagenesis and microbiology of hadal trenches)(European Research Council (ERC)); Deutsche Forschungsgemeinschaft(German Research Foundation (DFG)); Concurso Nacional de Asignacion de Tiempo de Buque ASG-61 Cabo de Hornos; FONDECyT(Comision Nacional de Investigacion Cientifica y Tecnologica (CONICYT)CONICYT FONDECYT); COPAS Sur-Austral Center (CONICYT PIA APOYO CCTE); FONDECYT/ANID; ANID-Chile; IMARPE-Peru; ANID-Millennium Science Initiative Program; ANID/FONDAP; ANID/FONDAP IDEAL; Millennium Institute of Oceanography (IMO); Becas Chile; DAAD(Deutscher Akademischer Austausch Dienst (DAAD)); FARGO project (FAte of ocean oxygenation in a waRminG wOrld, UKRI)(UK Research &amp; Innovation (UKRI)); ; FLF; NERC(UK Research &amp; Innovation (UKRI)Natural Environment Research Council (NERC))</t>
  </si>
  <si>
    <t>We thank the crews and scientific parties of research cruises R/V Sonne (SO102, SO245, SO211, and SO261), R/V Meteor (M93), R/V Roger Revelle RR9702A (GENE03RR), BIC Jose Olaya Balandra (Crio1812), R/V Cabo de Hornos (Cimar 21, LOWPHOX 1, Expedicion TAITAO), and L/C Kay-Kay 2 (Station 18). We thank the invaluable help of Henning Kuhnert, Birgit Meyer-Schack and Wolfgang Bevern (Isotope Laboratory, MARUM), Martin Kolling (Sediment Geochemistry Laboratory, MARUM), Carol Arrowsmith (Isotope Laboratory BGS, UK), Josefa Verdugo (Biogeochemistry Laboratory, AWI), Alejandro Avila and Paola Cardenas (Paleoceanography Laboratory, UdeC), Karen Sanzana (Isotope Biogeochemistry Laboratory, UdeC), Gerardo Garcia (IMO, UdeC), Frank Wenzhofer and Timothy Ferdelman (AWI/Max-Planck-Institut fur Marine Mikrobiologie, Bremen), Sara Nicolson and Alina Wiercorek (National University of Ireland Galway), Victor Aramayo (Meiobenthos Laboratory, IMARPE), Katy Cordova (Universidad Peruana Cayetano Heredia), Consuelo Martinez-Fontaine (Paleoclimat, Universities of Paris Sud and Paris-Saclay), Osvaldo Ulloa (Marine Microbiology Laboratory and IMO, Udec) and Michelle Ferrer (Universidad de Chile). We thanks to Kris Karnauskas (editor in Chief), Edith Judd (editorial office) and the Wiley Book production team from the JGR-Ocean. As well to the three anonymous reviewers for their constructive feedback on an earlier version of this manuscript. R/V Sonne cruises (SO102, SO211 ad SO245) were financed by the German Federal Ministry of Education and Research projects #03G0102A, #03G0211A and #03G0245A. SO261 cruise was funded by the HADES-ERC Advanced Grant (Benthic diagenesis and microbiology of hadal trenches Grant agreement No. 669947) awarded to R. N. Glud (SDU, Denmark). SO245 cruise recived contributions from the Max Planck Society (Germany), the German State of Lower Saxony, the National Environmental Research Council of Great Britain and the Science Foundation of Ireland. R/V Meteor cruise M93 was financed by the Sonderforschungsbereich 754 Climate-Biogeochemistry Interactions in the Tropical Ocean (), which is supported by the Deutsche Forschungsgemeinschaft. Expedicion TAITAO was financed by the grant Concurso Nacional de Asignacion de Tiempo de Buque ASG-61 Cabo de Hornos AUB180003, FONDECyT grants 11161091 (DN), 1180954 (CF), and the COPAS Sur-Austral Center (CONICYT PIA APOYO CCTE AFB170006). Sampling at Time-Series station 18 off Concepcion during 2015 was funded by several FONDECYT/ANID grants from researchers at the Department of Oceanography and Research Line 5 of COPAS Sur-Austral (UdeC). ANID-Chile National Competition for ship time (AUB 150006/12806) financed the expedition LowpHOX organized by the Millennium Institute of Oceanography (IMO). The expedition Crio1218 was financed by the PPR 137 titled Proyecto de Estudio Integrado del Afloramiento Costero Frente a Peru and sponsored by IMARPE-Peru. Additional funding was provided by the ANID-Millennium Science Initiative Program-NCN19_153 (Millennium Nucleus UPWELL), ANID/FONDAP (CR)2 15110009 (LF and EMG), FONDECYT Grant 1210171 (CAV), ANID/FONDAP IDEAL 15150003 (CBL), and the Millennium Institute of Oceanography (IMO, ICN12_019). Dharma A. Reyes-Macaya was supported by Becas Chile (17342817-0), DAAD (57144001) and FARGO project (FAte of ocean oxygenation in a waRminG wOrld, UKRI). We dedicate this article to the memory of Nelson Silva, founder of the Chilean Oceanographic program CIMAR and pioneer in the study of water masses of the SEP.</t>
  </si>
  <si>
    <t>e2021JC017525</t>
  </si>
  <si>
    <t>10.1029/2021JC017525</t>
  </si>
  <si>
    <t>Green Accepted, Green Submitted, Green Published</t>
  </si>
  <si>
    <t>WOS:000751885800009</t>
  </si>
  <si>
    <t>Liu, XY; Cheng, X; Liang, Q; Li, T; Peng, FK; Chi, ZH; He, JY</t>
  </si>
  <si>
    <t>Liu, Xuying; Cheng, Xiao; Liang, Qi; Li, Teng; Peng, Fukai; Chi, Zhaohui; He, Jiaying</t>
  </si>
  <si>
    <t>Grounding Event of Iceberg D28 and Its Interactions with Seabed Topography</t>
  </si>
  <si>
    <t>iceberg D28; iceberg draft; iceberg grounding; seabed topography; iceberg dynamics; satellite altimetry</t>
  </si>
  <si>
    <t>ANTARCTIC ICEBERGS; PLOW MARKS; ICE SHELF; MODEL; WATER; DISTURBANCE; THICKNESS; SURFACE; OCEAN</t>
  </si>
  <si>
    <t>Iceberg D28, a giant tabular iceberg that calved from Amery Ice Shelf in September 2019, grounded off Kemp Coast, East Antarctica, from August to September of 2020. The motion of the iceberg is characterized herein by time-series images captured by synthetic aperture radar (SAR) on Sentinel-1 and the moderate resolution imaging spectroradiometer (MODIS) boarded on Terra from 6 August to 15 September 2020. The thickness of iceberg D28 was estimated by utilizing data from altimeters on Cryosat-2, Sentinel-3, and ICESat-2. By using the iceberg draft and grounding point locations inferred from its motion, the maximum water depths at grounding points were determined, varying from 221.72 +/- 21.77 m to 269.42 +/- 25.66 m. The largest disagreements in seabed elevation inferred from the grounded iceberg and terrain models from the Bedmap2 and BedMachine datasets were over 570 m and 350 m, respectively, indicating a more complicated submarine topography in the study area than that presented by the existing seabed terrain models. Wind and sea water velocities from reanalysis products imply that the driving force from sea water is a more dominant factor than the wind in propelling iceberg D28 during its grounding, which is consistent with previous findings on iceberg dynamics.</t>
  </si>
  <si>
    <t>[Liu, Xuying] Beijing Normal Univ, Coll Global Change &amp; Earth Syst Sci, State Key Lab Remote Sensing Sci, Beijing 100875, Peoples R China; [Cheng, Xiao; Liang, Qi; Li, Teng; Peng, Fukai] Sun Yat Sen Univ, Sch Geospatial Engn &amp; Sci, Zhuhai 519082, Peoples R China; [Cheng, Xiao; Liang, Qi; Li, Teng; Peng, Fukai] Southern Marine Sci &amp; Engn Guangdong Lab Zhuhai, Zhuhai 519082, Peoples R China; [Chi, Zhaohui] Texas A&amp;M Univ, Dept Geog, College Stn, TX 77843 USA; [He, Jiaying] Tsinghua Univ, Inst Global Change Studies, Dept Earth Syst Sci, Minist Educ,Key Lab Earth Syst Modeling, Beijing 100084, Peoples R China</t>
  </si>
  <si>
    <t>Beijing Normal University; Sun Yat Sen University; Southern Marine Science &amp; Engineering Guangdong Laboratory; Southern Marine Science &amp; Engineering Guangdong Laboratory (Zhuhai); Texas A&amp;M University System; Texas A&amp;M University College Station; Tsinghua University</t>
  </si>
  <si>
    <t>Cheng, X (corresponding author), Sun Yat Sen Univ, Sch Geospatial Engn &amp; Sci, Zhuhai 519082, Peoples R China.;Cheng, X (corresponding author), Southern Marine Sci &amp; Engn Guangdong Lab Zhuhai, Zhuhai 519082, Peoples R China.</t>
  </si>
  <si>
    <t>201831490014@mail.bnu.edu.cn; chengxiao9@mail.sysu.edu.cn; liangq57@mail.sysu.edu.cn; liteng28@mail.sysu.edu.cn; pengfk@mail.sysu.edu.cn; zchi@tamu.edu; hejiaying@mail.tsinghua.edu.cn</t>
  </si>
  <si>
    <t>HE, Jiaying/ABX-7103-2022; Li, Teng/E-9284-2018; Xu-Ying, Liu/B-7004-2009; Liang, Qi/AAI-4973-2020</t>
  </si>
  <si>
    <t>He, Jiaying/0000-0002-6394-5218; Li, Teng/0000-0002-5620-3662; Chi, Zhaohui/0000-0002-4842-9573; Cheng, Xiao/0000-0001-6910-6565</t>
  </si>
  <si>
    <t>National Natural Science Foundation of China [41925027, 41830536]; Innovation Group Project of Southern Marine Science and Engineering Guangdong Laboratory (Zhuhai) [311021008]</t>
  </si>
  <si>
    <t>National Natural Science Foundation of China(National Natural Science Foundation of China (NSFC)); Innovation Group Project of Southern Marine Science and Engineering Guangdong Laboratory (Zhuhai)</t>
  </si>
  <si>
    <t>This research was funded by National Natural Science Foundation of China (Grant No. 41925027, 41830536), and Innovation Group Project of Southern Marine Science and Engineering Guangdong Laboratory (Zhuhai) (No. 311021008).</t>
  </si>
  <si>
    <t>10.3390/rs14010154</t>
  </si>
  <si>
    <t>YU7SP</t>
  </si>
  <si>
    <t>WOS:000752238700001</t>
  </si>
  <si>
    <t>Tagliaro, G; Fulthorpe, CS; Watkins, DK; De Vleeschouwer, D; Brumsack, H; Bogus, K; Lavier, LL</t>
  </si>
  <si>
    <t>Tagliaro, Gabriel; Fulthorpe, Craig S.; Watkins, David K.; De Vleeschouwer, David; Brumsack, Hans; Bogus, Kara; Lavier, Luc L.</t>
  </si>
  <si>
    <t>Late Miocene-Pliocene Vigorous Deep-Sea Circulation in the Southeast Indian Ocean: Paleoceanographic and Tectonic Implications</t>
  </si>
  <si>
    <t>Paleoceanography; Australian-Antarctic Basin; Late Miocene; Pliocene; Deep currents; IODP</t>
  </si>
  <si>
    <t>ANTARCTIC ICE-SHEET; BOTTOM-WATER; CONTOURITE FEATURES; SEDIMENT CORES; DRAKE PASSAGE; WILKES LAND; GRAIN-SIZE; EAST; MIDDLE; EVOLUTION</t>
  </si>
  <si>
    <t>Deep ocean circulation in the Southern Hemisphere plays a central role in global ocean overturning circulation and determines ocean carbon sink variability on multimillion-year timescales. For this reason, it is important to understand how deep currents that originate in the Southern Ocean responded to past climate fluctuations and changing temperature patterns in the Southern Hemisphere oceans. To investigate this feedback mechanism, we analyze deep-sea sediment cores formed under the influence of bottom currents from the Mentelle Basin (International Ocean Discovery Program Sites U1513, U1514, and U1516), in the Southeastern Indian Ocean. We show that bottom current activity intensified in the Australian-Antarctic Basin during the cooling intervals of the late Miocene (ca. 7.8-4.8 Ma) and late Pliocene (ca. 3.59-3.2 Ma). At those intervals, bulk grain-sizes and terrigenous input increased, via current winnowing. Ferromanganese nodules and stratigraphic hiatuses are also observed within these periods, indicative of intense sediment erosion at the seafloor. Sediment accumulation and preservation in the basin was particularly low at the deep Site U1514 (3,838 m water depth), suggesting that enhanced current transport and sediment erosion occurred preferentially within the deepest parts of the basin. We suggest that bottom water fluxes in the Australian-Antarctic Basin intensified during late Miocene and Pliocene cooling intervals, likely boosted by renewed Australian-Antarctic Discordance spreading since the Miocene.</t>
  </si>
  <si>
    <t>[Tagliaro, Gabriel; Fulthorpe, Craig S.; Lavier, Luc L.] Univ Texas Austin, Inst Geophys, Jackson Sch Geosci, Austin, TX 78712 USA; [Tagliaro, Gabriel] Univ Sao Paulo, Oceanog Inst, Sao Paulo, Brazil; [Watkins, David K.] Univ Nebraska, Dept Earth &amp; Atmospher Sci, Lincoln, NE USA; [De Vleeschouwer, David] Univ Bremen, MARUM Ctr Marine Environm Sci, Bremen, Germany; [De Vleeschouwer, David] Univ Munster, Inst Geol &amp; Paleontol, Munster, Germany; [Brumsack, Hans] Carl von Ossietzky Univ Oldenburg, Inst Chem &amp; Biol Marine Environm ICBM, Oldenburg, Germany; [Bogus, Kara] Univ Exeter, Camborne Sch Mines, Penryn, England</t>
  </si>
  <si>
    <t>University of Texas System; University of Texas Austin; Universidade de Sao Paulo; University of Nebraska System; University of Nebraska Lincoln; University of Bremen; University of Munster; Carl von Ossietzky Universitat Oldenburg; University of Exeter</t>
  </si>
  <si>
    <t>Tagliaro, G (corresponding author), Univ Texas Austin, Inst Geophys, Jackson Sch Geosci, Austin, TX 78712 USA.;Tagliaro, G (corresponding author), Univ Sao Paulo, Oceanog Inst, Sao Paulo, Brazil.</t>
  </si>
  <si>
    <t>gabrieltagliaro@usp.br</t>
  </si>
  <si>
    <t>Fulthorpe, Craig/AEV-6014-2022; De Vleeschouwer, David/ABA-6115-2020; Lavier, Luc L./G-6141-2010; Brumsack, Hans-Juergen/O-7942-2016</t>
  </si>
  <si>
    <t>De Vleeschouwer, David/0000-0002-3323-807X; Bogus, Kara/0000-0003-4690-0576; Brumsack, Hans-Juergen/0000-0002-5549-5018; Tagliaro, Gabriel/0000-0002-9309-758X; Lavier, Luc/0000-0001-7839-4263</t>
  </si>
  <si>
    <t>Brazilian National Council for Scientific and Technological Development (CNPq) [205786/2014-6]; German Research Foundation (SPP IODP/ICDP)</t>
  </si>
  <si>
    <t>Brazilian National Council for Scientific and Technological Development (CNPq)(Conselho Nacional de Desenvolvimento Cientifico e Tecnologico (CNPQ)); German Research Foundation (SPP IODP/ICDP)(German Research Foundation (DFG))</t>
  </si>
  <si>
    <t>This research used samples and/or data provided by the International Ocean Discovery Program (IODP). We thank all IODP Expedition 369 scientific participants and crew for making this study possible. The project was funded by the Brazilian National Council for Scientific and Technological Development (CNPq) grant number 205786/2014-6 and through USSSP support associated with participation by G. Tagliaro and D. Watkins to IODP Expedition 369. Funding to H. Brumsack was provided by the German Research Foundation (SPP IODP/ICDP). H. Brumsack would like to thank E. Grundken and C. Lehners for the lab work.</t>
  </si>
  <si>
    <t>e2021PA004303</t>
  </si>
  <si>
    <t>10.1029/2021PA004303</t>
  </si>
  <si>
    <t>YT3DB</t>
  </si>
  <si>
    <t>WOS:000751243200003</t>
  </si>
  <si>
    <t>Haines, C; Owens, MJ; Barnard, L; Lockwood, M; Beggan, CD; Thomson, AWP; Rogers, NC</t>
  </si>
  <si>
    <t>Haines, C.; Owens, M. J.; Barnard, L.; Lockwood, M.; Beggan, C. D.; Thomson, A. W. P.; Rogers, N. C.</t>
  </si>
  <si>
    <t>Toward GIC Forecasting: Statistical Downscaling of the Geomagnetic Field to Improve Geoelectric Field Forecasts</t>
  </si>
  <si>
    <t>GICs; downscaling; forecasting</t>
  </si>
  <si>
    <t>SPACE WEATHER; INDUCED CURRENTS; MODEL; SIMULATION; SCIENCE; IMPACT</t>
  </si>
  <si>
    <t>Geomagnetically induced currents (GICs) are an impact of space weather that can occur during periods of enhanced geomagnetic activity. GICs can enter into electrical power grids through earthed conductors, potentially causing network collapse through voltage instability or damaging transformers. It would be beneficial for power grid operators to have a forecast of GICs that could inform decision making on mitigating action. Long lead-time GIC forecasting requires magnetospheric models as drivers of geoelectric field models. However, estimation of the geoelectric field is sensitive to high-frequency geomagnetic field variations, which operational global magneto-hydrodynamic models do not fully capture. Furthermore, an assessment of GIC forecast uncertainty would require a large ensemble of magnetospheric runs, which is computationally expensive. One solution that is widely used in climate science is downscaling, wherein sub-grid variations are added to model outputs on a statistical basis. We present proof-of-concept results for a method that temporally downscales low-resolution magnetic field data on a 1-hr timescale to 1-min resolution, with the hope of improving subsequent geoelectric field magnitude estimates. An analog ensemble (AnEn) approach is used to select similar hourly averages in a historical data set, from which we separate the high-resolution perturbations to add to the hourly average values. We find that AnEn outperforms the benchmark linear-interpolation approach in its ability to accurately drive an impacts model, suggesting GIC forecasting would be improved. We evaluated the ability of AnEn to predict extreme events using the FSS, HSS, cost/loss analysis and BSS, finding that AnEn outperforms the do-nothing approach.</t>
  </si>
  <si>
    <t>[Haines, C.; Owens, M. J.; Barnard, L.; Lockwood, M.] Univ Reading, Dept Meteorol, Reading, Berks, England; [Beggan, C. D.; Thomson, A. W. P.] British Geol Survey, Edinburgh, Midlothian, Scotland; [Rogers, N. C.] Univ Lancaster, Dept Phys, Lancaster, England</t>
  </si>
  <si>
    <t>University of Reading; UK Research &amp; Innovation (UKRI); Natural Environment Research Council (NERC); NERC British Geological Survey; Lancaster University</t>
  </si>
  <si>
    <t>Haines, C (corresponding author), Univ Reading, Dept Meteorol, Reading, Berks, England.</t>
  </si>
  <si>
    <t>carl.haines@pgr.reading.ac.uk</t>
  </si>
  <si>
    <t>Owens, Mathew J/B-3006-2010; Lockwood, Mike/G-1030-2011; Barnard, Luke/L-2930-2015</t>
  </si>
  <si>
    <t>Lockwood, Mike/0000-0002-7397-2172; Barnard, Luke/0000-0001-9876-4612; Owens, Mathew/0000-0003-2061-2453; Beggan, Ciaran/0000-0002-2298-0578; Haines, Carl/0000-0002-9010-0720; Rogers, Neil/0000-0002-8423-6306</t>
  </si>
  <si>
    <t>National Environmental Research Council (NERC) [NE/L002566/1, NE/P016928/1]; NERC [NE/L002566/1]; UKRI; NERC [NE/P016928/1] Funding Source: UKRI</t>
  </si>
  <si>
    <t>National Environmental Research Council (NERC)(UK Research &amp; Innovation (UKRI)Natural Environment Research Council (NERC)); NERC(UK Research &amp; Innovation (UKRI)Natural Environment Research Council (NERC)); UKRI(UK Research &amp; Innovation (UKRI)); NERC(UK Research &amp; Innovation (UKRI)Natural Environment Research Council (NERC))</t>
  </si>
  <si>
    <t>The authors thank the National Environmental Research Council (NERC) for funding this work under grants NE/L002566/1 and NE/P016928/1. C. Haines is a UKRI funded PhD student with NERC under grant number NE/L002566/1. For the ground magnetometer data the authors gratefully acknowledge: INTERMAGNET, Alan Thomson; CARISMA, PI Ian Mann; CANMOS, Geomagnetism Unit of the Geological Survey of Canada; The S-RAMP Database, PI K. Yumoto, and Dr. K. Shiokawa; The SPIDR database; AARI, PI Oleg Troshichev; The MACCS program, PI M. Engebretson; GIMA; MEASURE, UCLA IGPP and Florida Institute of Technology; SAMBA, PI Eftyhia Zesta; 210 Chain, PI K. Yumoto; SAMNET, PI Farideh Honary; IMAGE, PI Liisa Juusola; Finnish Meteorological Institute, PI Liisa Juusola; Sodankyla Geophysical Observatory, PI Tero Raita; UiT the Arctic University of Norway, Tromso Geophysical Observatory, PI Magnar G. Johnsen; GFZ German Research Centre For Geosciences, PI Jurgen Matzka; Institute of Geophysics, Polish Academy of Sciences, PI Anne Neska and Jan Reda; Polar Geophysical Institute, PI Alexander Yahnin and Yarolav Sakharov; Geological Survey of Sweden, PI Gerhard Schwarz; Swedish Institute of Space Physics, PI Masatoshi Yamauchi; AUTUMN, PI Martin Connors; DTU Space, Thom Edwards and PI Anna Willer; South Pole and McMurdo Magnetometer, PI's Louis J. Lanzarotti and Alan T. Weatherwax; ICESTAR; RAPIDMAG; British Antarctic Survey; McMac, PI Dr. Peter Chi; BGS, PI Dr. Susan Macmillan; Pushkov Institute of Terrestrial Magnetism, Ionosphere and Radio Wave Propagation (IZMIRAN); MFGI, PI B. Heilig; Institute of Geophysics, Polish Academy of Sciences, PI Anne Neska and Jan Reda; University of L'Aquila, PI M. Vellante; BCMT, V. Lesur and A. Chambodut; Data obtained in cooperation with Geoscience Australia, PI Andrew Lewis; AALPIP, co-PIs Bob Clauer and Michael Hartinger; MagStar, PI Jennifer Gannon; SuperMAG, PI Jesper W. Gjerloev; Data obtained in cooperation with the Australian Bureau of Meteorology, PI Richard Marshall. The SuperMAG data are available at https://supermag.jhuapl.edu/.</t>
  </si>
  <si>
    <t>e2021SW002903</t>
  </si>
  <si>
    <t>10.1029/2021SW002903</t>
  </si>
  <si>
    <t>YT4DL</t>
  </si>
  <si>
    <t>WOS:000751312200005</t>
  </si>
  <si>
    <t>Nazik, A; Büyükmeriç, Y; Kiliç, AM; Yümün, ZÜ</t>
  </si>
  <si>
    <t>Nazik, Atike; Buyukmeric, Yesim; Kilic, Ali Murat; Yumun, Zeki Unal</t>
  </si>
  <si>
    <t>Recent Marine Ostracods (Crustacea) around Hovgaard and Horseshoe Islands (Antarctica Peninsula)</t>
  </si>
  <si>
    <t>TURKIYE JEOLOJI BULTENI-GEOLOGICAL BULLETIN OF TURKEY</t>
  </si>
  <si>
    <t>Turkish</t>
  </si>
  <si>
    <t>Antarctica; Ostracod; Recent; zoogeography</t>
  </si>
  <si>
    <t>On the route of the II Turkish Antarctic Expedition (TAE-II) in the NW of the continent of Antarctica, twelve grab sediment samples were been collected from seven different locations at depths of -20 and -60 m between King George and Horseshoe islands in NW Antarctica. The collected samples consist of greenish gray silty clay and fine sandy silt, as well as brownish gray sandy silty clay units containing fine gravel grains. In the Hovgaard and Horseshoe islands, six genera and six species of ostracods were identified: Copytus caligula Skogsberg, Austrotrachyleberis antarctica (Neale), Australicy there devexa (Muller), Cativella bensoni Neale, Cytheropteron acuticaudatum Hartmann and Loxoreticulatum fallax (Maller). The species are cryophilic endemic ostracods. When the fossil and current findings are compared, Austrotrachyleberis antarctica, which has been known since the Oligocene, migrated from Antarctica to South America and Cativella bensoni migrated from South America to Antarctica.</t>
  </si>
  <si>
    <t>[Nazik, Atike] Cukurova Univ, Muhendislik Fak, Jeol Muhendisligi Bolumu, Adana, Turkey; [Buyukmeric, Yesim] Zonguldak Bulent Ecevit Univ, Muhendislik Fak, Jeol Muhendisligi Bolumu, Incivez, Zonguldak, Turkey; [Kilic, Ali Murat] Balikesir Univ, Muhendislik Fak, Jeol Muhendisligi Bolumu, Balikesir, Turkey; [Yumun, Zeki Unal] Tekirdag Namik Kemal Univ, Muhendislik Fak, Cevre Muhendisligi Bolumu, Suleymanpasa, Tekirdag, Turkey</t>
  </si>
  <si>
    <t>Cukurova University; Bulent Ecevit University; Balikesir University; Namik Kemal University</t>
  </si>
  <si>
    <t>Nazik, A (corresponding author), Cukurova Univ, Muhendislik Fak, Jeol Muhendisligi Bolumu, Adana, Turkey.</t>
  </si>
  <si>
    <t>anazik@cu.edu.tr</t>
  </si>
  <si>
    <t>Nazik, Atike/F-3541-2018</t>
  </si>
  <si>
    <t>TMMOB JEOLOJI MUHENDISLERI ODASI</t>
  </si>
  <si>
    <t>P.K. 464 - YENISEHIR, ANKARA, TURKEY</t>
  </si>
  <si>
    <t>1016-9164</t>
  </si>
  <si>
    <t>TURK JEOL BULT</t>
  </si>
  <si>
    <t>Turk. Jeol. Bult.</t>
  </si>
  <si>
    <t>10.25288/tjb.1002087</t>
  </si>
  <si>
    <t>YR1CL</t>
  </si>
  <si>
    <t>WOS:000749736700003</t>
  </si>
  <si>
    <t>Feng, YB; Li, D; Zhao, J; Han, ZB; Pan, JM; Fan, GJ; Zhang, HS; Hu, J; Zhang, HF; Wu, JQ; Zhu, QH</t>
  </si>
  <si>
    <t>Feng, Yubin; Li, Dong; Zhao, Jun; Han, Zhengbing; Pan, Jianming; Fan, Gaojing; Zhang, Haisheng; Hu, Ji; Zhang, Haifeng; Wu, Jiaqi; Zhu, Qiuhong</t>
  </si>
  <si>
    <t>Environmental drivers of phytoplankton crops and taxonomic composition in northeastern Antarctic Peninsula adjacent sea area</t>
  </si>
  <si>
    <t>ACTA OCEANOLOGICA SINICA</t>
  </si>
  <si>
    <t>Antarctic Peninsula; phytoplankton crops; phytoplankton taxonomic composition; pigment; light intensity; mixed layer depth</t>
  </si>
  <si>
    <t>SOUTHERN-OCEAN; LATE SUMMER; INTERANNUAL VARIABILITY; MARINE-PHYTOPLANKTON; PRIMARY PRODUCTIVITY; COMMUNITY STRUCTURE; BRANSFIELD STRAIT; CLIMATE-CHANGE; DEEP WATERS; ICE-ZONE</t>
  </si>
  <si>
    <t>The ecosystem of the sea region adjacent to the Antarctic Peninsula is undergoing remarkable physical and biological changes, in the context of global warming. However, understanding of the dynamics of phytoplankton taxonomic composition in this marginal ice zone remains unclear. In this study, seawater samples collected from 36 stations in the northeastern Antarctic Peninsula were analyzed for nutrients and phytoplankton pigments. Combining with CHEMTAX analysis, remote sensing data, and physicochemical measurements, we investigated the relationships between phytoplankton crops, taxonomic composition, and marine environmental drivers. Integrated chlorophyll a (Chl a) concentrations (200 m) varied from 8.9 mg/m(2) to 64.2 mg/m(2), with an average of (23.2 +/- 12.0) mg/m(2) and higher phytoplankton biomass concentrated in the coastal region of South Orkney Island and South Shetland Island. Diatoms were the dominant functional group (63%+/- 21%). Higher proportions of diatoms were associated with higher Chl a (r=0.40, p&lt;0.01), stable water columns (r=0.20, p&lt;0.01), higher Si/P ratios (r=0.34, p&lt;0.01), higher photosynthetically active radiation intensity (r=0.64, p&lt;0.01), and higher sea ice melt water contributions (MWC, r=0.20, p&lt;0.01). Conversely, Phaeocystis antarctica contributed a smaller overall proportion (31%+/- 18%) and was more concentrated in the offshore water masses (e.g., Philip Ridge and South Scotia Ridge) with lower light levels (r=-0.58, p&lt;0.01), deeper mixed layer depths (r=0.17, p&lt;0.05), higher nutrient concentrations (e.g., N, P, and Si, r&gt;0.35, p&lt;0.01), and lower MWC (r=-0.20, p&lt;0.01). In comparison, the total contribution from green flagellates (4%+/- 5%), cryptophyta (1%+/- 3%), dinoflagellates (1%+/- 4%), and cyanobacteria (1% +/- 5%) was only 6%. In offshore regions with well-mixed water, less varied taxonomic composition and lower crops with a higher proportion of nanophytoplankton were observed. In contrast, significantly decreasing crops below the mixed layer depth was observed in water columns with strong stratification, where the dominant phytoplankter changed from diatoms to P. antarctica. These findings have important implications for better understanding the future dynamics of marine ecosystems in the sea area adjacent to the Antarctic Peninsula.</t>
  </si>
  <si>
    <t>[Feng, Yubin; Li, Dong; Zhao, Jun; Han, Zhengbing; Pan, Jianming; Fan, Gaojing; Zhang, Haisheng; Hu, Ji; Zhang, Haifeng; Wu, Jiaqi; Zhu, Qiuhong] Minist Nat Resources, Key Lab Marine Ecosyst Dynam, Inst Oceanog 2, Hangzhou 310012, Peoples R China</t>
  </si>
  <si>
    <t>Ministry of Natural Resources of the People's Republic of China</t>
  </si>
  <si>
    <t>Li, D (corresponding author), Minist Nat Resources, Key Lab Marine Ecosyst Dynam, Inst Oceanog 2, Hangzhou 310012, Peoples R China.</t>
  </si>
  <si>
    <t>lidong@sio.org.cn</t>
  </si>
  <si>
    <t>program of Impact and Response of Antarctic Seas to Climate Change [IRASCC2020-2022 (01-01-02), IRASCC2020-2022 (02-02)]; National Natural Science Foundation of China [41976228, 41976227, 41506223]; Scientific Research Fund of the Second Institute of Oceanography [JG1805, JG2011, JG2013]</t>
  </si>
  <si>
    <t>program of Impact and Response of Antarctic Seas to Climate Change; National Natural Science Foundation of China(National Natural Science Foundation of China (NSFC)); Scientific Research Fund of the Second Institute of Oceanography</t>
  </si>
  <si>
    <t>The program of Impact and Response of Antarctic Seas to Climate Change under contract No. IRASCC2020-2022 (01-01-02 and 02-02); the National Natural Science Foundation of China under contract Nos 41976228, 41976227 and 41506223; the Scientific Research Fund of the Second Institute of Oceanography under contract Nos JG1805, JG2011 and JG2013.</t>
  </si>
  <si>
    <t>0253-505X</t>
  </si>
  <si>
    <t>1869-1099</t>
  </si>
  <si>
    <t>ACTA OCEANOL SIN</t>
  </si>
  <si>
    <t>Acta Oceanol. Sin.</t>
  </si>
  <si>
    <t>10.1007/s13131-021-1865-4</t>
  </si>
  <si>
    <t>YK8DX</t>
  </si>
  <si>
    <t>WOS:000745437900010</t>
  </si>
  <si>
    <t>Blázquez-Sánchez, P; Engelberger, F; Cifuentes-Anticevic, J; Sonnendecker, C; Griñén, A; Reyes, J; Díez, B; Guixé, V; Richter, PK; Zimmermann, W; Ramírez-Sarmiento, CA</t>
  </si>
  <si>
    <t>Blazquez-Sanchez, Paula; Engelberger, Felipe; Cifuentes-Anticevic, Jeronimo; Sonnendecker, Christian; Grinen, Aransa; Reyes, Javiera; Diez, Beatriz; Guixe, Victoria; Richter, P. Konstantin; Zimmermann, Wolfgang; Ramirez-Sarmiento, Cesar A.</t>
  </si>
  <si>
    <t>Antarctic Polyester Hydrolases Degrade Aliphatic and Aromatic Polyesters at Moderate Temperatures</t>
  </si>
  <si>
    <t>Polyethylene terephthalate (PET); polyester hydrolases; plastic biodegradation; Oleispira antarctica; Moraxella sp.; Antarctica; psychrophilic enzymes</t>
  </si>
  <si>
    <t>MOLECULAR-DYNAMICS; HYDROLYSIS; ENZYMES; BIODEGRADATION; PREDICTION; SAKAIENSIS; BACTERIUM; ROSETTA3; SOFTWARE; PROTEINS</t>
  </si>
  <si>
    <t>Polyethylene terephthalate (PET) is one of the most widely used synthetic plastics in the packaging industry, and consequently has become one of the main components of plastic waste found in the environment. However, several microorganisms have been described to encode enzymes that catalyze the depolymerization of PET. While most known PET hydrolases are thermophilic and require reaction temperatures between 60 degrees C and 70 degrees C for an efficient hydrolysis of PET, a partial hydrolysis of amorphous PET at lower temperatures by the polyester hydrolase IsPETase from the mesophilic bacterium Ideonella sakaiensis has also been reported. We show that polyester hydrolases from the Antarctic bacteria Moraxella sp. strain TA144 (Mors1) and Oleispira antarctica RB-8 (OaCut) were able to hydrolyze the aliphatic polyester polycaprolactone as well as the aromatic polyester PET at a reaction temperature of 25 degrees C. Mors1 caused a weight loss of amorphous PET films and thus constitutes a PET-degrading psychrophilic enzyme. Comparative modeling of Mors1 showed that the amino acid composition of its active site resembled both thermophilic and mesophilic PET hydrolases. Lastly, bioinformatic analysis of Antarctic metagenomic samples demonstrated that members of the Moraxellaceae family carry candidate genes coding for further potential psychrophilic PET hydrolases. IMPORTANCE A myriad of consumer products contains polyethylene terephthalate (PET), a plastic that has accumulated as waste in the environment due to its long-term stability and poor waste management. One promising solution is the enzymatic biodegradation of PET, with most known enzymes only catalyzing this process at high temperatures. Here, we bioinformatically identified and biochemically characterized an enzyme from an Antarctic organism that degrades PET at 25 degrees C with similar efficiency to the few PET-degrading enzymes active at moderate temperatures. Reasoning that Antarctica harbors other PET-degrading enzymes, we analyzed available data from Antarctic metagenomic samples and successfully identified other potential enzymes. Our findings contribute to increasing the repertoire of known PET-degrading enzymes that are currently being considered as biocatalysts for the biological recycling of plastic waste.</t>
  </si>
  <si>
    <t>[Blazquez-Sanchez, Paula; Engelberger, Felipe; Grinen, Aransa; Reyes, Javiera; Ramirez-Sarmiento, Cesar A.] Pontificia Univ Catolica Chile, Sch Engn Med &amp; Biol Sci, Inst Biol &amp; Med Engn, Santiago, Chile; [Blazquez-Sanchez, Paula; Engelberger, Felipe; Grinen, Aransa; Reyes, Javiera; Ramirez-Sarmiento, Cesar A.] Millennium Inst Integrat Biol iBio, ANID Millennium Sci Initiat Program, Santiago, Chile; [Cifuentes-Anticevic, Jeronimo; Diez, Beatriz] Pontificia Univ Catolica Chile, Sch Biol Sci, Dept Mol Genet &amp; Microbiol, Santiago, Chile; [Sonnendecker, Christian; Zimmermann, Wolfgang] Univ Leipzig, Inst Analyt Chem, Leipzig, Germany; [Diez, Beatriz] Ctr Climate &amp; Resilience Res CR2, Santiago, Chile; [Diez, Beatriz] FONDAP Ctr Genome Regulat CGR, Santiago, Chile; [Guixe, Victoria] Univ Chile, Fac Ciencias, Dept Biol, Santiago, Chile; [Richter, P. Konstantin] Univ Leipzig, Inst Bioanalyt Chem, Ctr Biotechnol &amp; Biomed, Leipzig, Germany</t>
  </si>
  <si>
    <t>Pontificia Universidad Catolica de Chile; Pontificia Universidad Catolica de Chile; Leipzig University; Universidad de Chile; Leipzig University</t>
  </si>
  <si>
    <t>Ramírez-Sarmiento, CA (corresponding author), Pontificia Univ Catolica Chile, Sch Engn Med &amp; Biol Sci, Inst Biol &amp; Med Engn, Santiago, Chile.;Ramírez-Sarmiento, CA (corresponding author), Millennium Inst Integrat Biol iBio, ANID Millennium Sci Initiat Program, Santiago, Chile.;Zimmermann, W (corresponding author), Univ Leipzig, Inst Analyt Chem, Leipzig, Germany.</t>
  </si>
  <si>
    <t>wolfgangzimmermann@uni-leipzig.de; cesar.ramirez@uc.cl</t>
  </si>
  <si>
    <t>Cifuentes-Anticevic, Jerónimo/AAT-5458-2021; Zimmermann, Wolfgang/AAI-4904-2021; Díez, Beatriz/AAG-2244-2021</t>
  </si>
  <si>
    <t>Cifuentes-Anticevic, Jerónimo/0000-0002-8099-4994; Zimmermann, Wolfgang/0000-0002-5730-6663; Díez, Beatriz/0000-0002-9371-8083; Blazquez-Sanchez, Paula/0000-0003-3232-909X; Sonnendecker, Christian/0000-0001-7904-7343</t>
  </si>
  <si>
    <t>Instituto Antartico Chileno [RG_47_16, DG_11_18]; National Agency for Research and Development (ANID) from Chile; Sao Paulo State Foundation for Research (FAPESP) from Brazil (ANID-FAPESP) [PCI 2019/13259-9]; ANID-Millennium Science Initiative Program [ICN17_022]; ANID [21191979, 21191684]; Biotechnology and Biological Sciences Research Council [BB/T011289/1]; DPI [DPI20140044-ANID]; supercomputing infrastructure of the NLHPC [ECM-02]; BBSRC [BB/T011289/1] Funding Source: UKRI</t>
  </si>
  <si>
    <t>Instituto Antartico Chileno; National Agency for Research and Development (ANID) from Chile; Sao Paulo State Foundation for Research (FAPESP) from Brazil (ANID-FAPESP); ANID-Millennium Science Initiative Program; ANID; Biotechnology and Biological Sciences Research Council(UK Research &amp; Innovation (UKRI)Biotechnology and Biological Sciences Research Council (BBSRC)); DPI; supercomputing infrastructure of the NLHPC; BBSRC(UK Research &amp; Innovation (UKRI)Biotechnology and Biological Sciences Research Council (BBSRC))</t>
  </si>
  <si>
    <t>This research was funded by Instituto Antartico Chileno (INACH Regular Grant RG_47_16 to C.A.R.-S. and Doctoral Thesis Support Grant DG_11_18 to P.B.S.), the National Agency for Research and Development (ANID) from Chile and the Sao Paulo State Foundation for Research (FAPESP) from Brazil (ANID-FAPESP PCI 2019/13259-9), and the ANID-Millennium Science Initiative Program-ICN17_022. P.B.-S. and J.R. were funded by ANID Doctoral Scholarships (21191979 and 21191684, respectively). C.S. was funded by the Biotechnology and Biological Sciences Research Council (BB/T011289/1). B.D. was funded by DPI, grant number DPI20140044-ANID. Powered@NLHPC: This research was partially supported by the supercomputing infrastructure of the NLHPC (ECM-02).</t>
  </si>
  <si>
    <t>e01842-21</t>
  </si>
  <si>
    <t>10.1128/AEM.01842-21</t>
  </si>
  <si>
    <t>YP6HH</t>
  </si>
  <si>
    <t>WOS:000748722200027</t>
  </si>
  <si>
    <t>Andrade, C; Rivera, C; Daza, E; Almonacid, E; Ovando, F; Morello, F; Pardo, LM</t>
  </si>
  <si>
    <t>Andrade, Claudia; Rivera, Cristobal; Daza, Erik; Almonacid, Eduardo; Ovando, Fernanda; Morello, Flavia; Pardo, Luis Miguel</t>
  </si>
  <si>
    <t>Trophic Niche Dynamics and Diet Partitioning of King Crab Lithodes santolla in Chile's Sub-Antarctic Water</t>
  </si>
  <si>
    <t>DIVERSITY-BASEL</t>
  </si>
  <si>
    <t>Crustacea; trophic ecology; Macrocystis pyrifera; isotopic niche; stable isotopes; stomach content; fisheries; omnivory</t>
  </si>
  <si>
    <t>STABLE-ISOTOPE RATIOS; FOOD-WEB; BEAGLE CHANNEL; CAPE-HORN; INTRASPECIFIC COMPETITION; MACROCYSTIS-PYRIFERA; CALLINECTES-SAPIDUS; BENTHIC COMMUNITIES; ANOMURA LITHODIDAE; FEEDING-HABITS</t>
  </si>
  <si>
    <t>The southern king crab Lithodes santolla is one of the most economically important fishery species in the southern waters of the Atlantic and Pacific Oceans. A combination of stomach content and stable isotope analyses was used to reveal the potential dietary characteristics, isotopic niche, overlap among maturity stages and sexes, and trophic relationships of an L. santolla population in the Nassau Bay, Cape Horn region. Stable isotope analyses indicated that L. santolla assimilated energy from a basal carbon source, the giant kelp Macrocystis pyrifera, forming the trophic baseline of the benthic food web. Moreover, the trophic position of L. santolla varied among late juveniles and adults, suggesting that the southern king crab does undergo an ontogenetic diet shift. L. santolla exhibited intraspecific isotopic niche variation, reflecting niche differentiation which allows the species to partition resources. The trophic relationships of L. santolla with the associated fauna suggested some potential interactions for food resources/habitat use when they are limited. This study is the first attempt to characterize the trophic dynamics of the southern king crab in the Cape Horn area and, by generating more data, contributes to the conservation of the king crab population and the long-term management of local fisheries that rely on this resource.</t>
  </si>
  <si>
    <t>[Andrade, Claudia; Rivera, Cristobal; Ovando, Fernanda] Univ Magallanes, Inst Patagonia, Lab Ecol Func, Punta Arenas 6210427, Chile; [Daza, Erik; Almonacid, Eduardo] Inst Fomento Pesquero, Punta Arenas 6210549, Chile; [Morello, Flavia] Univ Magallanes, Inst Patagonia, Ctr Estudios Hombre Austral, Punta Arenas 6210427, Chile; [Pardo, Luis Miguel] Univ Austral Chile, Fac Ciencias, Inst Ciencias Marinas &amp; Limnol, Lab Costero Calfuco, Valdivia 5090000, Chile; [Pardo, Luis Miguel] Ctr Invest Dinam Ecosistemas Marinos Altas Latitu, Valdivia 5090000, Chile; [Pardo, Luis Miguel] Ctr Invest Ecosistemas Patagonia CIEP, Coyhaique 5951601, Chile</t>
  </si>
  <si>
    <t>Universidad de Magallanes; Instituto de Fomento Pesquero (Valparaiso); Universidad de Magallanes; Universidad Austral de Chile</t>
  </si>
  <si>
    <t>Andrade, C (corresponding author), Univ Magallanes, Inst Patagonia, Lab Ecol Func, Punta Arenas 6210427, Chile.</t>
  </si>
  <si>
    <t>Claudia.andrade@umag.cl; cnre88@gmail.com; erik.daza@ifop.cl; eduardo.almonacid@ifop.cl; Fernanda.ovando@gmail.com; flavia.morello@umag.cl; luispardo@uach.cl</t>
  </si>
  <si>
    <t>Andrade, Claudia/AAN-4228-2020; Pardo, L M/A-3178-2008</t>
  </si>
  <si>
    <t>Andrade, Claudia/0000-0003-0804-6348; Morello, Flavia/0000-0001-6379-7342; Pardo, Luis Miguel/0000-0002-8179-5057</t>
  </si>
  <si>
    <t>Instituto de Fomento Pesquero, IFOP; [1190984]</t>
  </si>
  <si>
    <t>Instituto de Fomento Pesquero, IFOP;</t>
  </si>
  <si>
    <t>This research was funded by the Instituto de Fomento Pesquero, IFOP Project Programa de Seguimiento de las Principales Pesquerias Nacionales, Ano 2017. Pesquerias de Crustaceos Bentonicos.</t>
  </si>
  <si>
    <t>1424-2818</t>
  </si>
  <si>
    <t>Diversity-Basel</t>
  </si>
  <si>
    <t>10.3390/d14010056</t>
  </si>
  <si>
    <t>YR3QO</t>
  </si>
  <si>
    <t>WOS:000749909200001</t>
  </si>
  <si>
    <t>Tonboe, RT; Nandan, V; Makynen, M; Pedersen, LT; Kern, S; Lavergne, T; Oelund, J; Dybkjaer, G; Saldo, R; Huntemann, M</t>
  </si>
  <si>
    <t>Tonboe, Rasmus T.; Nandan, Vishnu; Makynen, Marko; Pedersen, Leif Toudal; Kern, Stefan; Lavergne, Thomas; Oelund, Johanne; Dybkjaer, Gorm; Saldo, Roberto; Huntemann, Marcus</t>
  </si>
  <si>
    <t>Simulated Geophysical Noise in Sea Ice Concentration Estimates of Open Water and Snow-Covered Sea Ice</t>
  </si>
  <si>
    <t>Microwave radiometry; sea ice concentration; sea ice emission modeling</t>
  </si>
  <si>
    <t>OCEAN OBSERVATION OPERATOR; 6.9 GHZ ARC3O; BRIGHTNESS TEMPERATURES; MICROWAVE EMISSION; MODEL; WEATHER; ALGORITHMS; RETRIEVAL</t>
  </si>
  <si>
    <t>Sea ice concentration algorithms using brightness temperatures (T-B) from satellite microwave radiometers are used to compute sea ice concentration (c(ice)), sea ice extent, and generate sea ice climate data records. Therefore, it is important to minimize the sensitivity of c(ice) estimates to geophysical noise caused by snow/sea ice thermal microwave emission signature variations, and presence of WV and clouds in the atmosphere and/or near-surface winds. In this study, we investigate the effect of geophysical noise leading to systematic c(ice) biases and affecting c(ice) standard deviations (STD) using simulated top of the atmosphere T(B)s over open water and 100% sea ice. We consider three case studies for the Arctic and the Antarctic and eight different c(ice) algorithms, representing different families of algorithms based on the selection of channels and methodologies. Our simulations show that, over open water and low c(ice), algorithms using gradients between V-polarized 19-GHz and 37-GHz T(B)s show the lowest sensitivity to the geophysical noise, while the algorithms exclusively using near-90-GHz channels have by far the highest sensitivity. Over sea ice, the atmosphere plays a much smaller role than over open water, and the c(ice) STD for all algorithms is smaller than over open water. The hybrid and low-frequency (6 GHz) algorithms have the lowest sensitivity to noise over sea ice, while the polarization type of algorithms has the highest noise levels.</t>
  </si>
  <si>
    <t>[Tonboe, Rasmus T.; Pedersen, Leif Toudal; Saldo, Roberto] Tech Univ Denmark, DK-2800 Lyngby, Denmark; [Nandan, Vishnu] Univ Manitoba, Winnipeg, MB R3T 2N2, Canada; [Makynen, Marko] Finnish Meteorol Inst, FI-00101 Helsinki, Finland; [Kern, Stefan] Univ Hamburg, D-20144 Hamburg, Germany; [Lavergne, Thomas] Norwegian Meteorol Inst, N-0313 Oslo, Norway; [Oelund, Johanne; Dybkjaer, Gorm] Danish Meteorol Inst, DK-2100 Copenhagen, Denmark; [Huntemann, Marcus] Univ Bremen, D-28359 Bremen, Germany</t>
  </si>
  <si>
    <t>Technical University of Denmark; University of Manitoba; Finnish Meteorological Institute; University of Hamburg; Norwegian Meteorological Institute; Danish Meteorological Institute DMI; University of Bremen</t>
  </si>
  <si>
    <t>Tonboe, RT (corresponding author), Tech Univ Denmark, DK-2800 Lyngby, Denmark.</t>
  </si>
  <si>
    <t>rtt@space.dtu.dk; vishnu.nandan@umanitoba.ca; marko.makynen@fmi.fi; ltp@space.dtu.dk; stefan.kern@uni-hamburg.de; thomas.lavergne@met.no; joe@dmi.dk; gd@dmi.dk; rs@space.dtu.dk; marcus.huntemann@uni-bremen.de</t>
  </si>
  <si>
    <t>Makynen, Marko/AAP-4772-2020; Nandan, Vishnu/IUP-4703-2023</t>
  </si>
  <si>
    <t>Makynen, Marko/0000-0003-1250-6300; Nandan, Vishnu/0000-0001-9643-6658; Pedersen, Leif Toudal/0000-0001-7913-6282; Kern, Stefan/0000-0001-7281-3746; Tonboe, Rasmus Tage/0000-0003-1463-4832; Saldo, Roberto/0000-0003-4716-438X</t>
  </si>
  <si>
    <t>European Space Agency's European Earth Watch Programme, Global Monitoring of Essential Climate Variables (GMECV) [4000126449/19/I-NB]</t>
  </si>
  <si>
    <t>European Space Agency's European Earth Watch Programme, Global Monitoring of Essential Climate Variables (GMECV)</t>
  </si>
  <si>
    <t>This work was supported by the European Space Agency's European Earth Watch Programme, Global Monitoring of Essential Climate Variables (GMECV), under contract 4000126449/19/I-NB.</t>
  </si>
  <si>
    <t>10.1109/JSTARS.2021.3134021</t>
  </si>
  <si>
    <t>YS0TA</t>
  </si>
  <si>
    <t>WOS:000750397500003</t>
  </si>
  <si>
    <t>Tollenaar, V; Zekollari, H; Lhermitte, S; Tax, DMJ; Debaille, V; Goderis, S; Claeys, P; Pattyn, F</t>
  </si>
  <si>
    <t>Tollenaar, Veronica; Zekollari, Harry; Lhermitte, Stef; Tax, David M. J.; Debaille, Vinciane; Goderis, Steven; Claeys, Philippe; Pattyn, Frank</t>
  </si>
  <si>
    <t>Unexplored Antarctic meteorite collection sites revealed through machine learning</t>
  </si>
  <si>
    <t>SCIENCE ADVANCES</t>
  </si>
  <si>
    <t>NANSEN ICE FIELD; FRONTIER MOUNTAIN; VICTORIA-LAND; SNOW; EXPEDITION; DYNAMICS; SURFACE; SEARCH; AREAS; BED</t>
  </si>
  <si>
    <t>Meteorites provide a unique view into the origin and evolution of the Solar System. Antarctica is the most productive region for recovering meteorites, where these extraterrestrial rocks concentrate at meteorite stranding zones. Todate, meteorite-bearing blue ice areas are mostly identified by serendipity and through costly reconnaissance missions. Here, we identify meteorite-rich areas by combining state-of-the-art datasets in a machine learning algorithm and provide continent-wide estimates of the probability to find meteorites at any given location. The resulting set of ca. 600 meteorite stranding zones, with an estimated accuracy of over 80%, reveals the existence of unexplored zones, some of which are located close to research stations. Our analyses suggest that less than 15% of all meteorites at the surface of the Antarctic ice sheet have been recovered to date. The data-driven approach will greatly facilitate the quest to collect the remaining meteorites in a coordinated and cost-effective manner.</t>
  </si>
  <si>
    <t>[Tollenaar, Veronica; Zekollari, Harry; Pattyn, Frank] Univ Libre Bruxelles, Lab Glaciol, Brussels, Belgium; [Zekollari, Harry; Lhermitte, Stef] Delft Univ Technol, Dept Geosci &amp; Remote Sensing, Delft, Netherlands; [Tax, David M. J.] Delft Univ Technol, Pattern Recognit Lab, Delft, Netherlands; [Debaille, Vinciane] Univ Libre Bruxelles, Lab G Time, Brussels, Belgium; [Goderis, Steven; Claeys, Philippe] Vrije Univ Brussel, Analyt Environm &amp; Geochem, Brussels, Belgium</t>
  </si>
  <si>
    <t>Universite Libre de Bruxelles; Delft University of Technology; Delft University of Technology; Universite Libre de Bruxelles; Vrije Universiteit Brussel</t>
  </si>
  <si>
    <t>Tollenaar, V (corresponding author), Univ Libre Bruxelles, Lab Glaciol, Brussels, Belgium.</t>
  </si>
  <si>
    <t>veronica.tollenaar@ulb.be</t>
  </si>
  <si>
    <t>Lhermitte, Stef (Stefaan)/A-3385-2013; Pattyn, Frank/AAA-9640-2019; Goderis, Steven/F-9908-2011; (VUB), VRIJE UNIVERSITEIT BRUSSEL/B-4895-2008</t>
  </si>
  <si>
    <t>Lhermitte, Stef (Stefaan)/0000-0002-1622-0177; Pattyn, Frank/0000-0003-4805-5636; Goderis, Steven/0000-0002-6666-7153; (VUB), VRIJE UNIVERSITEIT BRUSSEL/0000-0002-4585-7687; Zekollari, Harry/0000-0002-7443-4034; Tax, David/0000-0002-5153-9087</t>
  </si>
  <si>
    <t>Fonds de la Recherche Scientifique (FNRS); Marie Sklodowska-Curie Individual Fellowship [799904]; Belgian Federal Science Policy Office (BELSPO project); ERC StG ISoSyC; FRS-FNRS; Excellence of Science (EoS) project ET-HoME; FWO; VUB strategic program; Belgian Federal Science Policy Office (BELAM project); Belgian Federal Science Policy Office (Amundsen project); Belgian Federal Science Policy Office (BAMM! project); Marie Curie Actions (MSCA) [799904] Funding Source: Marie Curie Actions (MSCA)</t>
  </si>
  <si>
    <t>Fonds de la Recherche Scientifique (FNRS)(Fonds de la Recherche Scientifique - FNRS); Marie Sklodowska-Curie Individual Fellowship(Marie Curie Actions); Belgian Federal Science Policy Office (BELSPO project); ERC StG ISoSyC(European Research Council (ERC)); FRS-FNRS(Fonds de la Recherche Scientifique - FNRS); Excellence of Science (EoS) project ET-HoME; FWO(FWO); VUB strategic program; Belgian Federal Science Policy Office (BELAM project)(Belgian Federal Science Policy Office); Belgian Federal Science Policy Office (Amundsen project)(Belgian Federal Science Policy Office); Belgian Federal Science Policy Office (BAMM! project); Marie Curie Actions (MSCA)(Marie Curie Actions)</t>
  </si>
  <si>
    <t>V.T. is a Research Fellow of the Fonds de la Recherche Scientifique (FNRS). H.Z. was supported through a Marie Sklodowska-Curie Individual Fellowship (grant no. 799904) and a postdoctoral fellowship (charge de recherches) of the Fonds de la Recherche Scientifique (FNRS). V.D., S.G., and P.C. thank the Belgian Federal Science Policy Office (BELSPO; BELAM, Amundsen, and BAMM! projects) for supporting the Antarctic field expeditions. V.D. thanks the ERC StG ISoSyC and FRS-FNRS for funding. S.G., P.C., and V.D. were supported by the Excellence of Science (EoS) project ET-HoME. S.G. and P.C. were also supported by the FWO and the VUB strategic program.</t>
  </si>
  <si>
    <t>AMER ASSOC ADVANCEMENT SCIENCE</t>
  </si>
  <si>
    <t>1200 NEW YORK AVE, NW, WASHINGTON, DC 20005 USA</t>
  </si>
  <si>
    <t>2375-2548</t>
  </si>
  <si>
    <t>SCI ADV</t>
  </si>
  <si>
    <t>Sci. Adv.</t>
  </si>
  <si>
    <t>eabj8138</t>
  </si>
  <si>
    <t>10.1126/sciadv.abj8138</t>
  </si>
  <si>
    <t>YN5WT</t>
  </si>
  <si>
    <t>WOS:000747329300010</t>
  </si>
  <si>
    <t>Papale, M; Lo Giudice, A; Rappazzo, AC; Azzaro, M; Rizzo, C</t>
  </si>
  <si>
    <t>Papale, Maria; Lo Giudice, Angelina; Rappazzo, Alessandro Ciro; Azzaro, Maurizio; Rizzo, Carmen</t>
  </si>
  <si>
    <t>A First Glimpse on Cold-Adapted PCB-Oxidizing Bacteria in Edmonson Point Lakes (Northern Victoria Land, Antarctica)</t>
  </si>
  <si>
    <t>polychlorobiphenyls; cold-adapted bacteria; bphA gene; Antarctic coastal lakes</t>
  </si>
  <si>
    <t>PERSISTENT ORGANIC POLLUTANTS; TERRA-NOVA BAY; KING-GEORGE ISLAND; BIPHENYL-DEGRADING BACTERIA; POLYCHLORINATED-BIPHENYLS; HYDROCARBON DEGRADATION; PSEUDOMONAS-PUTIDA; ENCODING BIPHENYL; ARCTIC SOIL; ROSS SEA</t>
  </si>
  <si>
    <t>Antarctic freshwater ecosystems are especially vulnerable to human impacts. Polychlorobiphenyls (PCBs) are persistent organic pollutants that have a long lifetime in the environment. Despite their use having either been phased out or restricted, they are still found in nature, also in remote areas. Once in the environment, the fate of PCBs is strictly linked to bacteria which represent the first step in the transfer of toxic compounds to higher trophic levels. Data on PCB-oxidizing bacteria from polar areas are still scarce and fragmented. In this study, the occurrence of PCB-oxidizing cold-adapted bacteria was evaluated in water and sediment of four coastal lakes at Edmonson Point (Northern Victoria Land, Antarctica). After enrichment with biphenyl, 192 isolates were obtained with 57 of them that were able to grow in the presence of the PCB mixture Aroclor 1242, as the sole carbon source. The catabolic gene bphA, as a proxy for PCB degradation potential, was harbored by 37 isolates (out of 57), mainly affiliated to the genera Salinibacterium, Arthrobacter (among Actinobacteria) and Pusillimonas (among Betaproteobacteria). Obtained results enlarge our current knowledge on cold-adapted PCB-oxidizing bacteria and pose the basis for their potential application as a valuable eco-friendly tool for the recovery of PCB-contaminated cold sites.</t>
  </si>
  <si>
    <t>[Papale, Maria; Lo Giudice, Angelina; Rappazzo, Alessandro Ciro; Azzaro, Maurizio; Rizzo, Carmen] Natl Res Council Italy CNR ISP, Inst Polar Sci, Spianata S Raineri 86, I-98122 Messina, Italy; [Rappazzo, Alessandro Ciro] Ca Foscari Univ Venice, Campus Sci,Via Torino 155, I-30170 Venice, Italy; [Rizzo, Carmen] Natl Inst Biol, Dept BIOTECH, Stn Zool Anton Dohrn, Contrada Porticatello 29, I-98167 Messina, Italy</t>
  </si>
  <si>
    <t>Universita Ca Foscari Venezia; Stazione Zoologica Anton Dohrn di Napoli</t>
  </si>
  <si>
    <t>Lo Giudice, A (corresponding author), Natl Res Council Italy CNR ISP, Inst Polar Sci, Spianata S Raineri 86, I-98122 Messina, Italy.</t>
  </si>
  <si>
    <t>maria.papale@isp.cnr.it; angelina.logiudice@cnr.it; alessandro.rappazzo@unive.it; maurizio.azzaro@cnr.it; carmen.rizzo@szn.it</t>
  </si>
  <si>
    <t>azzaro, Maurizio/AAE-6784-2019</t>
  </si>
  <si>
    <t>azzaro, Maurizio/0000-0001-7885-2340; Rizzo, Carmen/0000-0002-4340-3833; Papale, Maria/0000-0002-6013-4436</t>
  </si>
  <si>
    <t>Programma Nazionale di Ricerche in Antartide (PNRA-MUR) [PNRA18/00194]</t>
  </si>
  <si>
    <t>Programma Nazionale di Ricerche in Antartide (PNRA-MUR)</t>
  </si>
  <si>
    <t>This research was funded by the Programma Nazionale di Ricerche in Antartide (PNRA-MUR), grant number PNRA18/00194.</t>
  </si>
  <si>
    <t>10.3390/w14010109</t>
  </si>
  <si>
    <t>YT5LD</t>
  </si>
  <si>
    <t>WOS:000751400300001</t>
  </si>
  <si>
    <t>Kim, H; Kim, G; Kim, M; Kang, D</t>
  </si>
  <si>
    <t>Kim, Hansoo; Kim, Garam; Kim, Mira; Kang, Donhyug</t>
  </si>
  <si>
    <t>Spatial Distribution of Sound Scattering Layer and Density Estimation of Euphausia pacifica in the Center of the Yellow Sea Bottom Cold Water Determined by Hydroacoustic Surveying</t>
  </si>
  <si>
    <t>diel vertical migration; sound scattering layer; spatial and regional distributions; Yellow Sea Bottom Cold Water</t>
  </si>
  <si>
    <t>DIEL VERTICAL MIGRATION; ANTARCTIC KRILL; DIFFERENCE; ABUNDANCE; SUPERBA; ISLAND; NOISE</t>
  </si>
  <si>
    <t>The Yellow Sea Bottom Cold Water (YSBCW) refers to seawater with a water temperature of 10 degrees C or less found at the bottom of the center of the Yellow Sea. The spatiotemporal variability of the YSBCW directly affects the distribution of organisms in the marine ecosystem. In this study, hydroacoustic and net surveys were conducted in April (spring) to understand the spatial distribution of the sound scattering layer (SSL) and estimate the density of Euphausia pacifica (E. pacifica) in the YSBCW. Despite the shallow water in the YSBCW region, E. pacifica formed an SSL, which was distributed near the bottom during the daytime; it showed a diel vertical migration (DVM) pattern of movement toward the surface during the nighttime. The mean upward and downward swimming speeds around sunset and sunrise were approximately 0.6 and 0.3-0.4 m/min, respectively. The E. pacifica density was estimated in the central, western, and eastern regions; the results were approximately 15.8, 1.3, and 10.3 g/m(2), respectively, indicating significant differences according to region. The results revealed high-density distributions in the central and eastern regions related to the water temperature structure, which differs regionally in the YSBCW area. Additional studies are needed regarding the spatial distribution of E. pacifica in the YSBCW and its relationship with various ocean environmental parameters according to season. The results of this study contribute to a greater understanding of the structure of the marine ecosystem in the YSBCW.</t>
  </si>
  <si>
    <t>[Kim, Hansoo; Kim, Mira; Kang, Donhyug] Korea Inst Ocean Sci &amp; Technol KIOST, Maritime Secur &amp; Safety Res Ctr, Busan 49111, South Korea; [Kim, Garam] Korea Inst Ocean Sci &amp; Technol KIOST, Marine Ecosyst Res Ctr, Busan 49111, South Korea</t>
  </si>
  <si>
    <t>Korea Institute of Ocean Science &amp; Technology (KIOST); Korea Institute of Ocean Science &amp; Technology (KIOST)</t>
  </si>
  <si>
    <t>Kang, D (corresponding author), Korea Inst Ocean Sci &amp; Technol KIOST, Maritime Secur &amp; Safety Res Ctr, Busan 49111, South Korea.</t>
  </si>
  <si>
    <t>hskim@kiost.ac.kr; garamkim@kiost.ac.kr; mrkim0825@kiost.ac.kr; dhkang@kiost.ac.kr</t>
  </si>
  <si>
    <t>Kim, Hansoo/0000-0002-0886-583X</t>
  </si>
  <si>
    <t>10.3390/jmse10010056</t>
  </si>
  <si>
    <t>YR2GM</t>
  </si>
  <si>
    <t>WOS:000749815000001</t>
  </si>
  <si>
    <t>Reynhout, SA; Kaplan, MR; Sagredo, EA; Aravena, JC; Soteres, RL; Schwartz, R; Schaefer, JM</t>
  </si>
  <si>
    <t>Reynhout, Scott A.; Kaplan, Michael R.; Sagredo, Esteban A.; Aravena, Juan Carlos; Soteres, Rodrigo L.; Schwartz, Roseanne; Schaefer, Joerg M.</t>
  </si>
  <si>
    <t>Holocene glacier history of northeastern Cordillera Darwin, southernmost South America (55°S)</t>
  </si>
  <si>
    <t>QUATERNARY RESEARCH</t>
  </si>
  <si>
    <t>glacier; Holocene; paleoclimate; westerlies; Patagonia; Tierra del Fuego; Cordillera Darwin</t>
  </si>
  <si>
    <t>TIERRA-DEL-FUEGO; NUCLIDE PRODUCTION-RATES; GRAN CAMPO NEVADO; BAHIA INUTIL; ANNULAR MODE; LAGO ARGENTINO; BEAGLE CHANNEL; CENTRAL STRAIT; ICE-AGE; PATAGONIA</t>
  </si>
  <si>
    <t>In the Cordillera Darwin, southernmost South America, we used Be-10 and C-14 dating, dendrochronology, and historical observations to reconstruct the glacial history of the Dalla Vedova valley from deglacial time to the present. After deglacial recession into northeastern Darwin and Dalla Vedova, by similar to 16 ka, evidence indicates a glacial advance at similar to 13 ka coeval with the Antarctic Cold Reversal. The next robustly dated glacial expansion occurred at 870 +/- 60 calendar yr ago (approximately AD 1150), followed by less-extensive dendrochronologically constrained advances from shortly before AD 1836 to the mid-twentieth century. Our record is consistent with most studies within the Cordillera Darwin that show that the Holocene glacial maximum occurred during the last millennium. This pattern contrasts with the extensive early- and mid-Holocene glacier expansions farther north in Patagonia; furthermore, an advance at 870 +/- 60 yr ago may suggest out-of-phase glacial advances occurred within the Cordillera Darwin relative to Patagonia. We speculate that a southward shift of westerlies and associated climate regimes toward the southernmost tip of the continent, about 900-800 yr ago, provides a mechanism by which some glaciers advanced in the Cordillera Darwin during what is generally considered a warm and dry period to the north in Patagonia.</t>
  </si>
  <si>
    <t>[Reynhout, Scott A.] Univ Chile, Fac Ciencias Fis &amp; Matemat, Dept Geol, Santiago 8370450, Chile; [Reynhout, Scott A.; Sagredo, Esteban A.; Soteres, Rodrigo L.] Univ Chile, Nucleo Milenio Paleoclima, Las Palmeras 3425, Nunoa, Chile; [Kaplan, Michael R.; Schwartz, Roseanne; Schaefer, Joerg M.] Lamont Doherty Earth Observ, Palisades, NY 10964 USA; [Sagredo, Esteban A.; Soteres, Rodrigo L.] Pontificia Univ Catolica Chile, Inst Geog, Macul 7820436, Chile; [Sagredo, Esteban A.] Pontificia Univ Catolica Chile, Estn Patagonia Invest Interdisciplinarias UC, Macul 7820436, Chile; [Aravena, Juan Carlos] Univ Magallanes, Ctr Invest Gaia Antartica, Punta Arenas 6200000, Chile; [Schaefer, Joerg M.] Columbia Univ, Dept Earth &amp; Environm Sci, New York, NY 10027 USA</t>
  </si>
  <si>
    <t>Universidad de Chile; Universidad de Chile; Columbia University; Pontificia Universidad Catolica de Chile; Pontificia Universidad Catolica de Chile; Universidad de Magallanes; Columbia University</t>
  </si>
  <si>
    <t>Sagredo, EA (corresponding author), Univ Chile, Nucleo Milenio Paleoclima, Las Palmeras 3425, Nunoa, Chile.;Sagredo, EA (corresponding author), Pontificia Univ Catolica Chile, Inst Geog, Macul 7820436, Chile.;Sagredo, EA (corresponding author), Pontificia Univ Catolica Chile, Estn Patagonia Invest Interdisciplinarias UC, Macul 7820436, Chile.</t>
  </si>
  <si>
    <t>esagredo@uc.cl</t>
  </si>
  <si>
    <t>Soteres, Rodrigo/GRJ-1904-2022; García, Rodrigo León Soteres/ABC-9649-2020; Soteres, Rodrigo/HKN-4746-2023; SAGREDO, ESTEBAN/B-7280-2016</t>
  </si>
  <si>
    <t>García, Rodrigo León Soteres/0000-0003-3647-5342; SAGREDO, ESTEBAN/0000-0002-4494-5423; , Estacion Patagonia UC/0000-0002-6443-0646</t>
  </si>
  <si>
    <t>ANID Millennium Science Initiative/Millennium Nucleus Paleoclimate [NCN17_079]; CONICYT Colaboracion Internacional [USA2130035]; CONICYT-PCHA Beca de Doctorado Nacional (year 2015); Vetlesen Foundation; FONDECYT [1180717]; [NSF-1853705]; [NSF-1853881]; [NSF-1804816]</t>
  </si>
  <si>
    <t>ANID Millennium Science Initiative/Millennium Nucleus Paleoclimate; CONICYT Colaboracion Internacional; CONICYT-PCHA Beca de Doctorado Nacional (year 2015); Vetlesen Foundation; FONDECYT(Comision Nacional de Investigacion Cientifica y Tecnologica (CONICYT)CONICYT FONDECYT); ; ;</t>
  </si>
  <si>
    <t>This project was supported by the ANID Millennium Science Initiative/Millennium Nucleus Paleoclimate NCN17_079; CONICYT Colaboracion Internacional USA2130035; and FONDECYT 1180717. SAR is a recipient of a CONICYT-PCHA Beca de Doctorado Nacional (year 2015); JMS acknowledges support by NSF-1853705 and NSF-1853881 and the Vetlesen Foundation; and MRK and JMS acknowledge support by NSF-1804816.</t>
  </si>
  <si>
    <t>0033-5894</t>
  </si>
  <si>
    <t>1096-0287</t>
  </si>
  <si>
    <t>QUATERNARY RES</t>
  </si>
  <si>
    <t>Quat. Res.</t>
  </si>
  <si>
    <t>10.1017/qua.2021.45</t>
  </si>
  <si>
    <t>YR0RN</t>
  </si>
  <si>
    <t>WOS:000749708100012</t>
  </si>
  <si>
    <t>As, MAA; Lee, SY</t>
  </si>
  <si>
    <t>As, Mohammed Abdul Athick; Lee, Shih-Yu</t>
  </si>
  <si>
    <t>A Combination of Spatial Domain Filters to Detect Surface Ocean Current from Multi-Sensor Remote Sensing Data</t>
  </si>
  <si>
    <t>spatial filters; data classification; Kuroshio detection; satellite remote sensing; oceanographic parameters; Argo drifter data</t>
  </si>
  <si>
    <t>ANTARCTIC POLAR FRONT; NORTH PACIFIC SST; EDGE-DETECTION; KUROSHIO EXTENSION; TEMPERATURE FRONTS; IN-SITU; SEASONAL VARIABILITY; SATELLITE ALTIMETRY; CONTINENTAL-SHELF; EAST CHINA</t>
  </si>
  <si>
    <t>This research investigates the applicability of combining spatial filter's algorithm to extract surface ocean current. Accordingly, the raster filters were tested on 80-13,505 daily images to detect Kuroshio Current (KC) on weekly, seasonal, and climatological scales. The selected raster filters are convolution, Laplacian, north gradient, sharpening, min/max, histogram equalization, standard deviation, and natural break. In addition, conventional data set of sea surface currents, sea surface temperature (SST), sea surface height (SSH), and non-conventional data such as total heat flux, surface density (SSD), and salinity (SSS) were employed. Moreover, controversial data on ocean color are included because very few studies revealed that chlorophyll-alpha is a proxy to SST in the summer to extract KC. Interestingly, the performance of filters is uniform and thriving for seasonal and on a climatological scale only by combining the algorithms. In contrast, the typical scenario of identifying Kuroshio signatures using an individual filter and by designating a value spectrum is inapplicable for specific seasons and data set. Furthermore, the KC's centerlines computed from SST, SSH, total heat flux, SSS, SSD, and chlorophyll-alpha correlate with sea surface currents. Deviations are observed in the various segments of Kuroshio's centerline extracted from heat flux, chlorophyll-alpha, and SSS flowing across Tokara Strait from northeast Taiwan to the south of Japan.</t>
  </si>
  <si>
    <t>[As, Mohammed Abdul Athick] Acad Sinica, Taiwan Int Grad Program TIGP, Earth Syst Sci ESS, Taipei 11529, Taiwan; [As, Mohammed Abdul Athick] Natl Cent Univ, Coll Earth Sci, Taoyuan 32001, Taiwan; [As, Mohammed Abdul Athick; Lee, Shih-Yu] Acad Sinica, Res Ctr Environm Changes, Taipei 11529, Taiwan</t>
  </si>
  <si>
    <t>Academia Sinica - Taiwan; National Central University; Academia Sinica - Taiwan</t>
  </si>
  <si>
    <t>Lee, SY (corresponding author), Acad Sinica, Res Ctr Environm Changes, Taipei 11529, Taiwan.</t>
  </si>
  <si>
    <t>as0191512@gate.sinica.edu.tw; shihyu@gate.sinica.edu.tw</t>
  </si>
  <si>
    <t>LEE, SHIH-YU/AAP-3128-2021; Athick, Mohammed Abdul/GQG-9376-2022</t>
  </si>
  <si>
    <t>LEE, SHIH-YU/0000-0001-8484-3846; Athick, Mohammed Abdul/0000-0001-6381-7251</t>
  </si>
  <si>
    <t>Academia Sinica, Taiwan under Taiwan International Graduate Program (TIGP) in Earth System Science Program (ESS); [110-2116-M-001 -006]; [110-2123-M-001-003]</t>
  </si>
  <si>
    <t>Academia Sinica, Taiwan under Taiwan International Graduate Program (TIGP) in Earth System Science Program (ESS); ;</t>
  </si>
  <si>
    <t>This research was funded by two projects: 1. Climate variability from monsoon Asia to future projection under Grant No. 110-2116-M-001 -006 and 2. Anthropogenic climate change-model development and CMIP6 participation under Grant No. 110-2123-M-001-003. A.S. Mohammed Abdul Athick is thankful to Academia Sinica, Taiwan for providing the graduate fellowship under Taiwan International Graduate Program (TIGP) in Earth System Science Program (ESS).</t>
  </si>
  <si>
    <t>10.3390/rs14020332</t>
  </si>
  <si>
    <t>YP9RZ</t>
  </si>
  <si>
    <t>WOS:000748958400001</t>
  </si>
  <si>
    <t>Xu, DR; Tang, XY; Yang, SH; Zhang, Y; Wang, LJ; Li, L; Sun, B</t>
  </si>
  <si>
    <t>Xu, Derui; Tang, Xueyuan; Yang, Shuhu; Zhang, Yun; Wang, Lijuan; Li, Lin; Sun, Bo</t>
  </si>
  <si>
    <t>Revisiting Ice Flux and Mass Balance of the Lambert Glacier-Amery Ice Shelf System Using Multi-Remote-Sensing Datasets, East Antarctica</t>
  </si>
  <si>
    <t>Lambert Glacier; remote sensing data; ice flux; mass balance; BedMachine v2; Landsat-8</t>
  </si>
  <si>
    <t>SURFACE; THICKNESS; CLIMATE; LAND; BED</t>
  </si>
  <si>
    <t>Due to rapid global warming, the relationship between the mass loss of the Antarctic ice sheet and rising sea levels are attracting widespread attention. The Lambert-Amery glacial system is the largest drainage system in East Antarctica, and its mass balance has an important influence on the stability of the Antarctic ice sheet. In this paper, the recent ice flux in the Lambert Glacier of the Lambert-Amery system was systematically analyzed based on recently updated remote sensing data. According to Landsat-8 ice velocity data from 2018 to April 2019 and the updated Bedmachine v2 ice thickness dataset in 2021, the contribution of ice flux approximately 140 km downstream from Dome A in the Lambert Glacier area to downstream from the glacier is 8.5 &amp; PLUSMN; 1.9 Gt &amp; BULL;a(-1), and the ice flux in the middle of the convergence region is 18.9 &amp; PLUSMN; 2.9 Gt &amp; BULL;a(-1). The ice mass input into the Amery ice shelf through the grounding line of the whole glacier is 19.9 &amp; PLUSMN; 1.3 Gt &amp; BULL;a(-1). The ice flux output from the mainstream area of the grounding line is 19.3 &amp; PLUSMN; 1.0 Gt &amp; BULL;a(-1). Using the annual SMB data of the regional atmospheric climate model (RACMO v2.3) as the quality input, the mass balance of the upper, middle, and lower reaches of the Lambert Glacier was analyzed. The results show that recent positive accumulation appears in the middle region of the glacier (about 74-78 &amp; DEG;S, 67-85 &amp; DEG;E) and the net accumulation of the whole glacier is 2.4 &amp; PLUSMN; 3.5 Gt &amp; BULL;a(-1). Although the mass balance of the Lambert Glacier continues to show a positive accumulation, and the positive value in the region is decreasing compared with values obtained in early 2000.</t>
  </si>
  <si>
    <t>[Xu, Derui; Yang, Shuhu; Zhang, Yun] Shanghai Ocean Univ, Coll Informat Technol, Minist Agr, Key Lab Fishery Informat, Shanghai 201306, Peoples R China; [Xu, Derui; Tang, Xueyuan; Wang, Lijuan; Li, Lin; Sun, Bo] Polar Res Inst China, MNR, Key Lab Polar Sci, Shanghai 200136, Peoples R China; [Tang, Xueyuan] Shanghai Jiao Tong Univ, Sch Oceanog, Shanghai 200030, Peoples R China; [Wang, Lijuan] Tongji Univ, Coll Surveying &amp; Geoinformat, Shanghai 200092, Peoples R China</t>
  </si>
  <si>
    <t>Shanghai Ocean University; Ministry of Agriculture &amp; Rural Affairs; Polar Research Institute of China; Shanghai Jiao Tong University; Tongji University</t>
  </si>
  <si>
    <t>Tang, XY (corresponding author), Polar Res Inst China, MNR, Key Lab Polar Sci, Shanghai 200136, Peoples R China.;Tang, XY (corresponding author), Shanghai Jiao Tong Univ, Sch Oceanog, Shanghai 200030, Peoples R China.</t>
  </si>
  <si>
    <t>m190711285@st.shou.edu.cn; tangxueyuan@pric.org.cn; shyang@shou.edu.cn; y-zhang@shou.edu.cn; lijuan_wang@tongji.edu.cn; lilin@pric.org.cn; sunbo@pric.org.cn</t>
  </si>
  <si>
    <t>wang, lijuan/AAN-4034-2021; Yang, Shuhu/ISU-8049-2023; sun, bo/JFA-9978-2023</t>
  </si>
  <si>
    <t>wang, lijuan/0000-0002-0649-3921; Tang, Xueyuan/0000-0002-6226-4891; Yang, Shuhu/0000-0001-9967-7756</t>
  </si>
  <si>
    <t>National Natural Science Foundation of China [41941006, 41876230]; National Key R&amp;D Program of China [2019YFC1509102]</t>
  </si>
  <si>
    <t>National Natural Science Foundation of China(National Natural Science Foundation of China (NSFC)); National Key R&amp;D Program of China</t>
  </si>
  <si>
    <t>This work was funded by the National Natural Science Foundation of China (41941006 and 41876230), and the National Key R&amp;D Program of China (Project No. 2019YFC1509102).</t>
  </si>
  <si>
    <t>10.3390/rs14020391</t>
  </si>
  <si>
    <t>YO4OJ</t>
  </si>
  <si>
    <t>WOS:000747920300001</t>
  </si>
  <si>
    <t>Hordyniec, P; Kuleshov, Y; Choy, S; Norman, R</t>
  </si>
  <si>
    <t>Hordyniec, Pawel; Kuleshov, Yuriy; Choy, Suelynn; Norman, Robert</t>
  </si>
  <si>
    <t>Observation of Deep Occultation Signals in Tropical Cyclones With COSMIC-2 Measurements</t>
  </si>
  <si>
    <t>Signal to noise ratio; Tropical cyclones; Meteorology; Global Positioning System; Refractive index; Satellite broadcasting; Space vehicles; Amplitude; deep signal; radio occultation (RO); tropical cyclone (TC)</t>
  </si>
  <si>
    <t>DUCTS</t>
  </si>
  <si>
    <t>Global navigation satellite system (GNSS) signals in the radio occultation (RO) technique using new measurements from constellation observing system for meteorology, ionosphere &amp; climate (COSMIC-2) mission were observed very deep below the Earth's limb. Selected occultations collocated with severe tropical cyclones showed the existence of signal-to-noise ratio (SNR) variations at or below -200 km in terms of height of straight line (HSL) connecting a pair of occulting satellites. The presence of such signals is considered as indicative of sharp inversion layers associated with planetary boundary layer. We investigate the potential application of deep occultation signals for detection of tropical cyclones often resulting in strong vertical gradients of refractivity. The most prominent deep signatures computed using 1 s running mean filter can reach 400 V/V, whereas the majority of deep signals exceed the noise level by a factor of two. The cross-satellite interference is important mechanism affecting the structure of deep signals, especially for global positioning system (GPS) occultations.</t>
  </si>
  <si>
    <t>[Hordyniec, Pawel; Kuleshov, Yuriy; Choy, Suelynn] RMIT Univ, SPACE Res Ctr, Melbourne, Vic 3000, Australia; [Hordyniec, Pawel] Wroclaw Univ Environm &amp; Life Sci, Inst Geodesy &amp; Geoinformat, PL-50375 Wroclaw, Poland; [Kuleshov, Yuriy] Bur Meteorol, Melbourne, Vic 3008, Australia; [Kuleshov, Yuriy] Univ Melbourne, Sch Math &amp; Stat, Melbourne, Vic 3010, Australia; [Norman, Robert] SERC Ltd, Mt Stromlo Observ, Weston, ACT 2611, Australia</t>
  </si>
  <si>
    <t>Melbourne Genomics Health Alliance; Royal Melbourne Institute of Technology (RMIT); Institute of Geodesy &amp; Cartography; Wroclaw University of Environmental &amp; Life Sciences; Bureau of Meteorology - Australia; Melbourne Genomics Health Alliance; Melbourne Genomics Health Alliance; University of Melbourne; Australian National University; Mount Stromlo Observatory</t>
  </si>
  <si>
    <t>Hordyniec, P (corresponding author), RMIT Univ, SPACE Res Ctr, Melbourne, Vic 3000, Australia.</t>
  </si>
  <si>
    <t>pawel.hordyniec@upwr.edu.pl; yuriy.kuleshov@bom.gov.au; suelynn.choy@rmit.edu.au; robert.norman7@gmail.com</t>
  </si>
  <si>
    <t>Hordyniec, Pawel/Q-9906-2016</t>
  </si>
  <si>
    <t>Hordyniec, Pawel/0000-0002-2404-3422; Choy, Suelynn/0000-0003-3519-1479</t>
  </si>
  <si>
    <t>Australian Antarctic Science Grant Program [4469]; Cooperative Research Centre for Space Environment Management (SERC Limited) through the Australian Government's Cooperative Research Centre Program</t>
  </si>
  <si>
    <t>Australian Antarctic Science Grant Program; Cooperative Research Centre for Space Environment Management (SERC Limited) through the Australian Government's Cooperative Research Centre Program</t>
  </si>
  <si>
    <t>This work was supported by the Australian Antarctic Science Grant Program Project 4469. Robert Norman is supported by the Cooperative Research Centre for Space Environment Management (SERC Limited) through the Australian Government's Cooperative Research Centre Program.</t>
  </si>
  <si>
    <t>10.1109/LGRS.2021.3092511</t>
  </si>
  <si>
    <t>XP3SW</t>
  </si>
  <si>
    <t>WOS:000730789400039</t>
  </si>
  <si>
    <t>Liu, TT; Wang, MJ; Wang, ZM; Feng, RY; Zhou, CX; Zhang, LP</t>
  </si>
  <si>
    <t>Liu, Tingting; Wang, Miaojiang; Wang, Zemin; Feng, Ruyi; Zhou, Chunxia; Zhang, Liangpei</t>
  </si>
  <si>
    <t>Joint Total Variation With Nonnegative Constrained Least Square for Sea Ice Concentration Estimation in Low Concentration Areas of Antarctica</t>
  </si>
  <si>
    <t>Silicon carbide; Sea ice; TV; Estimation; Antarctica; Microwave theory and techniques; Microwave integrated circuits; Antarctic; nonnegative constrained least squares (NCLS); sea ice concentration (SIC); spatial relationships; total variation (TV) regularizer</t>
  </si>
  <si>
    <t>MICROWAVE; PARAMETERS; ALGORITHM; SSM/I</t>
  </si>
  <si>
    <t>Sea ice concentration (SIC) is an indispensable parameter for the study of polar sea ice. The existing methods can obtain accurate SICs for most situations, but they usually perform poorly in low SIC regions because of the spatial differences in the neighboring pixels induced by the discontinuity of the sea ice cover. In this letter, to cope with the difficulty of this problem, an improved SIC estimation method is proposed to retrieve SIC, focusing on low SIC regions. The proposed method introduces the spatial relationships into SIC estimation by employing a total variation (TV) regularizer. Moreover, nonnegative constrained least squares (NCLS) is used to derive the optimal solutions from the SIC estimation equation. Verification was conducted in low SIC regions (0%-50%) of the Antarctic utilizing ship-based in situ data and the Moderate Resolution Imaging Spectroradiometer (MODIS), and the results were compared with those of some of the mature methods. The results indicated that the proposed method can obtain a superior accuracy with a smaller root-mean-square error (RMSE) (6.0%-14.61%) than the other algorithms in low SIC regions. Furthermore, the proposed method can accurately estimate the SIC of both first-year ice and multiyear ice. The findings of this study confirm the need to consider the spatial relationships in the processing of SIC estimation.</t>
  </si>
  <si>
    <t>[Liu, Tingting; Wang, Miaojiang; Wang, Zemin; Zhou, Chunxia] Wuhan Univ, Chinese Antarctic Ctr Surveying &amp; Mapping, Wuhan 430079, Peoples R China; [Feng, Ruyi] China Univ Geosci, Sch Comp Sci, Wuhan 430074, Peoples R China; [Zhang, Liangpei] Wuhan Univ, State Key Lab Informat Engn Surveying Mapping &amp; R, Wuhan 430079, Peoples R China</t>
  </si>
  <si>
    <t>Wuhan University; China University of Geosciences; Wuhan University</t>
  </si>
  <si>
    <t>Wang, ZM (corresponding author), Wuhan Univ, Chinese Antarctic Ctr Surveying &amp; Mapping, Wuhan 430079, Peoples R China.;Feng, RY (corresponding author), China Univ Geosci, Sch Comp Sci, Wuhan 430074, Peoples R China.</t>
  </si>
  <si>
    <t>ttliu23@whu.edu.cn; wangmj@whu.edu.cn; zmwang@whu.edu.cn; fengry@cug.edu.cn; zhoucx@whu.edu.cn; zlp62@whu.edu.cn</t>
  </si>
  <si>
    <t>National Key Research and Development Program of China [2018YFC1406102]; National Natural Science Foundation of China [41676179, 41941010]</t>
  </si>
  <si>
    <t>National Key Research and Development Program of China; National Natural Science Foundation of China(National Natural Science Foundation of China (NSFC))</t>
  </si>
  <si>
    <t>This work was supported in part by the National Key Research and Development Program of China under Grant 2018YFC1406102, and in part by the National Natural Science Foundation of China under Grant 41676179 and Grant 41941010.</t>
  </si>
  <si>
    <t>10.1109/LGRS.2021.3090395</t>
  </si>
  <si>
    <t>WOS:000730789400043</t>
  </si>
  <si>
    <t>Barone, G; Corinaldesi, C; Rastelli, E; Tangherlini, M; Varrella, S; Danovaro, R; Dell'Anno, A</t>
  </si>
  <si>
    <t>Barone, Giulio; Corinaldesi, Cinzia; Rastelli, Eugenio; Tangherlini, Michael; Varrella, Stefano; Danovaro, Roberto; Dell'Anno, Antonio</t>
  </si>
  <si>
    <t>Local Environmental Conditions Promote High Turnover Diversity of Benthic Deep-Sea Fungi in the Ross Sea (Antarctica)</t>
  </si>
  <si>
    <t>JOURNAL OF FUNGI</t>
  </si>
  <si>
    <t>deep-sea sediments; fungal diversity; trophic conditions; Antarctica; Ross Sea</t>
  </si>
  <si>
    <t>MULTIVARIATE-ANALYSIS; ORGANIC-MATTER; TROPHIC STATE; MARINE FUNGI; SEDIMENTS; COMMUNITIES; ECOLOGY; DEGRADATION; MACROALGAE; PATTERNS</t>
  </si>
  <si>
    <t>Fungi are a ubiquitous component of marine systems, but their quantitative relevance, biodiversity and ecological role in benthic deep-sea ecosystems remain largely unexplored. In this study, we investigated fungal abundance, diversity and assemblage composition in two benthic deep-sea sites of the Ross Sea (Southern Ocean, Antarctica), characterized by different environmental conditions (i.e., temperature, salinity, trophic availability). Our results indicate that fungal abundance (estimated as the number of 18S rDNA copies g(-1)) varied by almost one order of magnitude between the two benthic sites, consistently with changes in sediment characteristics and trophic availability. The highest fungal richness (in terms of Amplicon Sequence Variants-ASVs) was encountered in the sediments characterized by the highest organic matter content, indicating potential control of trophic availability on fungal diversity. The composition of fungal assemblages was highly diverse between sites and within each site (similarity less than 10%), suggesting that differences in environmental and ecological characteristics occurring even at a small spatial scale can promote high turnover diversity. Overall, this study provides new insights on the factors influencing the abundance and diversity of benthic deep-sea fungi inhabiting the Ross Sea, and also paves the way for a better understanding of the potential responses of benthic deep-sea fungi inhabiting Antarctic ecosystems in light of current and future climate changes.</t>
  </si>
  <si>
    <t>[Barone, Giulio] CNR, Inst Marine Biol Resources &amp; Biotechnol, Largo Fiera Pesca 2, I-60125 Ancona, Italy; [Barone, Giulio; Danovaro, Roberto; Dell'Anno, Antonio] Polytech Univ Marche, Dept Life &amp; Environm Sci, Via Brecce Bianche, I-60131 Ancona, Italy; [Corinaldesi, Cinzia; Varrella, Stefano] Polytech Univ Marche, Dept Mat Environm Sci &amp; Urban Planning, Via Brecce Bianche, I-60131 Ancona, Italy; [Rastelli, Eugenio] Fano Marine Ctr, Dept Marine Biotechnol, Staz Zool Anton Dohrn, Viale Adriat 1-N, I-61032 Fano, Italy; [Tangherlini, Michael] Fano Marine Ctr, Dept Res Infrastruct Marine Biol Resources, Staz Zool Anton Dohrn, Viale Adriat 1-N, I-61032 Fano, Italy; [Danovaro, Roberto] Staz Zool Anton Dohrn, Villa Comunale, I-80121 Naples, Italy</t>
  </si>
  <si>
    <t>Consiglio Nazionale delle Ricerche (CNR); Marche Polytechnic University; Marche Polytechnic University; Stazione Zoologica Anton Dohrn di Napoli; Stazione Zoologica Anton Dohrn di Napoli; Stazione Zoologica Anton Dohrn di Napoli</t>
  </si>
  <si>
    <t>Dell'Anno, A (corresponding author), Polytech Univ Marche, Dept Life &amp; Environm Sci, Via Brecce Bianche, I-60131 Ancona, Italy.</t>
  </si>
  <si>
    <t>giulio.barone@irbim.cnr.it; c.corinaldesi@staff.univpm.it; eugenio.rastelli@szn.it; michael.tangherlini@szn.it; s.varrella@univpm.it; r.danovaro@univpm.it; a.dellanno@univpm.it</t>
  </si>
  <si>
    <t>Barone, Giulio/AAY-1385-2020; Dell'Anno, Antonio AD/G-9468-2012; Varrella, Stefano/GXF-3079-2022; Roberto, Danovaro/M-9018-2014</t>
  </si>
  <si>
    <t>Barone, Giulio/0000-0002-5065-143X; Dell'Anno, Antonio AD/0000-0002-4324-7834; Varrella, Stefano/0000-0002-8582-3502; Roberto, Danovaro/0000-0002-9025-9395</t>
  </si>
  <si>
    <t>2309-608X</t>
  </si>
  <si>
    <t>J FUNGI</t>
  </si>
  <si>
    <t>J. Fungi</t>
  </si>
  <si>
    <t>10.3390/jof8010065</t>
  </si>
  <si>
    <t>Microbiology; Mycology</t>
  </si>
  <si>
    <t>YN3SP</t>
  </si>
  <si>
    <t>WOS:000747181300001</t>
  </si>
  <si>
    <t>Necula-Petrareanu, G; Lavin, P; Paun, VI; Gheorghita, GR; Vasilescu, A; Purcarea, C</t>
  </si>
  <si>
    <t>Necula-Petrareanu, Georgiana; Lavin, Paris; Paun, Victoria Ioana; Gheorghita, Giulia Roxana; Vasilescu, Alina; Purcarea, Cristina</t>
  </si>
  <si>
    <t>Highly Stable, Cold-Active Aldehyde Dehydrogenase from the Marine Antarctic Flavobacterium sp. PL002</t>
  </si>
  <si>
    <t>FERMENTATION-BASEL</t>
  </si>
  <si>
    <t>aldehyde dehydrogenase; cold-active enzyme; Flavobacterium; Antarctic bacteria; thermostable catalyst</t>
  </si>
  <si>
    <t>SP-NOV.; BIOCHEMICAL-CHARACTERIZATION; SUBSTRATE-INHIBITION; AROMATIC-ALDEHYDES; BIOSENSOR; BACTERIA; CLONING; MICROORGANISMS; IDENTIFICATION; BENZALDEHYDE</t>
  </si>
  <si>
    <t>Stable aldehyde dehydrogenases (ALDH) from extremophilic microorganisms constitute efficient catalysts in biotechnologies. In search of active ALDHs at low temperatures and of these enzymes from cold-adapted microorganisms, we cloned and characterized a novel recombinant ALDH from the psychrotrophic Flavobacterium PL002 isolated from Antarctic seawater. The recombinant enzyme (F-ALDH) from this cold-adapted strain was obtained by cloning and expressing of the PL002 aldH gene (1506 bp) in Escherichia coli BL21(DE3). Phylogeny and structural analyses showed a high amino acid sequence identity (89%) with Flavobacterium frigidimaris ALDH and conservation of all active site residues. The purified F-ALDH by affinity chromatography was homotetrameric, preserving 80% activity at 4 degrees C for 18 days. F-ALDH used both NAD(+) and NADP(+) and a broad range of aliphatic and aromatic substrates, showing cofactor-dependent compensatory K-M and k(cat) values and the highest catalytic efficiency (0.50 mu M-1 s(-1)) for isovaleraldehyde. The enzyme was active in the 4-60 degrees C-temperature interval, with an optimal pH of 9.5, and a preference for NAD(+)-dependent reactions. Arrhenius plots of both NAD(P)(+)-dependent reactions indicated conformational changes occurring at 30 degrees C, with four(five)-fold lower activation energy at high temperatures. The high thermal stability and substrate-specific catalytic efficiency of this novel cold-active ALDH favoring aliphatic catalysis provided a promising catalyst for biotechnological and biosensing applications.</t>
  </si>
  <si>
    <t>[Necula-Petrareanu, Georgiana; Paun, Victoria Ioana; Gheorghita, Giulia Roxana; Purcarea, Cristina] Inst Biol, Dept Microbiol, 296 Splaiul Independentei, Bucharest 060031, Romania; [Lavin, Paris] Univ Antofagasta, Fac Ciencias Mar &amp; Recursos Biol, Dept Biotecnol, 601 Ave Angamos, Antofagasta 1270300, Chile; [Vasilescu, Alina] Int Ctr Biodynam, 1B Intrarea Portocalelor, Bucharest 060101, Romania</t>
  </si>
  <si>
    <t>Institute of Biology Bucharest; Universidad de Antofagasta</t>
  </si>
  <si>
    <t>Purcarea, C (corresponding author), Inst Biol, Dept Microbiol, 296 Splaiul Independentei, Bucharest 060031, Romania.</t>
  </si>
  <si>
    <t>georgiana.petrareanu@ibiol.ro; paris.lavin@uantof.cl; ioana.paun@ibiol.ro; giulia.gheaorghita@unibuc.ro; avasilescu@biodyn.ro; cristina.purcarea@ibiol.ro</t>
  </si>
  <si>
    <t>Lavin, Paris/HPH-3612-2023; Purcarea, Cristina/HKO-6092-2023; Vasilescu, Alina/C-5112-2011; Necula-Petrareanu, Georgiana/B-3196-2019</t>
  </si>
  <si>
    <t>Lavin, Paris/0000-0002-8893-526X; Purcarea, Cristina/0000-0001-5784-8545; Vasilescu, Alina/0000-0002-2492-0819; Gheorghita, Giulia Roxana/0000-0003-0726-8192</t>
  </si>
  <si>
    <t>UEFISCDI [PN-III-P2-2.1-PED-2016-0116, ERANET-M-ENZ4IFACES, 166/2020]</t>
  </si>
  <si>
    <t>UEFISCDI(Consiliul National al Cercetarii Stiintifice (CNCS)Unitatea Executiva pentru Finantarea Invatamantului Superior, a Cercetarii, Dezvoltarii si Inovarii (UEFISCDI))</t>
  </si>
  <si>
    <t>FundingThis work was financially supported by the UEFISCDI projects PN-III-P2-2.1-PED-2016-0116 and ERANET-M-ENZ4IFACES ctr. 166/2020.</t>
  </si>
  <si>
    <t>2311-5637</t>
  </si>
  <si>
    <t>FERMENTATION</t>
  </si>
  <si>
    <t>10.3390/fermentation8010007</t>
  </si>
  <si>
    <t>Biotechnology &amp; Applied Microbiology; Food Science &amp; Technology</t>
  </si>
  <si>
    <t>YL9XP</t>
  </si>
  <si>
    <t>WOS:000746238700001</t>
  </si>
  <si>
    <t>Ye, HL; Zhao, LK; Ren, XH; Cai, YQ; Chi, H</t>
  </si>
  <si>
    <t>Ye, Hongli; Zhao, Lukai; Ren, Xinghui; Cai, Youqiong; Chi, Hai</t>
  </si>
  <si>
    <t>Switch-Off-On Detection of Fe3+ and F- Ions Based on Fluorescence Silicon Nanoparticles and Their Application to Food Samples</t>
  </si>
  <si>
    <t>NANOMATERIALS</t>
  </si>
  <si>
    <t>determination; Fe3+ ion; F- ion; fluorescence switch-off-on; silicon nanoparticles; Antarctic krill</t>
  </si>
  <si>
    <t>DOPED CARBON DOTS; QUANTUM DOTS; SENSITIVE DETECTION; SELECTIVE DETECTION; FLUORIDE-ION; SEQUENTIAL DETECTION; LOGIC GATE; LABEL-FREE; PROBE; NITROGEN</t>
  </si>
  <si>
    <t>An approach to the detection of F- ions in food samples was developed based on a switch-off-on fluorescence probe of silicon nanoparticles (SiNPs). The fluorescence of the synthetic SiNPs was gradually quenched in the presence of Fe3+ ion and slightly recovered with the addition of F- ion owing to the formation of a stable and colorless ferric fluoride. The fluorescence recovery exhibited a good linear relationship (R-2 = 0.9992) as the concentration of F- ion increased from 0 to 100 mu mol center dot L-1. The detection limit of the established method of F- ion was 0.05 mu mol center dot L-1. The recovery experiments confirmed the accuracy and reliability of the proposed method. The ultraviolet-visible spectra, fluorescence decays, and zeta potentials evidenced the fluorescence quenching mechanism involving the electron transfer between the SiNPs and Fe3+ ion, while the fluorescence recovery resulted from the formation of ferric fluoride. Finally, SiNPs were successfully applied to detect F- ions in tap water, Antarctic krill, and Antarctic krill powder.</t>
  </si>
  <si>
    <t>[Ye, Hongli; Cai, Youqiong; Chi, Hai] Chinese Acad Fishery Sci, China Sea Fisheries Res Inst, Lab Aquat Product Qual Safety &amp; Proc, Shanghai 200090, Peoples R China; [Ye, Hongli; Cai, Youqiong] Minist Agr &amp; Rural Affairs, Key Lab Control Safety &amp; Qual Aquat Product, Beijing 100141, Peoples R China; [Zhao, Lukai; Chi, Hai] Univ Shanghai Sci &amp; Technol, Sch Med Instrument &amp; Food Engn, Shanghai 200093, Peoples R China; [Ren, Xinghui] Nankai Univ, Coll Chem, Res Ctr Analyt Sci, State Key Lab Med Chem Biol,Tianjin Key Lab Biose, Tianjin 300071, Peoples R China</t>
  </si>
  <si>
    <t>Chinese Academy of Fishery Sciences; Ministry of Agriculture &amp; Rural Affairs; University of Shanghai for Science &amp; Technology; Nankai University</t>
  </si>
  <si>
    <t>Chi, H (corresponding author), Chinese Acad Fishery Sci, China Sea Fisheries Res Inst, Lab Aquat Product Qual Safety &amp; Proc, Shanghai 200090, Peoples R China.;Chi, H (corresponding author), Univ Shanghai Sci &amp; Technol, Sch Med Instrument &amp; Food Engn, Shanghai 200093, Peoples R China.</t>
  </si>
  <si>
    <t>yehongli12@163.com; 13962892027@163.com; 1120200313@mail.nankai.edu.cn; caiyouqiong@163.com; andychihai@126.com</t>
  </si>
  <si>
    <t>YE, Hongli/0000-0001-9253-2300</t>
  </si>
  <si>
    <t>2079-4991</t>
  </si>
  <si>
    <t>NANOMATERIALS-BASEL</t>
  </si>
  <si>
    <t>Nanomaterials</t>
  </si>
  <si>
    <t>10.3390/nano12020213</t>
  </si>
  <si>
    <t>Chemistry, Multidisciplinary; Nanoscience &amp; Nanotechnology; Materials Science, Multidisciplinary; Physics, Applied</t>
  </si>
  <si>
    <t>Chemistry; Science &amp; Technology - Other Topics; Materials Science; Physics</t>
  </si>
  <si>
    <t>YN2ZJ</t>
  </si>
  <si>
    <t>WOS:000747130800001</t>
  </si>
  <si>
    <t>Fudala, K; Bialik, RJ</t>
  </si>
  <si>
    <t>Fudala, Katarzyna; Bialik, Robert Jozef</t>
  </si>
  <si>
    <t>The use of drone-based aerial photogrammetry in population monitoring of Southern Giant Petrels in ASMA 1, King George Island, maritime Antarctica</t>
  </si>
  <si>
    <t>GLOBAL ECOLOGY AND CONSERVATION</t>
  </si>
  <si>
    <t>Southern giant petrel; Macronectes giganteus; Aerial photogrammetry; UAS in wildlife monitoring; King George Island; ASMA 1; Admiralty Bay</t>
  </si>
  <si>
    <t>MACRONECTES-GIGANTEUS; HEART-RATE; DISTURBANCE; SEABIRDS; WILDLIFE; HALLI; SHOW</t>
  </si>
  <si>
    <t>Southern Giant Petrels (SGPs) are surface nesting birds with a circumpolar Southern Hemisphere breeding distribution. The species tends to have no natural enemies on land, but is sensitive to human disturbance. The search for new methods is crucial and may minimize or exclude stress and risk of nest disturbance, related to ground-based research activities. The aim of this study was to conduct a population census of the SGP of the Antarctic Specially Managed Area no. 1 (ASMA no. 1), Admiralty Bay, King George Island, using an unoccupied aerial system (UAS) based on aerial photogrammetry and to determine the optimal parameters of the aerial mission for the identification of SGP adults and chicks on orthophotos while simultaneously not causing behavioural changes. To this end, in a preliminary survey in the 2019/20 season, the locations of all breeding areas for SGPs in ASMA no. 1 were determined, and the presence of 3 colonies, Llano Point/Rescuers Hills (LP/RH), Vaureal (V) and Petrel Hill (PH), was confirmed. Terrain models for two of the colonies (LP/RH and V) were established, and the flight parameters for the next season were determined. In 2020/21, a total of 23 (DJI Inspire 2 with a Zenmuse X5S camera) drone missions were performed at various stages of the breeding period over the LP/RH and V colonies. This assessment yielded estimation of the number of active nests and chicks over the entire ASMA no. 1 area, and included 508 active nests and 380 chicks for the 2020/21 season. To determine the minimum flight altitude at which no SGP behavioural response was observed, an experiment was performed that showed the vertical distance between the potential nest of SGP and the drone should be greater than 21 m given that lowering the altitude yielded statistically significant differences in bird behaviour. Image analyses showed the possibility of identifying adults and chicks at a ground sampling distance of 2.15 cm, which corresponded to an altitude of 130 m based on the equipment used and the terrain characteristics. The proposed method requires several missions during the incubation phase to determine a reliable number of active nests without using correction factors. To obtain a nesting success factor, it is recommended to perform at least one raid in the post-brooding phase of chick rearing (when the chick is not covered by an adult and is visible in orthophotos). The proposed method is not able to replace traditional methods in the context of many ongoing surveys, but we believe that it may provide a less birdinvasive, human-intensive and time-consuming option to replace ground-based census surveys.</t>
  </si>
  <si>
    <t>[Fudala, Katarzyna; Bialik, Robert Jozef] Polish Acad Sci, Inst Biochem &amp; Biophys, Pawinskiego 5A, PL-02106 Warsaw, Poland</t>
  </si>
  <si>
    <t>Polish Academy of Sciences; Institute of Biochemistry &amp; Biophysics - Polish Academy of Sciences</t>
  </si>
  <si>
    <t>Bialik, RJ (corresponding author), Polish Acad Sci, Inst Biochem &amp; Biophys, Pawinskiego 5A, PL-02106 Warsaw, Poland.</t>
  </si>
  <si>
    <t>rbialik@ibb.waw.pl</t>
  </si>
  <si>
    <t>Bialik, Robert/0000-0002-0254-6352; Fudala, Katarzyna/0000-0001-9698-2480</t>
  </si>
  <si>
    <t>Ministry of Science and Higher Education of Poland [6812/IA/SP/2018]</t>
  </si>
  <si>
    <t>Ministry of Science and Higher Education of Poland(Ministry of Science and Higher Education, Poland)</t>
  </si>
  <si>
    <t>This research received funding from the Ministry of Science and Higher Education of Poland, grant no. 6812/IA/SP/2018. We are greatly appreciative for the constructive comments provided by the anonymous reviewers. We appreciate the support provided by the Arctowski Polish Antarctic Station. We are particularly grateful to the members of the 44th and 45th Polish Expeditions to King George Island.</t>
  </si>
  <si>
    <t>2351-9894</t>
  </si>
  <si>
    <t>GLOB ECOL CONSERV</t>
  </si>
  <si>
    <t>Glob. Ecol. Conserv.</t>
  </si>
  <si>
    <t>e01990</t>
  </si>
  <si>
    <t>10.1016/j.gecco.2021.e01990</t>
  </si>
  <si>
    <t>YH3KR</t>
  </si>
  <si>
    <t>WOS:000743069700004</t>
  </si>
  <si>
    <t>Palevich, FP; Palevich, N; Maclean, PH; Altermann, E; Mills, J; Brightwell, G</t>
  </si>
  <si>
    <t>Palevich, Faith P.; Palevich, Nikola; Maclean, Paul H.; Altermann, Eric; Mills, John; Brightwell, Gale</t>
  </si>
  <si>
    <t>Draft Genome Sequence of Clostridium bowmanii DSM 14206T, Isolated from an Antarctic Microbial Mat</t>
  </si>
  <si>
    <t>ESTERTHETICUM</t>
  </si>
  <si>
    <t>Clostridium bowmanii type strain DSM 14206 (ATCC BAA-581) was isolated from a microbial mat sample retrieved from Lake Fryxell, Antarctica. This report describes the generation and annotation of the 4.9-Mb draft genome sequence of C. bowmanii DSM 14206(T).</t>
  </si>
  <si>
    <t>[Palevich, Faith P.; Altermann, Eric; Mills, John; Brightwell, Gale] AgResearch Ltd, Hopkirk Res Inst, Palmerston North, New Zealand; [Palevich, Nikola; Maclean, Paul H.] AgResearch Ltd, Grasslands Res Ctr, Palmerston North, New Zealand; [Altermann, Eric] Massey Univ, Riddet Inst, Palmerston North, New Zealand; [Brightwell, Gale] Massey Univ, New Zealand Food Safety Sci &amp; Res Ctr, Palmerston North, New Zealand</t>
  </si>
  <si>
    <t>AgResearch - New Zealand; AgResearch - New Zealand; Massey University; Massey University</t>
  </si>
  <si>
    <t>Palevich, N (corresponding author), AgResearch Ltd, Grasslands Res Ctr, Palmerston North, New Zealand.</t>
  </si>
  <si>
    <t>nik.palevich@agresearch.co.nz</t>
  </si>
  <si>
    <t>Palevich, Nikola/AAU-2377-2020</t>
  </si>
  <si>
    <t>Palevich, Nikola/0000-0002-2101-2452; Mills, John/0000-0002-4603-9117; Altermann, Eric/0000-0003-1376-1549; Brightwell, Gale/0000-0002-3980-4108; Maclean, Paul/0000-0001-8898-8276</t>
  </si>
  <si>
    <t>New Zealand Ministry of Business, Innovation, and Employment Strategic Science Investment Fund [C10X1702]; New Zealand Ministry of Business, Innovation &amp; Employment (MBIE) [C10X1702] Funding Source: New Zealand Ministry of Business, Innovation &amp; Employment (MBIE)</t>
  </si>
  <si>
    <t>New Zealand Ministry of Business, Innovation, and Employment Strategic Science Investment Fund; New Zealand Ministry of Business, Innovation &amp; Employment (MBIE)(New Zealand Ministry of Business, Innovation and Employment (MBIE))</t>
  </si>
  <si>
    <t>This work was completed under the Food integrity: doing the right things in a way that builds trust project and was funded by the New Zealand Ministry of Business, Innovation, and Employment Strategic Science Investment Fund (contract C10X1702).</t>
  </si>
  <si>
    <t>e01035-21</t>
  </si>
  <si>
    <t>10.1128/MRA.01035-21</t>
  </si>
  <si>
    <t>YL6XL</t>
  </si>
  <si>
    <t>WOS:000746032300013</t>
  </si>
  <si>
    <t>Liu, TT; Wang, ZH; Shokr, M; Lei, RB; Zhang, ZR</t>
  </si>
  <si>
    <t>Liu, Tingting; Wang, Zihan; Shokr, Mohammed; Lei, Ruibo; Zhang, Zhaoru</t>
  </si>
  <si>
    <t>An Assessment of Sea Ice Motion Products in the Robeson Channel Using Daily Sentinel-1 Images</t>
  </si>
  <si>
    <t>sea ice motion; sea ice motion product; the Robeson Channel; Sentinel-1</t>
  </si>
  <si>
    <t>NORTH WATER; DRIFT; SAR; UNCERTAINTY</t>
  </si>
  <si>
    <t>Sea ice motion is an essential parameter when determining sea ice deformation, regional advection, and the outflow of ice from the Arctic Ocean. The Robeson Channel, which is located between Ellesmere Island and northwest Greenland, is a narrow but crucial channel for ice outflow. Only three Eulerian sea ice motion products derived from ocean/sea ice reanalysis are available: GLORYS12V1, PSY4V3, and TOPAZ4. In this study, we used Lagrangian ice motion in the Robeson Channel derived from Sentinel-1 images to assess GLORYS12V1, PSY4V3, and TOPAZ4. The influence of the presence of ice arches, and wind and tidal forcing on the accuracies of the reanalysis products was also investigated. The results show that the PSY4V3 product performs the best as it underestimates the motion the least, whereas TOPAZ4 grossly underestimates the motion. This is particularly true in regimes of free drift after the formation of the northern arch. In areas with slow ice motion or grounded ice floes, the GLORYS12V1 and TOPAZ4 products offer a better estimation. The spatial distribution of the deviation between the products and ice floe drift is also presented and shows a better agreement in the Robeson Channel compared to the packed ice regime north of the Robeson Channel.</t>
  </si>
  <si>
    <t>[Liu, Tingting] Wuhan Univ, Chinese Antarctic Ctr Surveying &amp; Mapping, Wuhan 430079, Peoples R China; [Liu, Tingting] Wuhan Univ, MNR, Key Lab Polar Surveying &amp; Mapping, Wuhan 430079, Peoples R China; [Wang, Zihan] Sun Yat Sen Univ, Sch Geospatial Engn &amp; Sci, Zhuhai 519000, Peoples R China; [Shokr, Mohammed] Govt Canada, Environm &amp; Climate Change Canada, Sci &amp; Technol Branch, Downsview, ON M3H 5T4, Canada; [Lei, Ruibo] Polar Res Inst China, Key Lab Polar Sci MNR, Shanghai 200136, Peoples R China; [Zhang, Zhaoru] Shanghai Jiao Tong Univ, Sch Oceanog, Shanghai 200240, Peoples R China</t>
  </si>
  <si>
    <t>Wuhan University; Wuhan University; Sun Yat Sen University; Environment &amp; Climate Change Canada; Polar Research Institute of China; Shanghai Jiao Tong University</t>
  </si>
  <si>
    <t>Wang, ZH (corresponding author), Sun Yat Sen Univ, Sch Geospatial Engn &amp; Sci, Zhuhai 519000, Peoples R China.</t>
  </si>
  <si>
    <t>ttliu23@whu.edu.cn; wangzh583@mail2.sysu.edu.cn; mo.shokr.ms@gmail.com; leiruibo@pric.org.cn; zrzhang@sjtu.edu.cn</t>
  </si>
  <si>
    <t>LIU, JIALIN/JXN-8034-2024; Liu, Tingting/HCH-2239-2022</t>
  </si>
  <si>
    <t>Wang, Zihan/0000-0002-6553-6805</t>
  </si>
  <si>
    <t>National Key Research and Development Program of China [2021YFC2803301, 2018YFC1406102]; National Natural Science Foundation of China [41976219, 41861134040]; Key Laboratory for Polar Science of the MNR [KP202004]</t>
  </si>
  <si>
    <t>National Key Research and Development Program of China; National Natural Science Foundation of China(National Natural Science Foundation of China (NSFC)); Key Laboratory for Polar Science of the MNR</t>
  </si>
  <si>
    <t>This work was supported in part by the National Key Research and Development Program of China under Grant 2021YFC2803301 and Grant 2018YFC1406102, in part by the National Natural Science Foundation of China under Grant 41976219 and Grant 41861134040, and in part by the Key Laboratory for Polar Science of the MNR under Grant KP202004.</t>
  </si>
  <si>
    <t>10.3390/rs14020329</t>
  </si>
  <si>
    <t>YN0YP</t>
  </si>
  <si>
    <t>WOS:000746993300001</t>
  </si>
  <si>
    <t>Luo, YW; Li, F; Yan, JG; Barriot, JP</t>
  </si>
  <si>
    <t>Luo, Yao-Wen; Li, Fei; Yan, Jian-Guo; Barriot, Jean-Pierre</t>
  </si>
  <si>
    <t>Strong Spatial Aggregation of Martian Surface Temperature Shaped by Spatial and Seasonal Variations in Meteorological and Environmental Factors</t>
  </si>
  <si>
    <t>RESEARCH IN ASTRONOMY AND ASTROPHYSICS</t>
  </si>
  <si>
    <t>methods: analytical; planets and satellites: surfaces; methods: statistical; planets and satellites: fundamental parameters</t>
  </si>
  <si>
    <t>THERMAL INERTIA; VARIABLE IMPORTANCE; LINEAR-REGRESSION; MARS; ATMOSPHERE; CLIMATE; ALBEDO; WEATHER; LANDER; VIKING</t>
  </si>
  <si>
    <t>Spatio-temporal variation in the Martian surface temperature (MST) is an indicator of ground level thermal processes and hence a building block for climate models. However, the distribution of MST exhibits different levels of spatial aggregation or heterogeneity, and varies in space and time. Furthermore, the effect of regional differences in meteorological or environmental factors on the MST is not well understood. Thus, we investigated the degree of spatial autocorrelation of MST across the surface of Mars globally by Moran's I, and identified the hot spots by GetisOrd G(i)*. We also estimated the regional differences in the influence of seasonally dominant factors including thermal inertia (TI), albedo, surface pressure, latitude, dust and slope on MST by a geographically weighted regression model. The results indicate (1) that MST is spatially aggregated and hot and cold spots varied over time and space. (2) Hemispheric differences in topography, surface TI and albedo were primarily responsible for the hemispheric asymmetry of hot spots. (3) The dominant factors varied by geographical locations and seasons. For example, the seasonal Hadley circulation dominates at the low-latitudes and CO2 circulation at the high-latitudes. (4) Regions with extreme variations in topography and low TI were sensitive to meteorological and environmental factors such as dust and CO2 ice. We conclude that the spatial autocorrelation of MST and the spatial and seasonal heterogeneity of influencing factors must be considered when simulating Martian climate models. This work provides a reference for further exploration of Martian climatic processes.</t>
  </si>
  <si>
    <t>[Luo, Yao-Wen; Li, Fei] Wuhan Univ, Chinese Antarctic Ctr Surveying &amp; Mapping, Wuhan 430070, Peoples R China; [Li, Fei; Yan, Jian-Guo; Barriot, Jean-Pierre] Wuhan Univ, State Key Lab Informat Engn Surveying Mapping &amp; R, Wuhan 430070, Peoples R China; [Barriot, Jean-Pierre] Univ French Polynesia, Observ Geodes Tahiti, BP 6570, F-98702 Tahiti, French Polynesi, France</t>
  </si>
  <si>
    <t>Li, F (corresponding author), Wuhan Univ, Chinese Antarctic Ctr Surveying &amp; Mapping, Wuhan 430070, Peoples R China.;Li, F; Yan, JG (corresponding author), Wuhan Univ, State Key Lab Informat Engn Surveying Mapping &amp; R, Wuhan 430070, Peoples R China.</t>
  </si>
  <si>
    <t>yaowenluo@whu.edu.cn; fli@whu.edu.cn; jgyan@whu.edu.cn; jean-pierre.barriot@upf.pf</t>
  </si>
  <si>
    <t>Yan, Jianguo/0000-0003-2612-4776</t>
  </si>
  <si>
    <t>pre-research Project on Civil Aerospace Technologies [D020103]; National Natural Science Foundation of China [42030110]</t>
  </si>
  <si>
    <t>pre-research Project on Civil Aerospace Technologies; National Natural Science Foundation of China(National Natural Science Foundation of China (NSFC))</t>
  </si>
  <si>
    <t>We are grateful to NASA for providing models to make this research possible. J.Y. is supported by the pre-research Project on Civil Aerospace Technologies (No. D020103), F.L. and J.G. are supported by the National Natural Science Foundation of China (Grant No. 42030110).</t>
  </si>
  <si>
    <t>NATL ASTRONOMICAL OBSERVATORIES, CHIN ACAD SCIENCES</t>
  </si>
  <si>
    <t>20A DATUN RD, CHAOYANG, BEIJING, 100012, PEOPLES R CHINA</t>
  </si>
  <si>
    <t>1674-4527</t>
  </si>
  <si>
    <t>2397-6209</t>
  </si>
  <si>
    <t>RES ASTRON ASTROPHYS</t>
  </si>
  <si>
    <t>Res. Astron. Astrophys.</t>
  </si>
  <si>
    <t>10.1088/1674-4527/ac3896</t>
  </si>
  <si>
    <t>YL8VX</t>
  </si>
  <si>
    <t>WOS:000746166100001</t>
  </si>
  <si>
    <t>Barrett, NJ; Thyrring, J; Harper, EM; Sejr, MK; Sorensen, JG; Peck, LS; Clark, MS</t>
  </si>
  <si>
    <t>Barrett, Nicholas J.; Thyrring, Jakob; Harper, Elizabeth M.; Sejr, Mikael K.; Sorensen, Jesper G.; Peck, Lloyd S.; Clark, Melody S.</t>
  </si>
  <si>
    <t>Molecular Responses to Thermal and Osmotic Stress in Arctic Intertidal Mussels (Mytilus edulis): The Limits of Resilience</t>
  </si>
  <si>
    <t>blue mussel; cellular stress response; salinity; thermal tolerance; transcriptome; acclimation; freshening; climate change; aquaporins</t>
  </si>
  <si>
    <t>GREENLAND ICE-SHEET; TRANSCRIPTOMIC RESPONSES; HYPOOSMOTIC STRESS; GENOME ANNOTATION; VOLUME REGULATION; COMMON MUSSEL; HSP70 FAMILY; TEMPERATURE; EXPRESSION; SALINITY</t>
  </si>
  <si>
    <t>Increases in Arctic temperatures have accelerated melting of the Greenland icesheet, exposing intertidal organisms, such as the blue mussel Mytilus edulis, to high air temperatures and low salinities in summer. However, the interaction of these combined stressors is poorly described at the transcriptional level. Comparing expression profiles of M. edulis from experimentally warmed (30 degrees C and 33 degrees C) animals kept at control (23 parts per thousand) and low salinities (15 parts per thousand) revealed a significant lack of enrichment for Gene Ontology terms (GO), indicating that similar processes were active under all conditions. However, there was a progressive increase in the abundance of upregulated genes as each stressor was applied, with synergistic increases at 33 degrees C and 15 parts per thousand, suggesting combined stressors push the animal towards their tolerance thresholds. Further analyses comparing the effects of salinity alone (23 parts per thousand, 15 parts per thousand and 5 parts per thousand) showed high expression of stress and osmoregulatory marker genes at the lowest salinity, implying that the cell is carrying out intracellular osmoregulation to maintain the cytosol as hyperosmotic. Identification of aquaporins and vacuolar-type ATPase transcripts suggested the cell may use fluid-filled cavities to excrete excess intracellular water, as previously identified in embryonic freshwater mussels. These results indicate that M. edulis has considerable resilience to heat stress and highly efficient mechanisms to acclimatise to lowered salinity in a changing world.</t>
  </si>
  <si>
    <t>[Barrett, Nicholas J.; Harper, Elizabeth M.; Peck, Lloyd S.; Clark, Melody S.] British Antarctic Survey, Nat Environm Res Council, Cambridge CB3 0ET, England; [Barrett, Nicholas J.; Harper, Elizabeth M.] Univ Cambridge, Dept Earth Sci, Cambridge CB2 3EQ, England; [Thyrring, Jakob; Sejr, Mikael K.] Aarhus Univ, Dept Ecosci Marine Ecol, DK-8000 Aarhus C, Denmark; [Thyrring, Jakob; Sejr, Mikael K.] Aarhus Univ, Arctic Res Ctr, DK-8000 Aarhus C, Denmark; [Thyrring, Jakob] Univ British Columbia, Dept Zool, Vancouver, BC V6T 1Z4, Canada; [Sorensen, Jesper G.] Aarhus Univ, Dept Biol Genet Ecol &amp; Evolut, DK-8000 Aarhus C, Denmark</t>
  </si>
  <si>
    <t>UK Research &amp; Innovation (UKRI); Natural Environment Research Council (NERC); NERC British Antarctic Survey; University of Cambridge; Aarhus University; Aarhus University; University of British Columbia; Aarhus University</t>
  </si>
  <si>
    <t>Barrett, NJ (corresponding author), British Antarctic Survey, Nat Environm Res Council, Cambridge CB3 0ET, England.;Barrett, NJ (corresponding author), Univ Cambridge, Dept Earth Sci, Cambridge CB2 3EQ, England.</t>
  </si>
  <si>
    <t>njb202@cam.ac.uk; thyrring@ecos.au.dk; emh21@cam.ac.uk; mse@ecos.au.dk; jesper.soerensen@bio.au.dk; spe@bas.ac.uk; mscl@bas.ac.uk</t>
  </si>
  <si>
    <t>Sørensen, Jesper Givskov/J-3190-2013; Harper, Elizabeth M/B-3890-2008; Clark, Melody S/D-7371-2014; Thyrring, Jakob/M-9479-2015; Sejr, Mikael K./J-5459-2013</t>
  </si>
  <si>
    <t>Sørensen, Jesper Givskov/0000-0002-9149-3626; Barrett, Nicholas/0000-0003-1920-9704; Peck, Lloyd/0000-0003-3479-6791; Thyrring, Jakob/0000-0002-1029-3105; Sejr, Mikael K./0000-0001-8370-5791</t>
  </si>
  <si>
    <t>Natural Environment Research Council (NERC); NERC C-CLEAR PhD studentship [NE/S007164/1]; Marie Sklodowska-Curie Individual Fellowship (IF) [797387]; Carlsberg Foundation [CF17-0743]; De-icing Arctic Coasts [DANCEA MST-113-00157]; Marie Curie Actions (MSCA) [797387] Funding Source: Marie Curie Actions (MSCA)</t>
  </si>
  <si>
    <t>Natural Environment Research Council (NERC)(UK Research &amp; Innovation (UKRI)Natural Environment Research Council (NERC)); NERC C-CLEAR PhD studentship; Marie Sklodowska-Curie Individual Fellowship (IF); Carlsberg Foundation(Carlsberg Foundation); De-icing Arctic Coasts; Marie Curie Actions (MSCA)(Marie Curie Actions)</t>
  </si>
  <si>
    <t>This project was financed by the Natural Environment Research Council (NERC) core funding to B.A.S. N.J.B. was supported by the NERC C-CLEAR PhD studentship (grant number NE/S007164/1). JT was supported by a Marie Sklodowska-Curie Individual Fellowship (IF) under contract number 797387 and by the Carlsberg Foundation (CF17-0743). M.K.S. was supported by De-icing Arctic Coasts (DANCEA MST-113-00157).</t>
  </si>
  <si>
    <t>10.3390/genes13010155</t>
  </si>
  <si>
    <t>YN0SN</t>
  </si>
  <si>
    <t>WOS:000746977500001</t>
  </si>
  <si>
    <t>Chen, Y; Zhang, H; Ping, WW; Zhu, L; Xing, YH; Zhang, JL</t>
  </si>
  <si>
    <t>Chen, Ya; Zhang, Hao; Ping, Weiwei; Zhu, Lin; Xing, Yuhua; Zhang, Jianli</t>
  </si>
  <si>
    <t>Pseudarthrobacter albicanus sp. nov., isolated from Antarctic soil</t>
  </si>
  <si>
    <t>Actinobacteria; Pseudarthrobacter; new taxa; novel species</t>
  </si>
  <si>
    <t>GEN. NOV.; ARTHROBACTER; TAXONOMY; DIMETHYLSULFONE; HYPHOMICROBIUM; SEQUENCES; BACTERIA</t>
  </si>
  <si>
    <t>A Gram-stain positive, strictly aerobic, non-motile and rod-shaped strain, NJ-Z5(T), was isolated from a soil sample obtained from the Antarctic Peninsula. This strain was taxonomically characterized by a polyphasic approach. Phylogenetic analysis based on 16S rRNA gene sequences indicated that strain NJ-Z5(T) belonged to the genus Pseudarthrobacter and showed the highest similarities to Pseudarthrobacter sulfonivorans ALL(T) (98.07%), followed by Pseudarthrobacter siccitolerans 4J27(T) (98.00%), Pseudarthrobacter phenanthrenivorans Sphe3(T) (97.93%) and Pseudarthrobacter psychrotolerans YJ56(T) (97.82%). The strain was able to grow at 4-28 degrees C (optimum, 25 degrees C), at pH 6.0-8.0 (optimum, pH 7.0) and with 0-1.0% (w/v) NaCl (optimum, 0%). It had catalase activity but no oxidase activity. The chemotaxonomic characteristics of strain NJ-Z5(T), which had MK-9 (H-2) as its predominant menaquinone and anteiso-C-15:0 (58.5%), anteiso-C-17:0 (9.9%) and iso-C-16:0 (7.0%) as its major fatty acids, were consistent with classification in the genus Pseudarthrobacter. The polar lipid profile of strain NJ-Z5(T) comprised phosphatidylinositol, diphosphatidylglycerol, phosphatidylglycerol, three unidentified glycolipids and two unidentified phospholipids. The genome of strain NJ-Z5(T) was 4.57 Mbp with a G+C content of 67.1 mol%. Average nucleotide identity (ANI) values between strain NJ-Z5(T) and other species of the genus Pseudarthrobacter were found to be low (ANIm &lt;86%, ANIb &lt;80% and OrthoANIu &lt;80%). Furthermore, digital DNA-DNA hybridization (dDDH) and average amino acid identity (AAI) values between strain NJ-Z5(T) and the closely related species ranged from 22.7 to 24.0% and from 75.5 to 77.2%, respectively. On the basis of its differential physiological properties, chemotaxonomic characteristics and low ANI, dDDH and AAI results, strain NJ-Z5(T) is considered to represent a novel species within the genus Pseudarthrobacter, for which the name Pseudarthrobacter albicanus sp. nov. is proposed. The type strain is NJ-Z5(T) (=CGMCC 1.15636(T)=KCTC 39722(T)).</t>
  </si>
  <si>
    <t>[Chen, Ya; Zhang, Hao; Ping, Weiwei; Zhu, Lin; Zhang, Jianli] Beijing Inst Technol, Sch Life Sci, Key Lab Mol Med &amp; Biotherapy, Beijing 100081, Peoples R China; [Xing, Yuhua] Chinese Acad Sci, China Gen Microbiol Culture Collect Ctr, Inst Microbiol, Beijing 100101, Peoples R China</t>
  </si>
  <si>
    <t>zhang, luyu/JJC-4227-2023</t>
  </si>
  <si>
    <t>10.1099/ijsem.0.005182</t>
  </si>
  <si>
    <t>YL0VE</t>
  </si>
  <si>
    <t>WOS:000745618300009</t>
  </si>
  <si>
    <t>Mukhanov, V; Sakhon, E; Polukhin, A; Artemiev, V; Morozov, E; Tsai, AY</t>
  </si>
  <si>
    <t>Mukhanov, Vladimir; Sakhon, Evgeny; Polukhin, Alexander; Artemiev, Vladimir; Morozov, Eugene; Tsai, An-Yi</t>
  </si>
  <si>
    <t>Cryptophyte and Photosynthetic Picoeukaryote Abundances in the Bransfield Strait during Austral Summer</t>
  </si>
  <si>
    <t>cryptophytes; nanophytoplankton; picophytoplankton; photosynthetic picoeukaryotes; phytoplankton bloom; Bransfield Strait; Antarctic Peninsula; flow cytometry</t>
  </si>
  <si>
    <t>ANTARCTIC PHYTOPLANKTON BIOMASS; SIZE-FRACTIONATED PHYTOPLANKTON; WATER MASSES; CHEMICAL-COMPOSITION; SOUTHERN-OCEAN; FOOD-WEB; PENINSULA; KRILL; ASSEMBLAGES; VARIABILITY</t>
  </si>
  <si>
    <t>A remarkable shift in the species composition and size distribution of the phytoplankton community have been observed in coastal waters along the Antarctic Peninsula over the last three decades. Smaller photoautotrophs such as cryptophytes are becoming more abundant and important for the regional ecosystems. In this study, flow cytometry was used to quantify the smallest phytoplankton in the central Bransfield Strait and explore their distribution across the strait in relation to physical and chemical properties of the two major water masses: the warmer and less saline Transitional Zonal Water with Bellingshausen Sea influence (TBW), and the cold and salty Transitional Zonal Water with Weddell Sea influence (TWW). Pico- and nano-phytoplankton clusters were distinguished and enumerated in the cytograms: photosynthetic picoeukaryotes, cryptophytes (about 9 mu m in size), and smaller (3 mu m) nanophytoplankton. It was shown that nanophytoplankton developed higher abundances and biomasses in the warmer and less saline TBW. This biotope was characterized by a more diverse community with a pronounced dominance of Cryptophyta in terms of biomass. The results support the hypothesis that increasing melt-water input can potentially support spatial and temporal extent of cryptophytes. The replacement of large diatoms with small cryptophytes leads to a significant shift in trophic processes in favor of the consumers such as salps, which able to graze on smaller prey.</t>
  </si>
  <si>
    <t>[Mukhanov, Vladimir; Sakhon, Evgeny] Russian Acad Sci, AO Kovalevsky Inst Biol Southern Seas, Sevastopol 299011, Russia; [Polukhin, Alexander; Artemiev, Vladimir; Morozov, Eugene] Russian Acad Sci, Shirshov Inst Oceanol, Moscow 117997, Russia; [Tsai, An-Yi] Natl Taiwan Ocean Univ, Inst Marine Environm &amp; Ecol, Keelung 20224, Taiwan; [Tsai, An-Yi] Natl Taiwan Ocean Univ, Ctr Excellence Oceans, Keelung 20224, Taiwan</t>
  </si>
  <si>
    <t>Russian Academy of Sciences; AO Kovalevsky Institute of Biology of the Southern Seas of RAS (IBSS); Russian Academy of Sciences; Shirshov Institute of Oceanology; National Taiwan Ocean University; National Taiwan Ocean University</t>
  </si>
  <si>
    <t>Mukhanov, V (corresponding author), Russian Acad Sci, AO Kovalevsky Inst Biol Southern Seas, Sevastopol 299011, Russia.</t>
  </si>
  <si>
    <t>v.s.mukhanov@ibss-ras.ru; sachon@mail.ru; aleanapol@gmail.com; artemiev195@yandex.ru; egmorozov@mail.ru; anyitsai@mail.ntou.edu.tw</t>
  </si>
  <si>
    <t>Polukhin, Alexander A/S-2879-2016; Mukhanov, Vladimir S./H-4760-2014; Morozov, Eugene G/L-3023-2018</t>
  </si>
  <si>
    <t>Polukhin, Alexander A/0000-0003-1708-1428; Sakhon, Evgenii/0000-0002-0145-3883</t>
  </si>
  <si>
    <t>RFBR [AAAA-A19-119100290162-0, 0128-2021-0017]; Ministry of Science and Technology, ROC (Taiwan) [21-55-52001]; [NSC 109-2611-M-019-013]</t>
  </si>
  <si>
    <t>RFBR(Russian Foundation for Basic Research (RFBR)); Ministry of Science and Technology, ROC (Taiwan);</t>
  </si>
  <si>
    <t>FundingThis research was conducted in the frame of the Russian state assignments No. AAAA-A19-119100290162-0 (V.M. and E.S.) and 0128-2021-0017 (E.M., A.P. and V.A.), and supported by RFBR, grant number 21-55-52001 (V.M. and E.S.), and the Ministry of Science and Technology, ROC (Taiwan), grant number NSC 109-2611-M-019-013 (A.-Y.T.).</t>
  </si>
  <si>
    <t>10.3390/w14020185</t>
  </si>
  <si>
    <t>YM1RE</t>
  </si>
  <si>
    <t>WOS:000746357500001</t>
  </si>
  <si>
    <t>Pérez, LF; De Santis, L; McKay, RM; Larter, RD; Ash, J; Bart, PJ; Böhm, G; Brancatelli, G; Browne, I; Colleoni, F; Dodd, JP; Geletti, R; Harwood, DM; Kuhn, G; Laberg, JS; Leckie, RM; Levy, RH; Marschalek, J; Mateo, Z; Naish, TR; Sangiorgi, F; Shevenell, AE; Sorlien, CC; van de Flierdt, T</t>
  </si>
  <si>
    <t>Perez, Lara F.; De Santis, Laura; McKay, Robert M.; Larter, Robert D.; Ash, Jeanine; Bart, Phil J.; Bohm, Gualtiero; Brancatelli, Giuseppe; Browne, Imogen; Colleoni, Florence; Dodd, Justin P.; Geletti, Riccardo; Harwood, David M.; Kuhn, Gerhard; Laberg, Jan Sverre; Leckie, R. Mark; Levy, Richard H.; Marschalek, James; Mateo, Zenon; Naish, Timothy R.; Sangiorgi, Francesca; Shevenell, Amelia E.; Sorlien, Christopher C.; van de Flierdt, Tina</t>
  </si>
  <si>
    <t>Early and middle Miocene ice sheet dynamics in the Ross Sea: Results from integrated core-log-seismic interpretation</t>
  </si>
  <si>
    <t>SOUTHERN VICTORIA LAND; TRANSANTARCTIC-MOUNTAINS; CONTINENTAL-SHELF; LONG-TERM; GROUNDING EVENTS; WEDDELL SEA; DRY VALLEYS; NEW-JERSEY; ANTARCTICA; EAST</t>
  </si>
  <si>
    <t>Oscillations in ice sheet extent during early and middle Miocene are intermittently preserved in the sedimentary record from the Antarctic continental shelf, with widespread erosion occurring during major ice sheet advances, and open marine deposition during times of ice sheet retreat. Data from seismic reflection surveys and drill sites from Deep Sea Drilling Project Leg 28 and International Ocean Discovery Program Expedition 374, located across the present-day middle continental shelf of the central Ross Sea (Antarctica), indicate the presence of expanded early to middle Miocene sedimentary sections. These include the Miocene climate optimum (MCO ca. 17-14.6 Ma) and the middle Miocene climate transition (MMCT ca. 14.6-13.9 Ma). Here, we correlate drill core records, wireline logs and reflection seismic data to elucidate the depositional architecture of the continental shelf and reconstruct the evolution and variability of dynamic ice sheets in the Ross Sea during the Miocene. Drill-site data are used to constrain seismic isopach maps that document the evolution of different ice sheets and ice caps which influenced sedimentary processes in the Ross Sea through the early to middle Miocene. In the early Miocene, periods of localized advance of the ice margin are revealed by the formation of thick sediment wedges prograding into the basins. At this time, morainal bank complexes are distinguished along the basin margins suggesting sediment supply derived from marine-terminating glaciers. During the MCO, biosiliceous-bearing sediments are regionally mapped within the depocenters of the major sedimentary basin across the Ross Sea, indicative of widespread open marine deposition with reduced glacimarine influence. At the MMCT, a distinct erosive surface is interpreted as representing large-scale marine-based ice sheet advance over most of the Ross Sea paleo-continental shelf. The regional mapping of the seismic stratigraphic architecture and its correlation to drilling data indicate a regional transition through the Miocene from growth of ice caps and inland ice sheets with marine-terminating margins, to widespread marine-based ice sheets extending across the outer continental shelf in the Ross Sea.</t>
  </si>
  <si>
    <t>[Perez, Lara F.; Larter, Robert D.] British Antarctic Survey, Cambridge CB3 0ET, England; [Perez, Lara F.; De Santis, Laura; Bohm, Gualtiero; Brancatelli, Giuseppe; Colleoni, Florence; Geletti, Riccardo] Natl Inst Oceanog &amp; Appl Geophys, I-34010 Trieste, Italy; [Perez, Lara F.; McKay, Robert M.; Levy, Richard H.; Naish, Timothy R.] Victoria Univ Wellington, Wellington 6140, New Zealand; [Ash, Jeanine] Rice Univ, Dept Earth Environm &amp; Planetary Sci, Rice Nat Sci, Houston, TX 77005 USA; [Bart, Phil J.] Louisiana State Univ, Coll Sci, Dept Geol &amp; Geophys, Baton Rouge, LA 70803 USA; [Browne, Imogen; Shevenell, Amelia E.] Univ S Florida, Coll Marine Sci, St Petersburg, FL 33701 USA; [Dodd, Justin P.] Northern Illinois Univ, Dept Geol &amp; Environm Geosci, De Kalb, IL 60115 USA; [Harwood, David M.] Univ Nebraska, Dept Earth &amp; Atmospher Sci, Lincoln, NE 68588 USA; [Kuhn, Gerhard] Helmholtz Ctr Polar &amp; Marine Res, Alfred Wegener Inst, D-27570 Bremerhaven, Germany; [Laberg, Jan Sverre] UiT Arctic Univ Norway, N-9037 Tromso, Norway; [Leckie, R. Mark] Univ Massachusetts, Dept Geosci, Amherst, MA 01003 USA; [Levy, Richard H.] GNS Sci, Lower Hutt 5040, New Zealand; [Marschalek, James; van de Flierdt, Tina] Imperial Coll London, Dept Earth Sci &amp; Engn, South Kensington Campus, London SW7 2AZ, England; [Mateo, Zenon] Texas A&amp;M Univ, Int Ocean Discovery Program, College Stn, TX 77845 USA; [Sangiorgi, Francesca] Univ Utrecht, Dept Earth Sci Marine Palynol &amp; Paleoceanog, Utrecht, Netherlands; [Sorlien, Christopher C.] Univ Calif Santa Barbara, Santa Barbara, CA 93106 USA</t>
  </si>
  <si>
    <t>UK Research &amp; Innovation (UKRI); Natural Environment Research Council (NERC); NERC British Antarctic Survey; Istituto Nazionale di Oceanografia e di Geofisica Sperimentale; Victoria University Wellington; Rice University; Louisiana State University System; Louisiana State University; State University System of Florida; University of South Florida; Northern Illinois University; University of Nebraska System; University of Nebraska Lincoln; Helmholtz Association; Alfred Wegener Institute, Helmholtz Centre for Polar &amp; Marine Research; UiT The Arctic University of Tromso; University of Massachusetts System; University of Massachusetts Amherst; GNS Science - New Zealand; Imperial College London; Texas A&amp;M University System; Texas A&amp;M University College Station; Utrecht University; University of California System; University of California Santa Barbara</t>
  </si>
  <si>
    <t>Pérez, LF (corresponding author), British Antarctic Survey, Cambridge CB3 0ET, England.;Pérez, LF (corresponding author), Natl Inst Oceanog &amp; Appl Geophys, I-34010 Trieste, Italy.;Pérez, LF (corresponding author), Victoria Univ Wellington, Wellington 6140, New Zealand.</t>
  </si>
  <si>
    <t>larrez@bas.ac.uk; ldesantis@inogs.it; robert.mckay@vuw.ac.nz; rdla@bas.ac.uk; ja39@rice.edu; pbart@lsu.edu; gbohm@inogs.it; gbrancatelli@inogs.it; imogenbrowne@usf.edu; fcolleoni@inogs.it; jdodd@niu.edu; rgeletti@inogs.it; dharwood1@unl.edu; gerhard.kuhn@awi.de; jan.laberg@uit.no; mleckie@geo.umass.edu; r.levy@gns.cri.nz; j.marschalek18@imperial.ac.uk; mateo@iodp.tamu.edu; timothy.naish@vuw.ac.nz; F.Sangiorgi@uu.nl; ashevenell@usf.edu; christopher.sorlien@ucsb.edu; tina.vandeflierdt@imperial.ac.uk</t>
  </si>
  <si>
    <t>brancatelli, giuseppe/ADI-3570-2022; Pérez, Lara F./H-3572-2015; Kim, Sunghan/CAG-2289-2022; Colleoni, Florence/JMQ-7847-2023; Shevenell, Amelia E/C-2757-2015</t>
  </si>
  <si>
    <t>brancatelli, giuseppe/0000-0001-6136-9088; Pérez, Lara F./0000-0002-6229-4564; Colleoni, Florence/0000-0003-4582-812X; Brancatelli, Giuseppe/0000-0003-0301-7804</t>
  </si>
  <si>
    <t>European Union [792773]; National Antarctic Research Program [PNRA16_00016]; Royal Society of New Zealand Te Aparangi Marsden Fund [18-VUW-089]; New Zealand Ministry of Business, Innovation and Employment through the Antarctic Science Platform [ANTA1801]; European Consortium for Ocean Research Drilling; Research Council of Norway; Scientific Committee on Antarctic Research (SCAR) policy; Marie Curie Actions (MSCA) [792773] Funding Source: Marie Curie Actions (MSCA); NERC [NE/T012285/1, NE/R018219/1] Funding Source: UKRI; Grants-in-Aid for Scientific Research [20H00626] Funding Source: KAKEN</t>
  </si>
  <si>
    <t>European Union(European Union (EU)); National Antarctic Research Program; Royal Society of New Zealand Te Aparangi Marsden Fund(Royal Society of New Zealand); New Zealand Ministry of Business, Innovation and Employment through the Antarctic Science Platform(New Zealand Ministry of Business, Innovation and Employment (MBIE)); European Consortium for Ocean Research Drilling; Research Council of Norway(Research Council of Norway); Scientific Committee on Antarctic Research (SCAR) policy; Marie Curie Actions (MSCA)(Marie Curie Actions); NERC(UK Research &amp; Innovation (UKRI)Natural Environment Research Council (NERC)); Grants-in-Aid for Scientific Research(Ministry of Education, Culture, Sports, Science and Technology, Japan (MEXT)Japan Society for the Promotion of ScienceGrants-in-Aid for Scientific Research (KAKENHI))</t>
  </si>
  <si>
    <t>This project has received funding from the European Union's Horizon 2020 research and innovation program under the Marie Sklodowska-Curie grant agreement number 792773 for the West Antarctic Margin Signatures of Ice Sheet Evolution Project. The work was fully developed during two consecutive research stays of the first author at the National Institute of Oceanography and Applied Geophysics (Trieste, Italy) and the Antarctic Research Centre at Victoria University of Wellington (Wellington, New Zealand). This project used data provided by the International Ocean Discovery Program (IODP). It is in the frame of National Antarctic Research Program PNRA16_00016 project and the British Antarctic Survey (BAS) Polar Science for Planet Earth Program. RMM was funded by the Royal Society of New Zealand Te Aparangi Marsden Fund (grant 18-VUW-089). RMM, RHL, and TRN acknowledge the funding support providing by the New Zealand Ministry of Business, Innovation and Employment through the Antarctic Science Platform (ANTA1801). JSL acknowledges the support from European Consortium for Ocean Research Drilling and the Research Council of Norway allowing for his participation on Expedition 374 and the post-cruise work. Most of the multichannel seismic profiles used in this work are available at the Antarctic Seismic Data Library System (https://sdls.ogs.trieste.it) under the auspices of the Scientific Committee on Antarctic Research (SCAR) policy. In addition, the PD90 single channel seismic data available thought the collaboration with J.B. Anderson and L. Bartek have been crucial for this work. We acknowledge S. Henrys participation in the seismic data compilation. We are also grateful to N. Wardell of the National Institute of Oceanography and Applied Geophysics (OGS), Trieste, Italy, for his help with seismic technical issues. The seismic processing has been carried out with academic licenses from Emerson Paradigm for Echos software. The IHS-Kingdom project was supported through academic licenses released to OGS and BAS. Our heartfelt acknowledgment to the captain, crew, and technicians of the JOIDES Resolution who made IODP Expedition 374 possible. This research is a contribution to the SCAR program Past Antarctic Ice Sheet Dynamics. In addition, this work further contributes to the SCAR program Instabilities and Thresholds in Antarctica: The Antarctic contribution to global sea-level. We acknowledge the review of Karsten Gohl and an anonymous reviewer which greatly improved the initial version of this work.</t>
  </si>
  <si>
    <t>10.1130/B35814.1</t>
  </si>
  <si>
    <t>YD5GO</t>
  </si>
  <si>
    <t>WOS:000740440800005</t>
  </si>
  <si>
    <t>Urbar, J; Cicone, A; Spogli, L; Cesaroni, C; Alfonsi, L</t>
  </si>
  <si>
    <t>Urbar, Jaroslav; Cicone, Antonio; Spogli, Luca; Cesaroni, Claudio; Alfonsi, Lucilla</t>
  </si>
  <si>
    <t>Intrinsic Mode Cross Correlation: A Novel Technique to Identify Scale-Dependent Lags Between Two Signals and Its Application to Ionospheric Science</t>
  </si>
  <si>
    <t>Satellites; Correlation; Delays; Extraterrestrial measurements; Iterative methods; Filtering; Signal to noise ratio; I; 5; 4; l sciences; I; 5; 4; m signal processing; I; 5; 4; o waveform analysis</t>
  </si>
  <si>
    <t>SWARM</t>
  </si>
  <si>
    <t>In this work, we address the following question: can we use modern, cutting-edge techniques conceived for the analysis of nonlinear non-stationary signals to measure scale-wise lags? To this scope, we propose a novel technique, called intrinsic mode cross correlation (IMXC) method, which leverages on the decomposition of nonlinear non-stationary signals by the multivariate fast iterative filtering (MvFIF) technique and the computation of a scale-by-scale cross correlation. We evaluate this technique on artificial signals (whose ground truth is known) and plasma density data provided by the Langmuir probes onboard the Swarm satellites. We show that this technique allows indeed to reconstruct the lag dependence on the involved spatio/temporal scales for the artificial dataset (even in the presence of high levels of noise) and to estimate them in a real-life signal. This can pave the way to future uses of this technique in contexts in which the causation chain can be hidden in a complex, multiscale coupling of the investigated features.</t>
  </si>
  <si>
    <t>[Urbar, Jaroslav; Cicone, Antonio; Spogli, Luca; Cesaroni, Claudio; Alfonsi, Lucilla] Ist Nazl Geofis &amp; Vulcanol, I-00143 Rome, Italy; [Cicone, Antonio] Univ Aquila, DISIM, I-67100 Laquila, Italy; [Cicone, Antonio] Ist Nazl Astrofis INAF, Ist Astrofis &amp; Planetol Spaziali, I-00133 Rome, Italy; [Spogli, Luca] SpacEarth Technol, I-00143 Rome, Italy</t>
  </si>
  <si>
    <t>Istituto Nazionale Geofisica e Vulcanologia (INGV); University of L'Aquila; Istituto Nazionale Astrofisica (INAF)</t>
  </si>
  <si>
    <t>Urbar, J (corresponding author), Ist Nazl Geofis &amp; Vulcanol, I-00143 Rome, Italy.</t>
  </si>
  <si>
    <t>jaroslav.urbar@ingv.it; antonio.cicone@univaq.it; luca.spogli@ingv.it; claudio.cesaroni@ingv.it; lucilla.alfonsi@ingv.it</t>
  </si>
  <si>
    <t>Urbář, Jaroslav/Q-4912-2019; Urbar, Jaroslav/E-9164-2015; Cicone, Antonio/AAD-8298-2019</t>
  </si>
  <si>
    <t>Urbář, Jaroslav/0000-0002-3861-306X; Urbar, Jaroslav/0000-0002-3861-306X; Cicone, Antonio/0000-0002-8107-9624; Alfonsi, Lucilla/0000-0002-1806-9327; SPOGLI, Luca/0000-0003-2310-0306</t>
  </si>
  <si>
    <t>National Antarctic Research Program (PNRA) [PNRA 14/00133, PNRA 14/00110]; European Space Agency [4000130562/20/I-DT]</t>
  </si>
  <si>
    <t>National Antarctic Research Program (PNRA); European Space Agency(European Space Agency)</t>
  </si>
  <si>
    <t>The work of Jaroslav Urbar was supported by the Post-Doctoral Research Fellowship awarded by the National Antarctic Research Program (PNRA) under Grant PNRA 14/00133 and Grant PNRA 14/00110. The work of Antonio Cicone is a member of the Italian Gruppo Nazionale di Calcolo Scientifico (GNCS) of the Istituto Nazionale di Alta Matematica Francesco Severi (INdAM). This work is the Swarm Space Weather Variability of Ionospheric Plasma (Swarm VIP) Project, that has been funded by the European Space Agency, with the title Swarm+ 4DIonosphere under Contract 4000130562/20/I-DT. (Corresponding author: Jaroslav Urbar.)</t>
  </si>
  <si>
    <t>10.1109/LGRS.2021.3122108</t>
  </si>
  <si>
    <t>YG0ZJ</t>
  </si>
  <si>
    <t>WOS:000742225800089</t>
  </si>
  <si>
    <t>Xie, H; Tang, H; Jin, YM; Li, BB; Zhang, ZJ; Liu, SJ; Tong, XH</t>
  </si>
  <si>
    <t>Xie, Huan; Tang, Hong; Jin, Yanmin; Li, Binbin; Zhang, Zhijie; Liu, Shijie; Tong, Xiaohua</t>
  </si>
  <si>
    <t>An Improved Surface Slope Estimation Model Using Space-Borne Laser Altimetric Waveform Data Over the Antarctic Ice Sheet</t>
  </si>
  <si>
    <t>Laser modes; Measurement by laser beam; Surface waves; Laser beams; Surface topography; Surface emitting lasers; Data models; Laser altimetry; laser footprint; surface slope; waveform data</t>
  </si>
  <si>
    <t>ELEVATION</t>
  </si>
  <si>
    <t>A full-waveform laser altimeter measures the round-trip time-of-flight of the laser pulse to estimate the range between the altimeter and the target, while the vertical distribution information of the terrain within the laser footprint is recorded in the full-waveform data. However, the waveform width is broadened by the target surface slope and roughness. In previous studies, the relationship between the laser altimetry waveform width and the target surface slope and roughness has been modeled based on the assumption that the laser footprint on the Earth's surface is a circle. In this letter, based on the previous model, we propose an improved within-footprint slope estimation model by combining the shape and orientation information of the elliptic laser footprint, which further improves the accuracy of the model. The validation and accuracy assessment were performed using a high-resolution digital elevation model (DEM) of the Antarctic ice sheet. The results show that the slopes within the footprint calculated using the improved model are close to the slopes extracted from the DEM, with the mean value of the slope bias being 0.18 degrees, standard deviation (STD) being 1.36 degrees and root-mean-square error being 1.46 degrees.</t>
  </si>
  <si>
    <t>[Xie, Huan] Tongji Univ, Coll Surveying &amp; Geoinformat, Shanghai Key Lab Planetary Mapping &amp; Remote Sensi, Shanghai 200092, Peoples R China; [Xie, Huan] Tongji Univ, Shanghai Inst Intelligent Sci &amp; Technol, Shanghai 200092, Peoples R China; [Tang, Hong; Jin, Yanmin; Li, Binbin; Liu, Shijie; Tong, Xiaohua] Tongji Univ, Shanghai Key Lab Planetary Mapping &amp; Remote Sensi, Shanghai 200092, Peoples R China; [Tang, Hong; Jin, Yanmin; Li, Binbin; Liu, Shijie; Tong, Xiaohua] Tongji Univ, Coll Surveying &amp; Geoinformat, Shanghai 200092, Peoples R China; [Zhang, Zhijie] Henan Polytech Univ, Sch Surveying &amp; Land Informat Engn, Jiaozuo 454000, Henan, Peoples R China</t>
  </si>
  <si>
    <t>Tongji University; Tongji University; Tongji University; Tongji University; Henan Polytechnic University</t>
  </si>
  <si>
    <t>Xie, H (corresponding author), Tongji Univ, Coll Surveying &amp; Geoinformat, Shanghai Key Lab Planetary Mapping &amp; Remote Sensi, Shanghai 200092, Peoples R China.;Xie, H (corresponding author), Tongji Univ, Shanghai Inst Intelligent Sci &amp; Technol, Shanghai 200092, Peoples R China.</t>
  </si>
  <si>
    <t>huanxie@tongji.edu.cn; 1832021@tongji.edu.cn; jinyanmin@tongji.edu.cn; libinbin@tongji.edu.cn; zhangzj2017@hotmail.com; liusjtj@tongji.edu.cn; xhtong@tongji.edu.cn</t>
  </si>
  <si>
    <t>xie, huan/GQQ-4398-2022</t>
  </si>
  <si>
    <t>National Natural Science Foundation of China [41822106]; National High Resolution Ground Observation System of China [11-Y20A12-9001-17/18]; Shanghai Science and Technology Innovation Action Plan Program [18511102100]; Shanghai Dawn Scholar Program [18SG22]; State Key Laboratory of Disaster Reduction in Civil Engineering [SLDRCE19-B-35]</t>
  </si>
  <si>
    <t>National Natural Science Foundation of China(National Natural Science Foundation of China (NSFC)); National High Resolution Ground Observation System of China; Shanghai Science and Technology Innovation Action Plan Program; Shanghai Dawn Scholar Program; State Key Laboratory of Disaster Reduction in Civil Engineering</t>
  </si>
  <si>
    <t>This work was supported in part by the National Natural Science Foundation of China under Project 41822106, in part by the National High Resolution Ground Observation System of China under Project 11-Y20A12-9001-17/18, in part by the Shanghai Science and Technology Innovation Action Plan Program under Project 18511102100, in part by the Shanghai Dawn Scholar Program under Project 18SG22, and in part by the State Key Laboratory of Disaster Reduction in Civil Engineering under Project SLDRCE19-B-35.</t>
  </si>
  <si>
    <t>10.1109/LGRS.2021.3124224</t>
  </si>
  <si>
    <t>WOS:000742225800015</t>
  </si>
  <si>
    <t>Liu, Y; Zhou, CX; Zheng, L</t>
  </si>
  <si>
    <t>Liu, Yong; Zhou, Chunxia; Zheng, Lei</t>
  </si>
  <si>
    <t>Assessment and Validation of Snow Liquid Water Retrievals in the Antarctic Ice Sheet Using Categorical Triple Collocation</t>
  </si>
  <si>
    <t>Snow; Radar measurements; Atmospheric modeling; Microwave radiometry; Liquids; Ice; Antarctica; Active and passive microwave; categorical triple collocation; regional atmospheric circulation model (RACMO2); snow liquid water</t>
  </si>
  <si>
    <t>SURFACE MELT; CLIMATE; SHELF; DURATION; BALANCE; REGIONS; ASCAT; STATE</t>
  </si>
  <si>
    <t>Snow liquid water produced by melting can affect the surface mass and energy balance in the Antarctic Ice Sheet (AIS). It is essential for monitoring the occurrence of snow liquid water (OLW) within the snowpack. Spaceborne microwave sensors (i.e., scatterometer and radiometer) and climate models are primary tools for examining the OLW in the AIS. However, implementing the complementary nature of measurements and comparing their observations quantitatively are challenging owing to sparse snow wetness validation data. In this article, we use categorical triple collocation to rank the relative performance of OLW products. According to the first rankings, we construct an ensemble OLW product that is more consistent with the results detected by in situ station air temperature data than single data source products. Furthermore, we quantitatively estimate the proportion correct of wet snow (sensitivity) and the proportion correct of dry snow (specificity) of the measurements on the Antarctic Peninsula (AP). The scatterometer demonstrates high balanced accuracy (a binary-variable performance metric) on the AP (up to 0.899); however, this result does not signify that the scatterometer is the optimal observation in any period. The radiometer and climate model show high sensitivities in different melt stages but underestimate wet snow extent during certain periods. The quantitative estimation provides a new perspective for comparing various observations and detection methods.</t>
  </si>
  <si>
    <t>[Liu, Yong; Zhou, Chunxia] Wuhan Univ, Chinese Antarctic Ctr Surveying &amp; Mapping, Wuhan 430079, Peoples R China; [Zheng, Lei] Sun Yat Sen Univ, Sch Geospatial Engn &amp; Sci, Guangzhou 510275, Peoples R China; [Zheng, Lei] Southern Marine Sci &amp; Engn Guangdong Lab, Zhuhai 519082, Peoples R China</t>
  </si>
  <si>
    <t>Wuhan University; Sun Yat Sen University; Southern Marine Science &amp; Engineering Guangdong Laboratory</t>
  </si>
  <si>
    <t>yonglwhu@whu.edu.cn; zhoucx@whu.edu.cn; zhenglei0611@hotmail.com</t>
  </si>
  <si>
    <t>National Natural Science Foundation of China [41776200, 41941010, 42171133]; Funds for the Distinguished Young Scientists of Hubei Province (China) [2019CFA057]</t>
  </si>
  <si>
    <t>This work was supported in part by the National Natural Science Foundation of China under Grant 41776200, Grant 41941010, and Grant 42171133 and in part by the Funds for the Distinguished Young Scientists of Hubei Province (China) under Grant 2019CFA057.</t>
  </si>
  <si>
    <t>10.1109/JSTARS.2021.3137231</t>
  </si>
  <si>
    <t>YG0HO</t>
  </si>
  <si>
    <t>WOS:000742179500006</t>
  </si>
  <si>
    <t>Kiss, D; Chaturvedi, S</t>
  </si>
  <si>
    <t>Kiss, Daniel; Chaturvedi, Swadheet</t>
  </si>
  <si>
    <t>Dynamic Domains of Antarctica: A Design Model of Global Commons in Sync with Planetary Metabolism</t>
  </si>
  <si>
    <t>ARCHITECTURAL DESIGN</t>
  </si>
  <si>
    <t>Antarctica; global common; Dynamic Domains project; Antarctic Treaty System (ATS); AA Landscape Urbanism; Green New Deal; Polar Lab; UNLESS; Scottish Sea Farms; Antarctic krill; Aker BioMarine; Environmental Protocol of 1998; Convention for the Conservation of Antarctic Marine Living Resources (CCAMLR); aquaculture; Norway; China; South Korea; Chile; Ukraine; ecosystem-based management (EBM); Krill Yield Model; smaller-scale management units (SSMUs); Bransfield Strait West; Circumpolar Current; Phytoplankton; (Aqua MODIS); chlorophyll concentration</t>
  </si>
  <si>
    <t>KRILL</t>
  </si>
  <si>
    <t>As part of a recent MArch Landscape Urbanism thesis project at the Architectural Association (AA) in London, Daniel Kiss and Swadheet Chaturvedi investigated the food chains that impinge on Antarctica, which are deeply intertwined with the health of our planet. The authors zero in, for example, on the fishing of krill, illustrating its domains and positing dynamic protections for sustainable modes of harvesting.</t>
  </si>
  <si>
    <t>WILEY PERIODICALS, INC</t>
  </si>
  <si>
    <t>ONE MONTGOMERY ST, SUITE 1200, SAN FRANCISCO, CA 94104 USA</t>
  </si>
  <si>
    <t>0003-8504</t>
  </si>
  <si>
    <t>1554-2769</t>
  </si>
  <si>
    <t>ARCHIT DESIGN</t>
  </si>
  <si>
    <t>Archit. Des.</t>
  </si>
  <si>
    <t>10.1002/ad.2772</t>
  </si>
  <si>
    <t>Architecture</t>
  </si>
  <si>
    <t>Arts &amp; Humanities Citation Index (A&amp;HCI)</t>
  </si>
  <si>
    <t>YA1BT</t>
  </si>
  <si>
    <t>WOS:000738078200007</t>
  </si>
  <si>
    <t>Rosciano, NG; Pütz, K; Polito, MJ; Rey, AR</t>
  </si>
  <si>
    <t>Rosciano, Natalia G.; Puetz, Klemens; Polito, Michael J.; Rey, Andrea Raya</t>
  </si>
  <si>
    <t>Where's the best supermarket deal? Female Southern Rockhopper Penguins (Eudyptes chrysocome) show variable foraging areas during the guard stage at Isla de los Estados, Argentina</t>
  </si>
  <si>
    <t>CANADIAN JOURNAL OF ZOOLOGY</t>
  </si>
  <si>
    <t>diving behavior; Eudyptes chrysocome; Southern Rockhopper Penguin; Isla de los Estados; at-sea distribution; stable isotopes; tracking</t>
  </si>
  <si>
    <t>INTRA-SPECIFIC COMPETITION; STABLE-ISOTOPE SIGNATURES; MAGELLANIC PENGUINS; BEAGLE CHANNEL; SPHENISCUS-MAGELLANICUS; ZOOPLANKTON BIOMASS; SPRATTUS-FUEGENSIS; PATAGONIAN SHELF; STATEN-ISLAND; BEHAVIOR</t>
  </si>
  <si>
    <t>Understanding the spatial distribution of seabirds contributes to comprehending their ecological requirements and dispersion patterns. We studied the at-sea distribution of female Southern Rockhopper Penguins (Eudyptes chtysocome (J.R. Forster, 1781)) at Isla de los Estados colony during the early chick-rearing period. We used a clustering analysis approach to identify different groups according to the foraging trip (tracking and diving data from GPS and temperature and depth data loggers) and diet (delta N-15 composition on blood samples) characteristics. Foraging trips differed in duration, location, and dive depths explored. Females in clusters 1 and 3 traveled longer distances and in opposite directions (36.3 +/- 21.3 and 40.3 +/- 14.0 km, respectively). Females in cluster 2 fed closer to the colony (16.8 +/- 7.8 km). Dives occurred in pelagic habitats. Higher delta N-15 values suggested a greater proportion of fish (e.g., the Fuegian sprat, Sprattus fuegensis (Jenyns, 1842)) consumption in the northern foraging areas (cluster 1). The variability observed in the spatial distribution suggests flexibility in the foraging behavior of Southern Rockhopper Penguins and availability of adequate foraging areas within the colony range during the early chick-rearing period, both important features for Southern Rockhopper Penguin population. These results contribute to understanding the use of the Southern Ocean by marine mesopredators and top predators and to the marine spatial planning in the area.</t>
  </si>
  <si>
    <t>[Rosciano, Natalia G.; Rey, Andrea Raya] Consejo Nacl Invest Cient &amp; Tecn, Ctr Austral Invest Cient, Ecol &amp; Conservac Vida Silvestre, Bernardo A Houssay 200,V9410CAB, Ushuaia, Tierra Fuego, Argentina; [Puetz, Klemens] Antarctic Res Trust, Oste Hamme Kanal 10, D-27432 Bremervorde, Germany; [Polito, Michael J.] Louisiana State Univ, Dept Oceanog &amp; Coastal Sci, Baton Rouge, LA 70803 USA; [Rey, Andrea Raya] Univ Nacl Tierra Fuego, Inst Ciencias Polares Ambiente &amp; Recursos Nat, Ushuaia, Argentina; [Rey, Andrea Raya] Wildlife Conservat Soc, Amenabar 1595,Off 19,C1426AKC, Caba, Buenos Aires, Argentina; [Rosciano, Natalia G.] Univ Nacl Comahue, CONICET, Inst Invest Biodiversidad &amp; Medio Ambiente, INIBIOMA CONICET UNCo, Quintral 1250, RA-8400 San Carlos De Bariloche, Rio Negro, Argentina</t>
  </si>
  <si>
    <t>Consejo Nacional de Investigaciones Cientificas y Tecnicas (CONICET); Louisiana State University System; Louisiana State University; Consejo Nacional de Investigaciones Cientificas y Tecnicas (CONICET); Universidad Nacional del Comahue</t>
  </si>
  <si>
    <t>Rosciano, NG (corresponding author), Consejo Nacl Invest Cient &amp; Tecn, Ctr Austral Invest Cient, Ecol &amp; Conservac Vida Silvestre, Bernardo A Houssay 200,V9410CAB, Ushuaia, Tierra Fuego, Argentina.;Rosciano, NG (corresponding author), Univ Nacl Comahue, CONICET, Inst Invest Biodiversidad &amp; Medio Ambiente, INIBIOMA CONICET UNCo, Quintral 1250, RA-8400 San Carlos De Bariloche, Rio Negro, Argentina.</t>
  </si>
  <si>
    <t>natirosciano@yahoo.com</t>
  </si>
  <si>
    <t>Polito, Michael/G-9118-2012; Rosciano, Natalia/Z-5302-2019</t>
  </si>
  <si>
    <t>Polito, Michael/0000-0001-8639-4431; Rosciano, Natalia/0000-0002-6341-3086</t>
  </si>
  <si>
    <t>Agencia Nacional de Promocion Cientifica y Tecnologica [1520, 1832]; Wildlife Conservation Society; Consejo Nacional de Investigaciones Cientificas y Tecnicas; Antarctic Research Trust</t>
  </si>
  <si>
    <t>Agencia Nacional de Promocion Cientifica y Tecnologica(ANPCyTSpanish Government); Wildlife Conservation Society; Consejo Nacional de Investigaciones Cientificas y Tecnicas(Consejo Nacional de Investigaciones Cientificas y Tecnicas (CONICET)); Antarctic Research Trust</t>
  </si>
  <si>
    <t>This study was financially supported by the Agencia Nacional de Promocion Cientifica y Tecnologica (PICT 2010 No. 1520, PICT 2012 No. 1832) , Wildlife Conservation Society, Consejo Nacional de Investigaciones Cientificas y Tecnicas (Rosciano Ph.D. fellow-ship) , and the Antarctic Research Trust.</t>
  </si>
  <si>
    <t>CANADIAN SCIENCE PUBLISHING</t>
  </si>
  <si>
    <t>OTTAWA</t>
  </si>
  <si>
    <t>65 AURIGA DR, SUITE 203, OTTAWA, ON K2E 7W6, CANADA</t>
  </si>
  <si>
    <t>0008-4301</t>
  </si>
  <si>
    <t>1480-3283</t>
  </si>
  <si>
    <t>CAN J ZOOL</t>
  </si>
  <si>
    <t>Can. J. Zool.</t>
  </si>
  <si>
    <t>10.1139/cjz-2021-0020</t>
  </si>
  <si>
    <t>YD3ZE</t>
  </si>
  <si>
    <t>WOS:000740353800006</t>
  </si>
  <si>
    <t>Heidler, K; Mou, LC; Baumhoer, C; Dietz, A; Zhu, XX</t>
  </si>
  <si>
    <t>Heidler, Konrad; Mou, Lichao; Baumhoer, Celia; Dietz, Andreas; Zhu, Xiao Xiang</t>
  </si>
  <si>
    <t>HED-UNet: Combined Segmentation and Edge Detection for Monitoring the Antarctic Coastline</t>
  </si>
  <si>
    <t>Antarctica; edge detection; glacier front; semantic segmentation</t>
  </si>
  <si>
    <t>LAND; BATHYMETRY; DRIVEN; IMAGES</t>
  </si>
  <si>
    <t>Deep learning-based coastline detection algorithms have begun to outshine traditional statistical methods in recent years. However, they are usually trained only as single-purpose models to either segment land and water or delineate the coastline. In contrast to this, a human annotator will usually keep a mental map of both segmentation and delineation when performing manual coastline detection. To take into account this task duality, we, therefore, devise a new model to unite these two approaches in a deep learning model. By taking inspiration from the main building blocks of a semantic segmentation framework (UNet) and an edge detection framework (HED), both tasks are combined in a natural way. Training is made efficient by employing deep supervision on side predictions at multiple resolutions. Finally, a hierarchical attention mechanism is introduced to adaptively merge these multiscale predictions into the final model output. The advantages of this approach over other traditional and deep learning-based methods for coastline detection are demonstrated on a data set of Sentinel-1 imagery covering parts of the Antarctic coast, where coastline detection is notoriously difficult. An implementation of our method is available at https://github.com/khdlr/HED-UNet.</t>
  </si>
  <si>
    <t>[Heidler, Konrad; Mou, Lichao; Zhu, Xiao Xiang] German Aerosp Ctr DLR, Remote Sensing Technol Inst IMF, D-82234 Wessling, Germany; [Heidler, Konrad; Mou, Lichao; Zhu, Xiao Xiang] Tech Univ Munich TUM, Data Sci Earth Observat SiPEO, D-80333 Munich, Germany; [Baumhoer, Celia; Dietz, Andreas] German Aerosp Ctr DLR, German Remote Sensing Data Ctr DFD, D-82234 Wessling, Germany</t>
  </si>
  <si>
    <t>Helmholtz Association; German Aerospace Centre (DLR); Technical University of Munich; Helmholtz Association; German Aerospace Centre (DLR)</t>
  </si>
  <si>
    <t>Zhu, XX (corresponding author), German Aerosp Ctr DLR, Remote Sensing Technol Inst IMF, D-82234 Wessling, Germany.</t>
  </si>
  <si>
    <t>konrad.heidler@dlr.de; lichao.mou@dlr.de; celia.baumhoer@dlr.de; andreas.dietz@dlr.de; xiaoxiang.zhu@dlr.de</t>
  </si>
  <si>
    <t>Zhu, Xiao Xiang/ABE-7138-2020; Heidler, Konrad/AAM-1779-2021; Baumhoer, Celia/ABA-6148-2021</t>
  </si>
  <si>
    <t>Zhu, Xiao Xiang/0000-0001-5530-3613; Heidler, Konrad/0000-0001-8226-0727; Baumhoer, Celia/0000-0003-1339-2288; Dietz, Andreas/0000-0002-5733-7136</t>
  </si>
  <si>
    <t>Helmholtz Association through the Helmholtz Information and Data Science Incubator project Artificial Intelligence for Cold Regions (AI-CORE); Helmholtz Association's Initiative and Networking Fund through Helmholtz AI [ZT-I-PF-5-01]; German Federal Ministry of Education and Research (BMBF) [01DD20001]</t>
  </si>
  <si>
    <t>Helmholtz Association through the Helmholtz Information and Data Science Incubator project Artificial Intelligence for Cold Regions (AI-CORE); Helmholtz Association's Initiative and Networking Fund through Helmholtz AI; German Federal Ministry of Education and Research (BMBF)(Federal Ministry of Education &amp; Research (BMBF))</t>
  </si>
  <si>
    <t>This work was supported in part by the Helmholtz Association through the Helmholtz Information and Data Science Incubator project Artificial Intelligence for Cold Regions (AI-CORE), in part by the Helmholtz Association's Initiative and Networking Fund through Helmholtz AI under Grant ZT-I-PF-5-01-Local Unit Munich Unit @Aeronautics, Space and Transport (MASTr), and in part by the German Federal Ministry of Education and Research (BMBF) in the framework of the International Future AI Lab AI4EO-Artificial Intelligence for Earth Observation: Reasoning, Uncertainties, Ethics and Beyond under Grant 01DD20001.</t>
  </si>
  <si>
    <t>10.1109/TGRS.2021.3064606</t>
  </si>
  <si>
    <t>XP1FR</t>
  </si>
  <si>
    <t>WOS:000730619400008</t>
  </si>
  <si>
    <t>Zhao, X; Chen, Y; Kern, S; Qu, M; Ji, Q; Fan, P; Liu, Y</t>
  </si>
  <si>
    <t>Zhao, Xi; Chen, Ying; Kern, Stefan; Qu, Meng; Ji, Qing; Fan, Pei; Liu, Yue</t>
  </si>
  <si>
    <t>Sea Ice Concentration Derived From FY-3D MWRI and Its Accuracy Assessment</t>
  </si>
  <si>
    <t>Silicon carbide; Sea ice; Microwave radiometry; Sensors; Microwave integrated circuits; Microwave imaging; Microwave FET integrated circuits; Accuracy assessment; Arctic Radiation and Turbulence Interaction Study Sea Ice (ASI) dynamic tie points; Microwave Radiation Imager (MWRI) brightness temperature (TB) data; sea ice concentration (SIC)</t>
  </si>
  <si>
    <t>LONG-TERM; SATELLITE; ALGORITHMS; CLIMATE; REDUCTION; RETRIEVAL; RECORD</t>
  </si>
  <si>
    <t>The Microwave Radiation Imager (MWRI) sensors aboard on the Chinese FengYun-3 (FY-3) series satellites have a great potential for long-term study of sea ice distribution. This study corrected the newly released FY-3D MWRI brightness temperature (TB) data with the Advanced Microwave Scanning Radiometer 2 (AMSR2) TB data and used an Arctic Radiation and Turbulence Interaction Study Sea Ice (ASI) dynamic tie points algorithm to derive the sea ice concentration (SIC) from these corrected MWRI TB data. We assessed the accuracy of our MWRI-ASI SIC product by comparing with the published SIC products at different spatial resolution and by validating with the Moderate Resolution Imaging Spectroradiometer (MODIS) and Sentinel-1 data. We find that MWRI-ASI SIC has the smallest difference with AMSR2-ASI SIC with the mean absolute difference (MAD) of 6.8x0025;, and the differences mainly occur at the marginal ice zone regions. The MWRI-ASI displays the highest difference with Sea Ice Index and OSI-430-b at 25 km with the mean MAD of 11.8x0025;. MADs between MWRI-ASI SIC and SIC products from other sensors are below 10x0025; except for late June to early October, when those are higher. Compared with the MODIS SIC, MWRI-ASI SIC outperforms other SIC products at the same resolution, with the mean bias of x2212;2.1x0025; and mean RMSD of 13.5x0025;. Although MWRI-ASI tends to under-estimate high SIC, it can capture details of large leads, ice edge, and fragmented ice area. Our MWRI-ASI SIC product at 12.5 km is promising to integrate into long-term sea ice records.</t>
  </si>
  <si>
    <t>[Zhao, Xi; Chen, Ying; Qu, Meng; Ji, Qing; Fan, Pei; Liu, Yue] Wuhan Univ, Chinese Antarctic Ctr Surveying &amp; Mapping, Wuhan 430079, Peoples R China; [Kern, Stefan] Univ Hamburg, Integrated Climate Data Ctr ICDC, Ctr Earth Syst Res &amp; Sustainabil CEN, D-20144 Hamburg, Germany</t>
  </si>
  <si>
    <t>Wuhan University; University of Hamburg</t>
  </si>
  <si>
    <t>Zhao, X; Ji, Q (corresponding author), Wuhan Univ, Chinese Antarctic Ctr Surveying &amp; Mapping, Wuhan 430079, Peoples R China.</t>
  </si>
  <si>
    <t>xi.zhao@whu.edu.cn; jiqing@whu.edu.cn</t>
  </si>
  <si>
    <t>National Key Research and Development Program of China [2018YFC1407100]; National Natural Science Foundation of China [41876223, 42076235]</t>
  </si>
  <si>
    <t>This work was supported in part by the National Key Research and Development Program of China under Grant 2018YFC1407100, and in part by the National Natural Science Foundation of China under Grant 41876223 and Grant 42076235.</t>
  </si>
  <si>
    <t>10.1109/TGRS.2021.3063272</t>
  </si>
  <si>
    <t>WOS:000730619400006</t>
  </si>
  <si>
    <t>Tewari, K; Mishra, SK; Salunke, P; Dewan, A</t>
  </si>
  <si>
    <t>Tewari, Kamal; Mishra, Saroj K.; Salunke, Popat; Dewan, Anupam</t>
  </si>
  <si>
    <t>Future projections of temperature and precipitation for Antarctica</t>
  </si>
  <si>
    <t>CMIP6; CMIP5; NEX-GDDP; Antarctic precipitation; general circulation models</t>
  </si>
  <si>
    <t>CLIMATE; ERA5; CMIP5</t>
  </si>
  <si>
    <t>Antarctica directly impacts the lives of more than half of the world's population living in the coastal regions. Therefore it is highly desirable to project its climate for the future. But it is a region where the climate models have large inter-modal variability and hence it raises questions about the robustness of the projections available. Therefore, we have examined 87 global models from three modelling consortia (Coupled Model Intercomparison Project Phase 5 (CMIP5), Coupled Model Intercomparison Project Phase 6 (CMIP6), and NASA Earth Exchange Global Daily Downscaled Projections (NEX-GDDP)), characterized their fidelity, selected a set of ten models (MM10) performing satisfactorily, and used them to make the future projection of precipitation and temperature, and assessed the contribution of precipitation towards sea-levels. For the historical period, the multi-model mean (MMM) of CMIP5 performed slightly better than CMIP6 and was worse for NEX-GDDP, with negligible surface temperature bias of approximately 0.5 degrees C and a 17.5% and 19% biases in the mean precipitation noted in both CMIP consortia. These biases considerably reduced in MM10, with 21st century projections showing surface warming of approximately 5.1 degrees C-5.3 degrees C and precipitation increase approximately 44%-50% against ERA-5 under high-emission scenarios in both CMIP consortia. This projected precipitation increase is much less than that projected using MMM in previous studies with almost the same level of warming, implying approximately 40.0 mm yr(-1) contribution of precipitation towards sea-level mitigation against approximately 65.0 mm yr(-1).</t>
  </si>
  <si>
    <t>[Tewari, Kamal; Dewan, Anupam] IIT Delhi, Dept Appl Mech, New Delhi, India; [Mishra, Saroj K.; Salunke, Popat] IIT Delhi, Ctr Atmospher Sci, New Delhi, India</t>
  </si>
  <si>
    <t>Indian Institute of Technology System (IIT System); Indian Institute of Technology (IIT) - Delhi; Indian Institute of Technology System (IIT System); Indian Institute of Technology (IIT) - Delhi</t>
  </si>
  <si>
    <t>Dewan, A (corresponding author), IIT Delhi, Dept Appl Mech, New Delhi, India.</t>
  </si>
  <si>
    <t>adewan@am.iitd.ac.in</t>
  </si>
  <si>
    <t>Tewari, Kamal/AAX-5966-2021; Mishra, Shravan/AAD-7569-2022; Dewan, Anupam/A-8404-2013</t>
  </si>
  <si>
    <t>Mishra, Shravan/0000-0001-8354-1803; Dewan, Anupam/0000-0002-1561-713X; Tewari, Kamal/0000-0002-9147-5276</t>
  </si>
  <si>
    <t>DST Centre of Excellence in Climate Modeling at IIT Delhi; U.S. Department of Energy's Program for Climate Model Diagnosis and Intercomparison</t>
  </si>
  <si>
    <t>DST Centre of Excellence in Climate Modeling at IIT Delhi; U.S. Department of Energy's Program for Climate Model Diagnosis and Intercomparison(United States Department of Energy (DOE))</t>
  </si>
  <si>
    <t>The research was partially supported by the DST Centre of Excellence in Climate Modeling at IIT Delhi. We acknowledge the World Climate Research Program's Working Group on Coupled Modelling, which is responsible for CMIP, and we thank the climate modeling groups (listed in table 1 of this paper) for producing and making available their model output. For CMIP, the U.S. Department of Energy's Program for Climate Model Diagnosis and Intercomparison provides coordinating support and led the development of software infrastructure in partnership with the Global Organization for Earth System Science Portals. The authors also acknowledge IIT Delhi HPC facility for providing the computational resources.</t>
  </si>
  <si>
    <t>10.1088/1748-9326/ac43e2</t>
  </si>
  <si>
    <t>YB5JA</t>
  </si>
  <si>
    <t>WOS:000739047300001</t>
  </si>
  <si>
    <t>Reynolds, SD; Norman, BM; Franklin, CE; Bach, SS; Comezzi, FG; Diamant, S; Jaidah, MY; Pierce, SJ; Richardson, AJ; Robinson, DP; Rohner, CA; Dwyer, RG</t>
  </si>
  <si>
    <t>Reynolds, Samantha D.; Norman, Bradley M.; Franklin, Craig E.; Bach, Steffen S.; Comezzi, Francesco G.; Diamant, Stella; Jaidah, Mohammed Y.; Pierce, Simon J.; Richardson, Anthony J.; Robinson, David P.; Rohner, Christoph A.; Dwyer, Ross G.</t>
  </si>
  <si>
    <t>Regional variation in anthropogenic threats to Indian Ocean whale sharks</t>
  </si>
  <si>
    <t>Animal movements; Collaboration; Human impacts; Intraspecific variation; Marine megafauna; Transboundary management</t>
  </si>
  <si>
    <t>RHINCODON-TYPUS; GENETIC-STRUCTURE; VESSEL STRIKES; POPULATION; CONSERVATION; MANAGEMENT; INSIGHTS; PATTERNS; JUVENILE; ECOLOGY</t>
  </si>
  <si>
    <t>Conservation and management of mobile marine species requires an understanding of how movement behaviour and space-use varies among individuals and populations, and how intra-specific differences influence exposure to anthropogenic threats. Because of their long-distance movements, broad distribution and long lifespan, whale sharks (Rhincodon typus) can encounter multiple, cumulative threats. However, we lack knowledge on how sharks at different aggregations use their habitats, and how geographic variation in anthropogenic threats influences their vulnerability to population decline. Using movement data from 111 deployments of satellite-linked tags, we examined how whale sharks at five aggregations in the Indian Ocean varied in their exposure to six anthropogenic impacts known to threaten this endangered species. Tagged sharks were detected in territorial waters of 24 countries, and international waters, with individuals travelling up to 11,401 km. Despite long-distance movements, tagged sharks from each aggregation occupied mutually exclusive areas of the Indian Ocean, where they encountered different levels of anthropogenic impacts. Sharks in the Arabian Gulf had the greatest proximity to oil and gas platforms, and encountered the warmest sea surface temperatures and highest levels of shipping, pollution and ocean acidification, while those from the Maldives and Mozambique aggregations had the highest exposure to fishing and human population impacts respectively. Our findings highlight the need for aggregation-specific conservation efforts to mitigate regional threats to whale sharks. Multinational coordination is essential for implementing these efforts beyond national jurisdictions and tackling issues of global conservation concern, including the consequences of climate change and an expanding human population.</t>
  </si>
  <si>
    <t>[Reynolds, Samantha D.; Franklin, Craig E.] Univ Queensland, Sch Biol Sci, Goddard Bldg, St Lucia, Qld 4072, Australia; [Reynolds, Samantha D.; Norman, Bradley M.] ECOCEAN Inc, Serpentine, WA, Australia; [Norman, Bradley M.] Murdoch Univ, Harry Butler Inst, Murdoch, WA, Australia; [Bach, Steffen S.] Ramboll, Copenhagen, Denmark; [Comezzi, Francesco G.] Univ Tasmania, Inst Marine &amp; Antarctic Studies, Launceston, Tas, Australia; [Diamant, Stella] Madagascar Whale Shark Project, Nosy Be, Madagascar; [Diamant, Stella; Pierce, Simon J.; Rohner, Christoph A.] Marine Megafauna Fdn, Truckee, CA USA; [Jaidah, Mohammed Y.] Qatar Minist Municipal &amp; Environm, Doha, Qatar; [Richardson, Anthony J.] Commonwealth Sci &amp; Ind Res Org CSIRO Oceans &amp; Atm, Queensland Biosci Precinct, St Lucia, Qld, Australia; [Richardson, Anthony J.] Univ Queensland, Sch Math &amp; Phys, St Lucia, Qld, Australia; [Robinson, David P.] Sund Res, Byron Bay, NSW, Australia; [Dwyer, Ross G.] Univ Sunshine Coast, Global Change Ecol Res Grp, Maroochydore, Qld, Australia</t>
  </si>
  <si>
    <t>University of Queensland; Murdoch University; University of Tasmania; Commonwealth Scientific &amp; Industrial Research Organisation (CSIRO); University of Queensland; University of the Sunshine Coast</t>
  </si>
  <si>
    <t>Reynolds, SD (corresponding author), Univ Queensland, Sch Biol Sci, Goddard Bldg, St Lucia, Qld 4072, Australia.</t>
  </si>
  <si>
    <t>samantha.reynolds1@uq.net.au</t>
  </si>
  <si>
    <t>Franklin, Craig/ABF-5030-2020; Pierce, Simon J./A-7621-2010; Dwyer, Ross/IQR-5509-2023; Rohner, Chris/AAJ-1661-2020</t>
  </si>
  <si>
    <t>Franklin, Craig/0000-0003-1315-3797; Pierce, Simon J./0000-0002-9375-5175; Rohner, Chris/0000-0001-8760-8972; Reynolds, Samantha/0000-0003-4094-8018; Dwyer, Ross/0000-0003-1136-5489</t>
  </si>
  <si>
    <t>Thyne Reid Foundation; The Holsworth Wildlife Research Endowment from The Ecological Society of Australia; Australian Government; University of Queensland Research Training Program Scholarship</t>
  </si>
  <si>
    <t>Thyne Reid Foundation; The Holsworth Wildlife Research Endowment from The Ecological Society of Australia; Australian Government(Australian Government); University of Queensland Research Training Program Scholarship</t>
  </si>
  <si>
    <t>Data for this study have been provided by ECOCEAN Inc., Marine Megafauna Foundation, Madagascar Whale Shark Project and Qatar Whale Shark Research Project. We thank the many supporters, donors and volunteers of ECOCEAN Inc., without whom the long-term tagging programme could not have been conducted. We also thank our sponsors S. Wall, Jock Clough Marine Foundation, RAC Parks and Resorts, Mantarays Ningaloo Beach Resort, MG Kailis Group, Patagonia Australia, and Australian schools that sponsored tags in 2015-2017. We are grateful to the Western Australian Department of Biodiversity Conservation and Attractions (DBCA) (formerly Department of Envi-ronment and Conservation (DEC) and Department of Parks and Wildlife (DPaW) ) and all involved in the whale shark ecotourism industry at Ningaloo Marine Park for their ongoing support of our work. We also acknowledge the staff of COMO Maalifushi and Ocean Paradise, Maldives for their assistance with fieldwork, the Maldivian Ministry of Fisheries and Agriculture for their support and the tuna fishers of Thaa Atoll for their co-operation. We thank Hamish Taggart and Niyaz Mohamed for organisational and logistical support. SR was supported by Thyne Reid Foundation, The Holsworth Wildlife Research Endowment from The Ecological Society of Australia and an Australian Government and The University of Queensland Research Training Program Scholarship. We thank all Marine Megafauna Foundation staff and volunteers, and Istituto de Investigacao Pesqueira, Direccao Provincial de Mar Aguas Interiores e Pescas, ADMINISTRACAO MARITIMA, ADNAP, and REPMAR, for their support for research conducted in Inhambane Province, Mozambique. We also thank Madagascar Whale Shark Project local partners and collaborators, the Mada Megafauna team for practical and logistical support, and Centre National de Recherches Oceanographiques (CNRO) Madagascar for their help with research permits. We gratefully acknowledge the support of the Shark Foundation, Aqua-Firma, Waterlust, the PADI Foundation, Idea Wild and The Rufford Foundation. We thank everyone involved in the Qatar Whale Shark Research Project, as well as the staff at the Qatar Ministry of Municipality and Environment (QMME) , Maersk Oil Research and Technology Centre (MORTC) , the QMME Al Shamal Department, North Oil Company and, the Qatar Coast Guard for providing the platform to carry out field research in Qatar. Casey OHara and Melanie Frazier provided invaluable assistance with the human impact datasets and we gratefully used R functions provided by David Schoeman. We acknowledge the Traditional Owners and their custodianship of the sea, sky and land upon which we work.</t>
  </si>
  <si>
    <t>e01961</t>
  </si>
  <si>
    <t>10.1016/j.gecco.2021.e01961</t>
  </si>
  <si>
    <t>XV4AZ</t>
  </si>
  <si>
    <t>WOS:000734887900007</t>
  </si>
  <si>
    <t>Bracegirdle, TJ; Lu, H; Robson, J</t>
  </si>
  <si>
    <t>Bracegirdle, Thomas J.; Lu, Hua; Robson, Jon</t>
  </si>
  <si>
    <t>Early-winter North Atlantic low-level jet latitude biases in climate models: implications for simulated regional atmosphere-ocean linkages</t>
  </si>
  <si>
    <t>North Atlantic; CMIP6; westerly jet; sub-polar gyre; atmosphere-ocean coupling</t>
  </si>
  <si>
    <t>SEA-SURFACE TEMPERATURE; ANNUAL CYCLE; VARIABILITY; ICE; STREAM; CMIP5</t>
  </si>
  <si>
    <t>Climate model biases in the North Atlantic (NA) low-level tropospheric westerly jet are a major impediment to reliably representing variability of the NA climate system and its wider influence, in particular over western Europe. A major aspect of the biases is the occurrence of a prominent early-winter equatorward jet bias in Coupled Model Inter-comparison Project Phase 5 (CMIP5) models that has implications for NA atmosphere-ocean coupling. Here we assess whether this bias is reduced in the new CMIP6 models and assess implications for model representation of NA atmosphere-ocean linkages, in particular over the sub-polar gyre (SPG) region. Historical simulations from the CMIP5 and CMIP6 model datasets were compared against reanalysis data over the period 1861-2005. The results show that the early-winter equatorward bias remains present in CMIP6 models, although with an approximately one-fifth reduction compared to CMIP5. The equatorward bias is mainly associated with a weaker-than-observed frequency of poleward excursions of the jet to its northern position. A potential explanation is provided through the identification of a strong link between NA jet latitude bias and systematically too-weak model-simulated low-level baroclinicity over eastern North America in early-winter. CMIP models with larger equatorward jet biases exhibit weaker correlations between temporal variability in speed of the jet and sea surface conditions (sea surface temperatures and turbulent heat fluxes) over the SPG. The results imply that the early-winter equatorward bias in jet latitude in CMIP models could partially explain other known biases, such as the weaker-than-observed seasonal-decadal predictability of the NA climate system.</t>
  </si>
  <si>
    <t>[Bracegirdle, Thomas J.; Lu, Hua] British Antarctic Survey, Cambridge, England; [Robson, Jon] Univ Reading, Dept Meteorol, Natl Ctr Atmospher Sci, Reading, Berks, England</t>
  </si>
  <si>
    <t>UK Research &amp; Innovation (UKRI); Natural Environment Research Council (NERC); NERC British Antarctic Survey; UK Research &amp; Innovation (UKRI); Natural Environment Research Council (NERC); NERC National Centre for Atmospheric Science; University of Reading</t>
  </si>
  <si>
    <t>Bracegirdle, TJ (corresponding author), British Antarctic Survey, Cambridge, England.</t>
  </si>
  <si>
    <t>tjbra@bas.ac.uk</t>
  </si>
  <si>
    <t>Robson, Jon/A-7677-2012; Lu, Hua/GXA-0276-2022</t>
  </si>
  <si>
    <t>Robson, Jon/0000-0002-3467-018X; Lu, Hua/0000-0001-9485-5082; Bracegirdle, Thomas/0000-0002-8868-4739</t>
  </si>
  <si>
    <t>UK Natural Environment Research Council (NERC) ACSIS project [NE/N018028/1, NE/N018001/1]; NERC British Antarctic Survey research programme Polar Science for Planet Earth; NERC via the WISHBONE project [NE/T013516/1]; National Centre for Atmospheric Science; CMIP5; CMIP6; ESGF; U.S. Department of Energy, Office of Science Biological and Environmental Research (BER); National Oceanic and Atmospheric Administration Climate Program Office; NOAA Physical Sciences Laboratory; NERC [NE/N018001/1, NE/T013516/1, NE/V013130/1, bas0100032] Funding Source: UKRI</t>
  </si>
  <si>
    <t>UK Natural Environment Research Council (NERC) ACSIS project(UK Research &amp; Innovation (UKRI)Natural Environment Research Council (NERC)); NERC British Antarctic Survey research programme Polar Science for Planet Earth; NERC via the WISHBONE project; National Centre for Atmospheric Science; CMIP5; CMIP6; ESGF; U.S. Department of Energy, Office of Science Biological and Environmental Research (BER)(United States Department of Energy (DOE)); National Oceanic and Atmospheric Administration Climate Program Office(National Oceanic Atmospheric Admin (NOAA) - USA); NOAA Physical Sciences Laboratory(National Oceanic Atmospheric Admin (NOAA) - USA); NERC(UK Research &amp; Innovation (UKRI)Natural Environment Research Council (NERC))</t>
  </si>
  <si>
    <t>All authors were supported as part of the UK Natural Environment Research Council (NERC) ACSIS project (NE/N018028/1 and NE/N018001/1). TJB and HL were additionally supported through the NERC British Antarctic Survey research programme Polar Science for Planet Earth. JR was additionally supported by NERC via the WISHBONE project (NE/T013516/1) and the National Centre for Atmospheric Science. Three anonymous reviewers are thanked for their excellent suggestions which resulted in many improvements to the manuscript. We acknowledge the World Climate Research Programme, which, through its Working Group on Coupled Modelling, coordinated and promoted CMIP5 and CMIP6. We thank the climate modelling groups for producing and making available their model output, the Earth System Grid Federation (ESGF) for archiving the data and providing access, and the multiple funding agencies who support CMIP5, CMIP6 and ESGF. Support for the Twentieth Century Reanalysis Project version 3 dataset (20CRv3) is provided by the U.S. Department of Energy, Office of Science Biological and Environmental Research (BER), by the National Oceanic and Atmospheric Administration Climate Program Office, and by the NOAA Physical Sciences Laboratory. The Centre for Environmental Data Analysis (CEDA) and JASMIN provided the platform for much of the data analysis conducted.</t>
  </si>
  <si>
    <t>10.1088/1748-9326/ac417f</t>
  </si>
  <si>
    <t>XX4YH</t>
  </si>
  <si>
    <t>WOS:000736302600001</t>
  </si>
  <si>
    <t>Mclencléz-Martínez, A; Nicolás-López, R; Valcliviezo-Mijangos, OC</t>
  </si>
  <si>
    <t>Mclenclez-Martinez, Aime; Nicolas-Lopez, Ruben; Valcliviezo-Mijangos, Oscar C.</t>
  </si>
  <si>
    <t>MINERAL LITHOTYPE IDENTIFICATION ON THE ANDRILL AND-2A DRILLCORE, ANTARCTICA BY USING TERNARY MINERAL ROCK PHYSICS TEMPLATES BUILT FROM A SELF-CONSISTENT APPROACH</t>
  </si>
  <si>
    <t>GEOFISICA INTERNACIONAL</t>
  </si>
  <si>
    <t>rock physics templates; self-consistent method; Antarctic sediments; AND-2A drillcore and Gardner's relationship</t>
  </si>
  <si>
    <t>VICTORIA LAND BASIN; MCMURDO SOUND</t>
  </si>
  <si>
    <t>In this work, wet bulk density rho(WED) and compressional wave velocity V-p core log data obtained along the AND-2A drillcore are plotted on density-velocity ternary mineral Rock Physics Templates (RPTs) built from a Self-Consistent (SC) micromechanics modelling with the purpose to determine data trends that allow us to assist in identifying mineral lithotypes and lithological features throughout the 1138 m length of the drillcore. The elastic properties of the three dominant minerals present in the drillcore (mixed clays, quartz, and calcite) and the pore-filling fluid (brine) were used as input data for the SC model. The interpreted lithology is then compared to that obtained from the analysis of the AND-2A drillcore rho(WED )and V-p log data using Gardner type density-velocity cross plots. Results from both the SC and Gardner methods are in good agreement with the main Hthologies present in the AND-2A drillcore already reported in the scientific literature. Our findings also agree well when compared to the lithological description of six selected rock samples obtained at different depths on the AND-2A drillcore. These results suggest that the proposed SC approach could be helpful to assist to identify lithology in scientific drill holes where downhole elastic properties may exist over intervals where portions of the drillcore were not recovered. Furthermore, even when elastic property data sets come from measurements on cores, the SC approach is likewise useful because, from visual analysis alone, lithology can sometimes be difficult to determine, and additional information from the analysis of the elastic properties may provide more insight.</t>
  </si>
  <si>
    <t>[Mclenclez-Martinez, Aime; Nicolas-Lopez, Ruben; Valcliviezo-Mijangos, Oscar C.] Inst Mexican Petr, Eje Cent Lazaro Cardenas Norte 152, Mexico City 07730, DF, Mexico; [Nicolas-Lopez, Ruben] Univ Nacl Autonoma Mexico, Div Estudios Posgrad, Fac Ingn, Ciudad Univ, Mexico City 04510, DF, Mexico; [Valcliviezo-Mijangos, Oscar C.] Inst Politecn Nacl, ESIA Ticoman, Calz Ticoman 600, Mexico City 07340, DF, Mexico</t>
  </si>
  <si>
    <t>Universidad Nacional Autonoma de Mexico; Instituto Politecnico Nacional - Mexico</t>
  </si>
  <si>
    <t>Valcliviezo-Mijangos, OC (corresponding author), Inst Mexican Petr, Eje Cent Lazaro Cardenas Norte 152, Mexico City 07730, DF, Mexico.;Valcliviezo-Mijangos, OC (corresponding author), Inst Politecn Nacl, ESIA Ticoman, Calz Ticoman 600, Mexico City 07340, DF, Mexico.</t>
  </si>
  <si>
    <t>jaimem@imp.mx; rnlopez@imp.mx; ovaldivi@imp.mx</t>
  </si>
  <si>
    <t>Melendez-Martinez, Jaime/O-5302-2017</t>
  </si>
  <si>
    <t>Melendez-Martinez, Jaime/0000-0002-5845-4289; Nicolas-Lopez, Ruben/0000-0002-2875-431X</t>
  </si>
  <si>
    <t>IMP (Instituto Mexicano del Petroleo) [H.62001]; Fondo Sectorial Conacyt-Sener-Hidrocarburos, Mexico [280097, Y.61067]</t>
  </si>
  <si>
    <t>IMP (Instituto Mexicano del Petroleo); Fondo Sectorial Conacyt-Sener-Hidrocarburos, Mexico</t>
  </si>
  <si>
    <t>The authors thank IMP (Instituto Mexicano del Petroleo) for supporting this research. Projects: H.62001 'Modulos del IWP (R) para presion de poro en terciario, carbonatos y simulador 3D'. This investigation was also funding by Fondo Sectorial Conacyt-Sener-Hidrocarburos, Mexico, Project: 280097, IMP-UAlberta-PEMEX, Y.61067 `Modelos de fisica de rocas considerando estructura y anisotropia'. Core log data set and selected samples were obtained thanks to Doug Schmitt and Thomas Wonik as part of the AND-2A Drillcore, Southern McMurdo Sound Project, Antarctica.</t>
  </si>
  <si>
    <t>INST GEOPHYSICS UNAM</t>
  </si>
  <si>
    <t>MEXICO</t>
  </si>
  <si>
    <t>APDO POSTAL 22-118, DEL TLALPAN, MEXICO, 14000 D F, MEXICO</t>
  </si>
  <si>
    <t>0016-7169</t>
  </si>
  <si>
    <t>GEOFIS INT</t>
  </si>
  <si>
    <t>Geofis. Int.</t>
  </si>
  <si>
    <t>10.22201/igeof.00167169p.2022.61.1.2126</t>
  </si>
  <si>
    <t>XW8OH</t>
  </si>
  <si>
    <t>WOS:000735870900003</t>
  </si>
  <si>
    <t>Wang, XX; He, YY; Deng, YS; Zuo, ZC; Li, D; Chen, FS; Qu, CF; Miao, JL</t>
  </si>
  <si>
    <t>Wang, Xixi; He, Yingying; Deng, Yashan; Zuo, Zhicong; Li, Dan; Chen, Fushan; Qu, Changfeng; Miao, Jinlai</t>
  </si>
  <si>
    <t>A diguanylate cyclase regulates biofilm formation in Rhodococcus sp. NJ-530 from Antarctica</t>
  </si>
  <si>
    <t>3 BIOTECH</t>
  </si>
  <si>
    <t>Antarctica; Rhodococcus sp; NJ-530; Biofilm; C-di-GMP; DGC</t>
  </si>
  <si>
    <t>C-DI-GMP; EXPRESSION ANALYSIS; TEMPERATURE; STRESS; OVERPRODUCTION; ADAPTATION; RESISTANCE; PHOTOLYASE; PROTEIN; CLONING</t>
  </si>
  <si>
    <t>Biofilms represent a protective survival mode in which bacteria adapt themselves to the natural environment for survival purposes. Biofilm formation is regulated by 3,5-cyclic diguanylic acid (c-di-GMP), which is a universal second messenger molecule in bacteria. Diguanylate cyclase (DGC) catalyses c-di-GMP intracellular synthesis, which plays important roles in bacterial adaptation to the natural environment. In this study, the DGC gene was first cloned from Antarctic Rhodococcus sp. NJ-530. DGC contained 948 nucleotides and encoded 315 amino acids with a molecular weight of 34.6 KDa and an isoelectric point of 5.58. qRT-PCR demonstrated that the DGC expression level was significantly affected by lower salinity and temperature. Consistently, more biofilm formation occurred under the same stress. It has been shown that Rhodococcus sp. NJ-530 can adapt to the extreme environment in Antarctica, which is closely related to biofilm formation. These results provide an important reference for studying the adaptive mechanism of Antarctic microorganisms to this extreme environment.</t>
  </si>
  <si>
    <t>[Wang, Xixi; Deng, Yashan; Li, Dan; Chen, Fushan] Qingdao Univ Sci &amp; Technol, Coll Chem &amp; Mol Engn, Qingdao 266042, Peoples R China; [Wang, Xixi; He, Yingying; Deng, Yashan; Zuo, Zhicong; Li, Dan; Qu, Changfeng; Miao, Jinlai] Minist Nat Resource, Inst Oceanog 1, Key Lab Marine Ecoenvironm Sci &amp; Technol, 6 Xianxialing Rd, Qingdao 266061, Peoples R China; [Qu, Changfeng; Miao, Jinlai] Qingdao Natl Lab Marine Sci &amp; Technol, Lab Marine Drugs &amp; Bioprod, Qingdao 266237, Peoples R China</t>
  </si>
  <si>
    <t>Qingdao University of Science &amp; Technology; Laoshan Laboratory</t>
  </si>
  <si>
    <t>Qu, CF; Miao, JL (corresponding author), Minist Nat Resource, Inst Oceanog 1, Key Lab Marine Ecoenvironm Sci &amp; Technol, 6 Xianxialing Rd, Qingdao 266061, Peoples R China.;Qu, CF; Miao, JL (corresponding author), Qingdao Natl Lab Marine Sci &amp; Technol, Lab Marine Drugs &amp; Bioprod, Qingdao 266237, Peoples R China.</t>
  </si>
  <si>
    <t>li, chunlin/KFS-0761-2024; He, Ying Ying/HZL-0137-2023; Wang, Yitong/KBA-1959-2024; Wang, Junzhe/KCK-4991-2024</t>
  </si>
  <si>
    <t>National Key Research and Development Program of China [2018YFD0900705]; Basic Scientific Fund for National Public Research Institutes of China [2020Q02]; Natural Science Foundation of China [32000074, 42176130]; Natural Science Foundation of Shandong [ZR2019BD023, ZR2021MD044]; Tai Mountain Industry Leading Talent of Shan Dong [2019TSCYCX-06]; Science and Technology Planning Project of Guangxi [AA21196002]</t>
  </si>
  <si>
    <t>National Key Research and Development Program of China; Basic Scientific Fund for National Public Research Institutes of China; Natural Science Foundation of China(National Natural Science Foundation of China (NSFC)); Natural Science Foundation of Shandong(Natural Science Foundation of Shandong Province); Tai Mountain Industry Leading Talent of Shan Dong; Science and Technology Planning Project of Guangxi</t>
  </si>
  <si>
    <t>This research was funded by the National Key Research and Development Program of China, grant no: 2018YFD0900705, Jinlai Miao, Basic Scientific Fund for National Public Research Institutes of China, grant no: 2020Q02, Changfeng Qu, Natural Science Foundation of China, grant no: 32000074, Changfeng Qu, grant no: 42176130, Jinlai Miao, Natural Science Foundation of Shandong, grant no: ZR2019BD023, Changfeng Qu, grant no: ZR2021MD044, Jinlai Miao, Tai Mountain Industry Leading Talent of Shan Dong, grant no: 2019TSCYCX-06, Jinlai Miao, Science and Technology Planning Project of Guangxi, grant no: AA21196002, Jinlai Miao</t>
  </si>
  <si>
    <t>2190-572X</t>
  </si>
  <si>
    <t>2190-5738</t>
  </si>
  <si>
    <t>3 Biotech</t>
  </si>
  <si>
    <t>10.1007/s13205-021-03093-z</t>
  </si>
  <si>
    <t>XU3PI</t>
  </si>
  <si>
    <t>WOS:000734180900001</t>
  </si>
  <si>
    <t>Videira-Santos, R; Scheffler, SM; Fernandes, ACS</t>
  </si>
  <si>
    <t>Videira-Santos, Roberto; Scheffler, Sandro Marcelo; Sequeira Fernandes, Antonio Carlos</t>
  </si>
  <si>
    <t>New occurrences of Chonetoidea (Brachiopoda) in the Devonian of Bolivia, Peru and Antarctica</t>
  </si>
  <si>
    <t>BRAZILIAN JOURNAL OF GEOLOGY</t>
  </si>
  <si>
    <t>chonetoids; Malvinokaffric realm; Gondwana; systematic paleontology</t>
  </si>
  <si>
    <t>BASIN</t>
  </si>
  <si>
    <t>Chonetoidea corresponds to one of the most abundant superfamilies throughout the Malvinokaffric Realm (Argentina, Uruguay, Bolivia, Paraguay, Antarctica, Peru and South-Central Brazil). In this paper we provided a better understanding of the diversity of this superfamily during the Devonian in southern Gondwana. For Bolivian specimens, we corroborate both the occurrence of Pleurochonetes anteloi in the Huamampampa Formation, that is, this species may have occurred at least in the Givetian, and the occurrence of Australostrophia mesembria in the Pragian-Emsian of Bolivia. We further identify both Aseptonetes isaacsoni in the Icla/Gamoneda Formation, which represents the oldest occurrence of this species, and Chonostrophia truyolsae in the Belen Formation/Bolivian Altiplano, thereby expanding its geographical distribution. We also provide the first description and illustration of a specimen of Chonetoidea from Antarctica and record the first occurrence of Australostrophia mesembria, Devonochonetinae indet. and Eodevonaria sp. in the Cabanillas Formation of Peru. Because A. mesembria is a typical Malvinokaffric species, this corroborates the extension of this realm into southern Peru.</t>
  </si>
  <si>
    <t>[Videira-Santos, Roberto; Scheffler, Sandro Marcelo; Sequeira Fernandes, Antonio Carlos] Univ Fed Rio de Janeiro, Museu Nacl, Rio De Janeiro, RJ, Brazil</t>
  </si>
  <si>
    <t>Universidade Federal do Rio de Janeiro</t>
  </si>
  <si>
    <t>Videira-Santos, R (corresponding author), Univ Fed Rio de Janeiro, Museu Nacl, Rio De Janeiro, RJ, Brazil.</t>
  </si>
  <si>
    <t>robvidsan@yahoo.com.br; schefflersm@mn.ufrj.br; af07509@gmail.com</t>
  </si>
  <si>
    <t>Scheffler, Sandro/0000-0002-6965-4550; Videira-Santos, Roberto/0000-0002-6221-1693</t>
  </si>
  <si>
    <t>Coordenacao de Aperfeicoamento de Pessoal de Nivel Superior (CAPES) [1814765, 88882.425088/2019-01]; Comissao Fullbright Brasil; FAPERJ [E-26/200.110/2019]; CNPq [442765/2018-5]</t>
  </si>
  <si>
    <t>Coordenacao de Aperfeicoamento de Pessoal de Nivel Superior (CAPES)(Coordenacao de Aperfeicoamento de Pessoal de Nivel Superior (CAPES)); Comissao Fullbright Brasil; FAPERJ(Fundacao Carlos Chagas Filho de Amparo a Pesquisa do Estado do Rio De Janeiro (FAPERJ)); CNPq(Conselho Nacional de Desenvolvimento Cientifico e Tecnologico (CNPQ))</t>
  </si>
  <si>
    <t>This work was only possible due to the exceptional help of NMNH/SI to students affected by the tragic fire that devastated the Museu Nacional (Brazil) in 2018, so the authors would like to thank everyone involved, especially PhD Douglas Erwin, MS Kathy Hollis and BS Mark Florence for the support given to RVS during his stay in Washington, D.C. The authors also thank Dr. Rafael Silva and Mr. Rodrigo Machado for allowing access to the holotype and paratypes of Australostrophia mesembria deposited in the CPRM collection. RVS thanks the Coordenacao de Aperfeicoamento de Pessoal de Nivel Superior (CAPES) (processes 1814765 and 88882.425088/2019-01) and the Comissao Fullbright Brasil for the financial assistance. SMS thanks the financial support of the FAPERJ (processes E-26/200.110/2019). RVS and SMS are researchers of the project Paleoenvironmental and Paleoclimatic Evolution of the Antarctic Peninsula: Correlation between the Eastern and Western Margins and South America based on Paleoflora FLORANTAR (CNPq 442765/2018-5).</t>
  </si>
  <si>
    <t>SOC BRASILEIRA GEOLOGIA</t>
  </si>
  <si>
    <t>CAIXA POSTAL 11348, SAO PAULO, SP 05422-970, BRAZIL</t>
  </si>
  <si>
    <t>2317-4889</t>
  </si>
  <si>
    <t>2317-4692</t>
  </si>
  <si>
    <t>BRAZ J GEOL</t>
  </si>
  <si>
    <t>Braz. J. Geol.</t>
  </si>
  <si>
    <t>e20210080</t>
  </si>
  <si>
    <t>10.1590/2317-4889202120210080</t>
  </si>
  <si>
    <t>CD6P2</t>
  </si>
  <si>
    <t>WOS:001123353700008</t>
  </si>
  <si>
    <t>Candia, OP; Villegas, KR; Soliz, CS; Navarrete, LV</t>
  </si>
  <si>
    <t>Palma Candia, Oskarina; Rojas Villegas, Katherine; Soliz Soliz, Carla; Venegas Navarrete, Lucha</t>
  </si>
  <si>
    <t>Occupational participation and social inclusion of the LGBTIQ+ community in the Magallanes region and the Chilean Antarctic Territory</t>
  </si>
  <si>
    <t>CADERNOS BRASILEIROS DE TERAPIA OCUPACIONAL-BRAZILIAN JOURNAL OF OCCUPATIONAL THERAPY</t>
  </si>
  <si>
    <t>Gender Diversity; Social Participation; Occupational Therapy; Social Justice; Activities of Daily Living</t>
  </si>
  <si>
    <t>IDENTITY</t>
  </si>
  <si>
    <t>Introduction: People of sexual diversity have been violated in their human rights and marginalized from participating in some spaces, and occupations as a result of prejudices and social constructions that have been imposed as the predominant culture throughout history. Objective: To know the perception of people from the LGBTIQ+ community, about their social inclusion and occupational participation in the different spaces of daily life in the Magallanes and Chilean Antarctica region. Method: Semi-structured interviews were applied to LGBTIQ+ people between 20 and 40 years old, the stories were interpreted through content analysis, using qualitative methodology with a descriptive approach. Results: Different opinions are obtained about the occupational participation of LGBTIQ+ people, pointing out some positive experiences of acceptance, however, experiences of discrimination and violence predominate, as well as situations of injustice or occupational deprivation as a result of prejudices and beliefs, both social and personal (occupational awareness), According to the reports, needs and proposals are collected to achieve occupational participation and full inclusion. Conclusion: The occupational participation and social inclusion of the LGBTIQ+ community are affected by discrimination, prejudice, and beliefs of people in the Magallanes region, showing that progress is still required, and generate spaces for training and re-education related to sexual and gender diversity, deconstructing the prejudices and beliefs that persist in the region.</t>
  </si>
  <si>
    <t>[Palma Candia, Oskarina; Rojas Villegas, Katherine; Soliz Soliz, Carla; Venegas Navarrete, Lucha] Univ Magallanes UMAG, Punta Arenas, Chile</t>
  </si>
  <si>
    <t>Candia, OP (corresponding author), Univ Magallanes UMAG, Punta Arenas, Chile.</t>
  </si>
  <si>
    <t>oskarina.palma@umag.cl</t>
  </si>
  <si>
    <t>CUBA EDITORA</t>
  </si>
  <si>
    <t>SAO CARLOS</t>
  </si>
  <si>
    <t>CUBA EDITORA, SAO CARLOS, 00000, BRAZIL</t>
  </si>
  <si>
    <t>2526-8910</t>
  </si>
  <si>
    <t>CAD BRAS TER OCUP</t>
  </si>
  <si>
    <t>Cad. Bras. Ter. Ocup.</t>
  </si>
  <si>
    <t>e3241</t>
  </si>
  <si>
    <t>10.1590/2526-8910.ctoAO247732412</t>
  </si>
  <si>
    <t>CG2E8</t>
  </si>
  <si>
    <t>WOS:001124025400023</t>
  </si>
  <si>
    <t>Beet, CR; Hogg, ID; Mcdonald, IR; Cary, SC; Sinclair, BJ</t>
  </si>
  <si>
    <t>Beet, Clare R.; Hogg, Ian D.; Mcdonald, Ian R.; Cary, S. Craig; Sinclair, Brent J.</t>
  </si>
  <si>
    <t>The Resilience of Polar Collembola (Springtails) in a Changing Climate</t>
  </si>
  <si>
    <t>CURRENT RESEARCH IN INSECT SCIENCE</t>
  </si>
  <si>
    <t>Climate Change; Arctic; Antarctic; Physiology; Genetic diversity; Ecology</t>
  </si>
  <si>
    <t>LIFE-HISTORY TRAITS; GOMPHIOCEPHALUS-HODGSONI COLLEMBOLA; SOUTHERN VICTORIA LAND; DRONNING MAUD LAND; ANTARCTIC SPRINGTAIL; ARCTIC COLLEMBOLAN; COLD TOLERANCE; CRYPTOPYGUS-ANTARCTICUS; DROUGHT TOLERANCE; FOLSOMIA-CANDIDA</t>
  </si>
  <si>
    <t>Assessing the resilience of polar biota to climate change is essential for predicting the effects of changing environmental conditions for ecosystems. Collembola are abundant in terrestrial polar ecosystems and are integral to food-webs and soil nutrient cycling. Using available literature, we consider resistance (genetic diversity; behavioural avoidance and physiological tolerances; biotic interactions) and recovery potential for polar Collembola. Polar Collembola have high levels of genetic diversity, considerable capacity for behavioural avoidance, wide thermal tolerance ranges, physiological plasticity, generalist-opportunistic feeding habits and broad ecological niches. The biggest threats to the ongoing resistance of polar Collembola are increasing levels of dispersal (gene flow), increased mean and extreme temperatures, drought, changing biotic interactions, and the arrival and spread of invasive species. If resistance capacities are insufficient, numerous studies have highlighted that while some species can recover from disturbances quickly, complete community-level recovery is exceedingly slow. Species dwelling deeper in the soil profile may be less able to resist climate change and may not recover in ecologically realistic timescales given the current rate of climate change. Ultimately, diverse communities are more likely to have species or populations that are able to resist or recover from disturbances. While much of the Arctic has comparatively high levels of diversity and phenotypic plasticity; areas of Antarctica have extremely low levels of diversity and are potentially much more vulnerable to climate change.</t>
  </si>
  <si>
    <t>[Beet, Clare R.; Hogg, Ian D.; Mcdonald, Ian R.; Cary, S. Craig] Univ Waikato, Te Aka Matuatua Sch Sci, Hamilton, New Zealand; [Beet, Clare R.; Mcdonald, Ian R.; Cary, S. Craig] Univ Waikato, Int Ctr Terr Antarctic Res, Hamilton, New Zealand; [Hogg, Ian D.] Polar Knowledge Canada, Canadian High Arctic Res Stn, Cambridge Bay, NU, Canada; [Sinclair, Brent J.] Univ Western Ontario, Dept Biol, London, ON, Canada; [Hogg, Ian D.] Polar Knowledge Canada, Canadian High Arctic Res Stn, POB 2150,1 Uvajuq Pl, Cambridge Bay, NU X0B0C0, Canada</t>
  </si>
  <si>
    <t>University of Waikato; University of Waikato; Western University (University of Western Ontario)</t>
  </si>
  <si>
    <t>Hogg, ID (corresponding author), Polar Knowledge Canada, Canadian High Arctic Res Stn, POB 2150,1 Uvajuq Pl, Cambridge Bay, NU X0B0C0, Canada.</t>
  </si>
  <si>
    <t>ian.hogg@polar.gc.ca</t>
  </si>
  <si>
    <t>McDonald, Ian/A-4851-2008</t>
  </si>
  <si>
    <t>McDonald, Ian/0000-0002-4847-6492; Hogg, Ian D./0000-0002-6685-0089</t>
  </si>
  <si>
    <t>New Zealand Antarctic Research Institute; New Zealand Ministry of Business Industry and Employment [UOWX1401]; Polar Knowledge Canada [3Y004-210046]</t>
  </si>
  <si>
    <t>New Zealand Antarctic Research Institute; New Zealand Ministry of Business Industry and Employment; Polar Knowledge Canada</t>
  </si>
  <si>
    <t>Financial support provided through funding from the New Zealand Antarctic Research Institute to IDH; New Zealand Ministry of Business Industry and Employment Contract UOWX1401 to SCC, IDH, IRM, and Polar Knowledge Canada Contract 3Y004-210046 to BJS. We thank Barry O'Brien and Gemma Collins for images taken at the University of Waikato Imaging Facility and used in Fig. 2 . This manuscript is a partial contribution to the PhD thesis of CRB.</t>
  </si>
  <si>
    <t>2666-5158</t>
  </si>
  <si>
    <t>CURR RES INSECT SCI</t>
  </si>
  <si>
    <t>Curr. Res. Insect Sci.</t>
  </si>
  <si>
    <t>10.1016/j.cris.2022.100046</t>
  </si>
  <si>
    <t>Entomology</t>
  </si>
  <si>
    <t>DV9D2</t>
  </si>
  <si>
    <t>WOS:001134965300003</t>
  </si>
  <si>
    <t>Swain, K</t>
  </si>
  <si>
    <t>Swain, Kelley</t>
  </si>
  <si>
    <t>The Antarctic mind</t>
  </si>
  <si>
    <t>LANCET PSYCHIATRY</t>
  </si>
  <si>
    <t>2215-0374</t>
  </si>
  <si>
    <t>LANCET PSYCHIAT</t>
  </si>
  <si>
    <t>Lancet Psychiatry</t>
  </si>
  <si>
    <t>Psychiatry</t>
  </si>
  <si>
    <t>XT5JM</t>
  </si>
  <si>
    <t>WOS:000733623700017</t>
  </si>
  <si>
    <t>Dragone, NB; Henley, JB; Holland-Moritz, H; Diaz, M; Hogg, ID; Lyons, WB; Wall, DH; Adams, BJ; Fierer, N</t>
  </si>
  <si>
    <t>Dragone, Nicholas B.; Henley, Jessica B.; Holland-Moritz, Hannah; Diaz, Melisa; Hogg, Ian D.; Lyons, W. Berry; Wall, Diana H.; Adams, Byron J.; Fierer, Noah</t>
  </si>
  <si>
    <t>Elevational Constraints on the Composition and Genomic Attributes of Microbial Communities in Antarctic Soils</t>
  </si>
  <si>
    <t>MSYSTEMS</t>
  </si>
  <si>
    <t>Antarctica; microbial ecology; soil microbiology; soils</t>
  </si>
  <si>
    <t>DOMINANT BACTERIA; DRY VALLEY; ALIGNMENT; METAGENOMICS; INFERENCE; PROGRAM; CARBON; SILVA; LIFE; TREE</t>
  </si>
  <si>
    <t>The inland soils found on the Antarctic continent represent one of the more challenging environments for microbial life on Earth. Nevertheless, Antarctic soils harbor unique bacterial and archaeal (prokaryotic) communities able to cope with extremely cold and dry conditions. These communities are not homogeneous, and the taxonomic composition and functional capabilities (genomic attributes) of these communities across environmental gradients remain largely undetermined. We analyzed the prokaryotic communities in soil samples collected from across the Shackleton Glacier region of Antarctica by coupling quantitative PCR, marker gene amplicon sequencing, and shotgun metagenomic sequencing. We found that elevation was the dominant factor explaining differences in the structures of the soil prokaryotic communities, with the drier and saltier soils found at higher elevations harboring less diverse communities and unique assemblages of cooccurring taxa. The higher-elevation soil communities also had lower maximum potential growth rates (as inferred from metagenome-based estimates of codon usage bias) and an over-representation of genes associated with trace gas metabolism. Together, these results highlight the utility of assessing community shifts across pronounced environmental gradients to improve our understanding of the microbial diversity found in Antarctic soils and the strategies used by soil microbes to persist at the limits of habitability. IMPORTANCE Antarctic soils represent an ideal system to study how environmental properties shape the taxonomic and functional diversity of microbial communities given the relatively low diversity of Antarctic soil microbial communities and the pronounced environmental gradients that occur across soils located in reasonable proximity to one another. Moreover, the challenging environmental conditions typical of most Antarctic soils present an opportunity to investigate the traits that allow soil microbes to persist in some of the most inhospitable habitats on Earth. We used cultivation-independent methods to study the bacterial and archaeal communities found in soil samples collected from across the Shackleton Glacier region of the Transantarctic Mountains. We show that those environmental characteristics associated with elevation have the greatest impact on the structure of these microbial communities, with the colder, drier, and saltier soils found at higher elevations sustaining less diverse communities that were distinct from those in more hospitable soils with respect to their composition, genomic attributes, and overall life-history strategies. Notably, the harsher conditions found in higher-elevation soils likely select for taxa with lower maximum potential growth rates and an increased reliance on trace gas metabolism to support growth.</t>
  </si>
  <si>
    <t>[Dragone, Nicholas B.; Fierer, Noah] Univ Colorado, Dept Ecol &amp; Evolutionary Biol, Boulder, CO 80309 USA; [Dragone, Nicholas B.; Henley, Jessica B.; Fierer, Noah] Cooperat Inst Res Environm Sci, Boulder, CO 80309 USA; [Holland-Moritz, Hannah] Univ New Hampshire, Dept Nat Resources &amp; Environm, Durham, NH 03824 USA; [Diaz, Melisa] Woods Hole Oceanog Inst, Dept Geol &amp; Geophys, Falmouth, MA USA; [Diaz, Melisa] Woods Hole Oceanog Inst, Dept Appl Ocean Phys &amp; Engn, Falmouth, MA USA; [Hogg, Ian D.] Polar Knowledge Canada, Canadian High Arctic Res Stn, Cambridge Bay, NU, Canada; [Hogg, Ian D.] Univ Waikato, Sch Sci, Hamilton, New Zealand; [Lyons, W. Berry] Ohio State Univ, Sch Earth Sci, Columbus, OH 43210 USA; [Lyons, W. Berry] Ohio State Univ, Byrd Polar &amp; Climate Res Ctr, Columbus, OH 43210 USA; [Wall, Diana H.] Colorado State Univ, Dept Biol, Ft Collins, CO 80523 USA; [Wall, Diana H.] Colorado State Univ, Sch Global Environm Sustainabil, Ft Collins, CO 80523 USA; [Adams, Byron J.] Brigham Young Univ, Dept Biol, Evolutionary Ecol Labs, Provo, UT 84602 USA; [Adams, Byron J.] Brigham Young Univ, Monte L Bean Museum, Provo, UT 84602 USA</t>
  </si>
  <si>
    <t>University of Colorado System; University of Colorado Boulder; University System Of New Hampshire; University of New Hampshire; Woods Hole Oceanographic Institution; Woods Hole Oceanographic Institution; University of Waikato; University System of Ohio; Ohio State University; University System of Ohio; Ohio State University; Colorado State University; Colorado State University; Brigham Young University; Brigham Young University</t>
  </si>
  <si>
    <t>Dragone, NB; Fierer, N (corresponding author), Univ Colorado, Dept Ecol &amp; Evolutionary Biol, Boulder, CO 80309 USA.;Dragone, NB; Fierer, N (corresponding author), Cooperat Inst Res Environm Sci, Boulder, CO 80309 USA.</t>
  </si>
  <si>
    <t>nidr7164@colorado.edu; noah.fierer@colorado.edu</t>
  </si>
  <si>
    <t>Wall, Diana H/F-5491-2011; Hogg, Ian D./HNS-7393-2023</t>
  </si>
  <si>
    <t>Hogg, Ian D./0000-0002-6685-0089; FIERER, NOAH/0000-0002-6432-4261; Holland-Moritz, Hannah/0000-0002-0854-872X; Dragone, Nicholas/0000-0002-8983-6482</t>
  </si>
  <si>
    <t>Polar Geospatial Center under NSF-OPP awards [1043681, 155969]; U.S. National Science Foundation Office of Polar Programs [1341629, 1341736, 1637708]; University of Colorado Department of Ecology and Evolutionary Biology; Directorate For Geosciences; Office of Polar Programs (OPP) [1637708, 1341736] Funding Source: National Science Foundation; Directorate For Geosciences; Office of Polar Programs (OPP) [1341629] Funding Source: National Science Foundation</t>
  </si>
  <si>
    <t>Polar Geospatial Center under NSF-OPP awards; U.S. National Science Foundation Office of Polar Programs(National Science Foundation (NSF)); University of Colorado Department of Ecology and Evolutionary Biology; Directorate For Geosciences; Office of Polar Programs (OPP)(National Science Foundation (NSF)NSF - Directorate for Geosciences (GEO)); Directorate For Geosciences; Office of Polar Programs (OPP)(National Science Foundation (NSF)NSF - Directorate for Geosciences (GEO))</t>
  </si>
  <si>
    <t>We thank Matthew Gebert, Savanna Pierce, Marci Shaver-Adams, Natasha Griffin, Thomas Powers, Alyssa Pike, Kevin Dickerson, Daniel Gilbert, and W. Andrew Jackson for their help with the laboratory analyses; Cecilia Milano de Tomasei for help with permits and sample shipment; and Marci Shaver-Adams and Geoff Schellens for help with sample collection and field safety support. We also thank the pilots and technicians of PHI helicopters and the Shackleton Glacier camp staff for supporting our field campaign. Geospatial support for this work was provided by the Polar Geospatial Center under NSF-OPP awards 1043681 and 155969. This work was supported by grants from the U.S. National Science Foundation Office of Polar Programs (1341629, 1341629, 1341736, and 1637708 to B.J.A., N.F., W.B.L., and D.H.W.) , with additional support provided to N.B.D. from the University of Colorado Department of Ecology and Evolutionary Biology.</t>
  </si>
  <si>
    <t>2379-5077</t>
  </si>
  <si>
    <t>mSystems</t>
  </si>
  <si>
    <t>e01330-21</t>
  </si>
  <si>
    <t>10.1128/msystems.01330-21</t>
  </si>
  <si>
    <t>ZH4VV</t>
  </si>
  <si>
    <t>WOS:000760939200016</t>
  </si>
  <si>
    <t>Fu, L; Guo, JX; Li, JL; Deng, B; Liu, GF; Xiao, EZ; Chen, XF</t>
  </si>
  <si>
    <t>Fu, Lei; Guo, Jingxue; Li, Junlun; Deng, Bao; Liu, Guofeng; Xiao, Enzhao; Chen, Xiaofei</t>
  </si>
  <si>
    <t>Imaging the Ice Sheet and Uppermost Crustal Structures with a Dense Linear Seismic Array in the Larsemann Hills, Prydz Bay, East Antarctica</t>
  </si>
  <si>
    <t>SEISMOLOGICAL RESEARCH LETTERS</t>
  </si>
  <si>
    <t>SURFACE-WAVE; UPPER-MANTLE; U-PB; 2-STATION ANALYSIS; SRI-LANKA; SE TIBET; GONDWANA; TOMOGRAPHY; BENEATH; NOISE</t>
  </si>
  <si>
    <t>Comprehensive geophysical surveys including magnetotelluric, seismic, and aerial gravity-magnetic surveys are essential for understanding the history of Antarctic tectonics. The ice sheet and uppermost structure derived from those geophysical methods are relatively low resolution. Although ice-penetrating radar can provide high-resolution reflectivity images of the ice sheet, it cannot provide constraints on subice physical properties, which are important for geological understanding of the Antarctic continent. To obtain high-resolution images of the ice sheet and uppermost crustal structure beneath the Larsemann Hills, Prydz Bay, East Antarctica, we conduct an ambient noise seismic experiment with 100 short-period seismometers spaced at 0.2 km intervals. Continuous seismic waveforms are recorded for one month at a 2 ms sampling rate. Empirical Green's functions are extracted by cross correlating the seismic waveform of one station with that of another station, and dispersion curves are extracted using a new phase-shift method. A high-resolution shear-velocity model is derived by inverting the dispersion curves. Furthermore, body waves are enhanced using a set of processing techniques commonly used in seismic exploration. The stacked bodywave image clearly shows a geological structure similar to that revealed by the shear-wave velocity model. This study, which is the first of its kind in Antarctica, possibly reveals a near-vertical intrusive rock covered by an ice sheet with a horizontal extent of 4 km. Our results help to improve the understanding of the subice environment and geological evolution in the Larsemann Hills, Prydz Bay, East Antarctica.</t>
  </si>
  <si>
    <t>[Fu, Lei; Chen, Xiaofei] Southern Univ Sci &amp; Technol, Dept Earth &amp; Space Sci, Shenzhen, Peoples R China; [Fu, Lei; Chen, Xiaofei] Southern Marine Sci &amp; Engn Guangdong Lab Guangzho, Guangzhou, Peoples R China; [Guo, Jingxue; Xiao, Enzhao] MNR, Key Lab Polar Sci, Polar Res Inst China, Shanghai, Peoples R China; [Li, Junlun; Deng, Bao] Univ Sci &amp; Technol China, Sch Earth &amp; Space Sci, Hefei, Peoples R China; [Liu, Guofeng] China Univ Geosci Beijing, Sch Geophys &amp; Informat Technol, Beijing, Peoples R China</t>
  </si>
  <si>
    <t>Southern University of Science &amp; Technology; Hong Kong Branch of the Southern Marine Science &amp; Engineering Guangdong Laboratory (Guangzhou); Polar Research Institute of China; Chinese Academy of Sciences; University of Science &amp; Technology of China, CAS; China University of Geosciences</t>
  </si>
  <si>
    <t>Chen, XF (corresponding author), Southern Univ Sci &amp; Technol, Dept Earth &amp; Space Sci, Shenzhen, Peoples R China.;Chen, XF (corresponding author), Southern Marine Sci &amp; Engn Guangdong Lab Guangzho, Guangzhou, Peoples R China.</t>
  </si>
  <si>
    <t>chenxf@sustech.edu.cn</t>
  </si>
  <si>
    <t>Chen, Xiaofei/AAB-4648-2019; Li, Junlun/KAU-6534-2024; Fu, Lei/JVE-2289-2024</t>
  </si>
  <si>
    <t>Chen, Xiaofei/0000-0003-3305-8498; Li, Junlun/0000-0001-9143-918X; Fu, Lei/0000-0001-9709-520X; xiao, en zhao/0000-0003-3338-2423</t>
  </si>
  <si>
    <t>National Natural Science Foundation of China [41974044, U1901602, 41790465, 41876227]; National Key Research and Development Projects [2018YFC0603500]; Shenzhen Key Laboratory of Deep Offshore Oil and Gas Exploration Technology [ZDSYS20190902093007855]; Leading Talents of Guangdong Province Program [2016LJ06N652]; Key Special Project for Introduced Talents Team of Southern MarineScience and Engineering Guangdong Laboratory (Guangzhou) [GML2019ZD0203]; Shenzhen Science and Technology Program [KQTD20170810111725321]</t>
  </si>
  <si>
    <t>National Natural Science Foundation of China(National Natural Science Foundation of China (NSFC)); National Key Research and Development Projects; Shenzhen Key Laboratory of Deep Offshore Oil and Gas Exploration Technology; Leading Talents of Guangdong Province Program; Key Special Project for Introduced Talents Team of Southern MarineScience and Engineering Guangdong Laboratory (Guangzhou); Shenzhen Science and Technology Program</t>
  </si>
  <si>
    <t>The authors are grateful to Meijian An from the Chinese Academy of Geological Sciences, and Gang Qiao and Yanjun Li from Tongji University for helpful discussions that improved the original article. The authors also thank the two reviewers for their constructive comments. This research is supported by the National Natural Science Foundation of China (Grant Numbers 41974044, U1901602, 41790465, and 41876227) and the National Key Research and Development Projects (2018YFC0603500) .Finally, the authors acknowledge the support of Shenzhen Key Laboratory of Deep Offshore Oil and Gas Exploration Technology (Grant Number ZDSYS20190902093007855) , Leading Talents of Guangdong Province Program (Grant Number 2016LJ06N652) , Key Special Project for Introduced Talents Team of Southern MarineScience and Engineering Guangdong Laboratory (Guangzhou) (GML2019ZD0203) , and Shenzhen Science and Technology Program (Grant Number KQTD20170810111725321) .</t>
  </si>
  <si>
    <t>SEISMOLOGICAL SOC AMER</t>
  </si>
  <si>
    <t>400 EVELYN AVE, SUITE 201, ALBANY, CA 94706-1375 USA</t>
  </si>
  <si>
    <t>0895-0695</t>
  </si>
  <si>
    <t>1938-2057</t>
  </si>
  <si>
    <t>SEISMOL RES LETT</t>
  </si>
  <si>
    <t>Seismol. Res. Lett.</t>
  </si>
  <si>
    <t>10.1785/0220210135</t>
  </si>
  <si>
    <t>XU5QN</t>
  </si>
  <si>
    <t>WOS:000734319200006</t>
  </si>
  <si>
    <t>Hoffecker, JE; Pitulko, VV; Pavlova, EY</t>
  </si>
  <si>
    <t>Hoffecker, John E.; Pitulko, Vladimir V.; Pavlova, Elena Y.</t>
  </si>
  <si>
    <t>Beringia and the Settlement of the Western Hemisphere</t>
  </si>
  <si>
    <t>VESTNIK SANKT-PETERBURGSKOGO UNIVERSITETA-ISTORIYA</t>
  </si>
  <si>
    <t>settlement of the Americas; Beringia; Northern Asia; modern humans; paleogenetics; sea level change; glacier pulse; paleoecology</t>
  </si>
  <si>
    <t>YANA-INDIGHIRKA LOWLAND; POPULATION HISTORY; DENISOVAN ANCESTRY; LATE PLEISTOCENE; MAMMOTH STEPPE; SEA-LEVEL; MIS 3; DISPERSAL; NORTHERN; CLIMATE</t>
  </si>
  <si>
    <t>Previously, we addressed the problem of what variable(s) limited widespread human settlement of the Americas before similar to 15 ka. We concluded that while non-modern human taxa (e. g., Neanderthals) probably did not inhabit high-latitude environments (due to cold climate and/or low plant and animal productivity) and thus could not disperse in the Western Hemisphere via Beringia, modern humans likely were denied access to mid-latitude North America &gt;15 ka by coastal and interior ice sheets. Here we reexamine the problem with respect to modern humans in light of a revised chronology for glaciers and sea level, new research in paleo-genomics, and some new archaeological discoveries. During 35-30 ka, a lineage with west Eurasian roots occupied the Great Arctic Plain and may have expanded into eastern arctic Beringia and mid-latitude North America via an ice-free corridor. An East Asian lineage associated with microblade technology occupied the Lena Basin during the LGM and expanded onto the Great Arctic Plain &gt;15 ka, possibly as early as the GI 2 interstadial (24-23 ka). Their immediate descendants probably occupied the southern Bering Land Bridge and Northwest Pacific coast &gt;15 ka and dispersed widely in the Western Hemisphere during GI 1 (14.5-12.9 ka), primarily if not exclusively via a coastal route. The coalesced Laurentide and Cordilleran ice sheets blocked interior access to mid-latitude America until 13.8 +/- 0.5 ka (and possibly later due to the length and narrow width of the ice-free corridor &gt;13 ka).</t>
  </si>
  <si>
    <t>[Hoffecker, John E.] Univ Colorado, Inst Arctic &amp; Alpine Res, 4001 Discovery Dr, Boulder, CO 80309 USA; [Pitulko, Vladimir V.] RAS, Inst Hist Mat Culture, 18 Dvortsovaya Nab, St Petersburg 191186, Russia; [Pitulko, Vladimir V.] RAS, Peter Great Museum Anthropol &amp; Ethnog, 3 Univ Skaya Nab, St Petersburg 199034, Russia; [Pavlova, Elena Y.] Arctic &amp; Antarctic Res Inst, 38 Ul Beringa, St Petersburg 199397, Russia</t>
  </si>
  <si>
    <t>University of Colorado System; University of Colorado Boulder; Russian Academy of Sciences; Institute for the History of Material Culture, Russian Academy of Sciences; St. Petersburg Scientific Centre of the Russian Academy of Sciences; Russian Academy of Sciences; The Kunstkamera; Arctic &amp; Antarctic Research Institute</t>
  </si>
  <si>
    <t>Hoffecker, JE (corresponding author), Univ Colorado, Inst Arctic &amp; Alpine Res, 4001 Discovery Dr, Boulder, CO 80309 USA.</t>
  </si>
  <si>
    <t>John.Hoffecker@colorado.edu; pitulko.vladimir@gmail.com; pavlovaelena759@gmail.com</t>
  </si>
  <si>
    <t>1812-9323</t>
  </si>
  <si>
    <t>VESTN ST PETER U-IST</t>
  </si>
  <si>
    <t>Vestn. St.-Peterbg. Univ.-Istoriya</t>
  </si>
  <si>
    <t>10.21638/spbu02.2022.313</t>
  </si>
  <si>
    <t>History</t>
  </si>
  <si>
    <t>AU4G6</t>
  </si>
  <si>
    <t>WOS:001120948500013</t>
  </si>
  <si>
    <t>Geoarchaeology, Age and Chronology of the Zhokhov Site</t>
  </si>
  <si>
    <t>Zhokhov site; arctic Stone Age; geoarchaeology; site formation; radioacarbon dating; chronometry; chronology; habitation episodes; human behavior; cultural complexity; subsistence patterns</t>
  </si>
  <si>
    <t>LAPTEV SEA; ISOTOPE CHEMISTRY; PERMAFROST; EAST; DIET; PATTERNS; ISLANDS; EROSION; CLIMATE; DOGS</t>
  </si>
  <si>
    <t>The Zhokhov site, investigated in 1989-1990 and 2000-2005, is located at 76 degrees N in a remote part of the East Siberian Arctic. Excavations yielded tens of thousands of artifacts and faunal remains including the oldest anthropological remains known in the high arctic regions up to date. The culture-bearing deposits appear to represent the backfill of ice wedge casts formed after the site was abandoned when the island area became isolated due to the development of the post-glacial marine transgression. A large sample of radiocarbon ages obtained on various materials (n = 102) provides a chronology for the site, which was occupied 8300-7800 C-14 years ago. There were multiple occupation episodes, but it is not possible to estimate their duration with precision (within less than 50-100 years). The most intense human activity occurred within the interval 8050-7900 radiocarbon years BP, or ca. 9000 calBP but overall human occupation of the site spans roughly 2000 years. This is the oldest known archaeological site in the high-latitude Arctic. The identification and analysis of habitation episodes at the Zhokhov site has important implications for the study of Palaeolithic sites. The radiocarbon chronology indicates that repeated / cyclic human habitation at the same place is possible for up to 2000 years and possibly longer. Repeated or cyclic human occupation in the Zhokhov island area was possible due to locally available food and material resources. Thus, the radiocarbon dates provide more than chronomentric or chronological data; they are a source of information source about human ecology and its role in the evolution of culture.</t>
  </si>
  <si>
    <t>[Pitulko, Vladimir V.] RAS, Inst Hist Mat Culture, 18 Dvortsovaya Nab, St Petersburg 191186, Russia; [Pitulko, Vladimir V.] RAS, Peter Great Museum Anthropol &amp; Ethnog, 3 Univ Skaya Nab, St Petersburg 199034, Russia; [Pavlova, Elena Y.] Arctic &amp; Antarctic Res Inst, 38 Ul Beringa, St Petersburg 199397, Russia</t>
  </si>
  <si>
    <t>Russian Academy of Sciences; St. Petersburg Scientific Centre of the Russian Academy of Sciences; Institute for the History of Material Culture, Russian Academy of Sciences; Russian Academy of Sciences; The Kunstkamera; Arctic &amp; Antarctic Research Institute</t>
  </si>
  <si>
    <t>Pitulko, VV (corresponding author), RAS, Inst Hist Mat Culture, 18 Dvortsovaya Nab, St Petersburg 191186, Russia.</t>
  </si>
  <si>
    <t>pitulko.vladimir@gmail.com; pavlovaelena759@gmail.com</t>
  </si>
  <si>
    <t>10.21638/spbu02.2022.413</t>
  </si>
  <si>
    <t>AU4L3</t>
  </si>
  <si>
    <t>WOS:001120953200013</t>
  </si>
  <si>
    <t>Tian, D; Wang, L</t>
  </si>
  <si>
    <t>Tian, Dan; Wang, Lei</t>
  </si>
  <si>
    <t>Subpixel Melt Index in the Antarctic Peninsula Using Spatially Constrained Linear Unmixing From Time Series Satellite Passive Microwave Images</t>
  </si>
  <si>
    <t>Antarctic surface melt; least-squares mixture analysis (LSMA); time series analysis of passive microwave data</t>
  </si>
  <si>
    <t>GREENLAND ICE-SHEET; SNOWMELT ONSET; SURFACE; SHELVES; TRENDS; DRY; PATTERNS; DURATION; EXTENT; RADAR</t>
  </si>
  <si>
    <t>The inevitable coarse resolutions (similar to 25 km) of satellite passive microwave images introduce large uncertainty to surface melt estimation on Antarctic ice margins. Our test showed that the melt index (MI) of the Austral year 2012-2013 in the Antarctic Peninsula calculated from a high-resolution product of Calibrated Enhanced-Resolution Passive Microwave Daily EASE-Grid 2 Brightness Temperature (CETB) was 33% lower than the original low-resolution Special Sensor Microwave Imager/Sounder (SSMIS) images. Therefore, to allow for fractional melt estimation, a subpixel mapping method was adopted in this research to improve the accuracy and reliability of surface melt measurement from passive microwave images. This method uses the least-squares mixture analysis (LSMA) on the time series of daily passive microwave images by taking advantage of their high temporal resolution. The endmembers of the unmixing calculation were collected under the constraint of Voronoi polygons. The fractional MI was calculated by multiplying its area with melt fraction. Using the CETB images as reference, we found that the overestimation of surface melt using the Boolean classification was corrected by the LSMA method. The root-mean-square difference (RMSD) of the MI derived from SSMIS compared with the CETB data was reduced from 0.0104 to 0.0083 x 10(6) day.km(2). A log-linear relationship was found between melt fraction and elevation, which showed that melt fraction is inversely correlated with elevation, and topography is a dominant factor for its variation in low elevations. Such a subpixel unmixing analysis on the passive microwave images can improve the accuracy and reliability of surface melt mapping.</t>
  </si>
  <si>
    <t>[Tian, Dan; Wang, Lei] Louisiana State Univ, Dept Geog &amp; Anthropol, Baton Rouge, LA 70810 USA</t>
  </si>
  <si>
    <t>Louisiana State University System; Louisiana State University</t>
  </si>
  <si>
    <t>Wang, L (corresponding author), Louisiana State Univ, Dept Geog &amp; Anthropol, Baton Rouge, LA 70810 USA.</t>
  </si>
  <si>
    <t>dtian2@lsu.edu; leiwang@lsu.edu</t>
  </si>
  <si>
    <t>Wang, Lei/0000-0003-1298-4839; Tian, Dan/0000-0002-9558-8796</t>
  </si>
  <si>
    <t>College of Humanities and Social Sciences at Louisiana State University</t>
  </si>
  <si>
    <t>This work was supported by the 2019 Manship Summer Research Scholarship sponsored by College of Humanities and Social Sciences at Louisiana State University.</t>
  </si>
  <si>
    <t>10.1109/TGRS.2020.3043330</t>
  </si>
  <si>
    <t>XI4PF</t>
  </si>
  <si>
    <t>WOS:000726094900042</t>
  </si>
  <si>
    <t>Yu, QZ; Wu, PJ; Ni, DW; Hu, HB; Lei, Z; An, JC; Chen, W</t>
  </si>
  <si>
    <t>Yu, Qiuze; Wu, Pengjie; Ni, Dawen; Hu, Haibo; Lei, Zhen; An, Jiachun; Chen, Wen</t>
  </si>
  <si>
    <t>SAR Pixelwise Registration via Multiscale Coherent Point Drift With Iterative Residual Map Minimization</t>
  </si>
  <si>
    <t>Strain; Radar polarimetry; Synthetic aperture radar; Estimation; Minimization; Feature extraction; Speckle; Deformation field; landmarks; pixelwise registration; residual map minimization; synthetic aperture radar (SAR) image</t>
  </si>
  <si>
    <t>IMAGE REGISTRATION; MATCHING ALGORITHM; SPLINES</t>
  </si>
  <si>
    <t>Due to the severe speckle noise and complex local deformation in synthetic aperture radar (SAR) images, robust pixelwise registration with high accuracy is an important problem but is far from being resolved. The core of this problem is how to establish a precise deformation field that maps every pixel to its corresponding pixel with high accuracy. To address this problem, a novel SAR dense-matching algorithm, which includes high-accuracy landmark generation and a precise deformation field parameter estimation, is proposed in this article. First, a strategy for generating enough well-distributed landmarks is proposed by designing patch matching of improved scale-invariant feature transform features based on phase correlation and the gradient method. Furthermore, a multiscale coherent point drift (MCPD), powered by iterative residual map minimization, is designed to reliably match landmarks and estimate precise field parameters. Both simulated deformed SAR images and real SAR images are utilized to evaluate the performance of the proposed method, and the experimental results demonstrate that the proposed method provides better registration performance than previous methods in terms of both accuracy and robustness.</t>
  </si>
  <si>
    <t>[Yu, Qiuze; Wu, Pengjie; Ni, Dawen; Hu, Haibo; Lei, Zhen] Wuhan Univ, Elect Informat Sch, Wuhan 430072, Peoples R China; [An, Jiachun] Wuhan Univ, Chinese Antarctic Ctr Surveying &amp; Mapping, Wuhan 430079, Peoples R China; [Chen, Wen] Shanghai Inst Spaceflight Control Technol, Shanghai Key Lab Aerosp Intelligent Control Techn, Shanghai 200240, Peoples R China</t>
  </si>
  <si>
    <t>Ni, DW (corresponding author), Wuhan Univ, Elect Informat Sch, Wuhan 430072, Peoples R China.</t>
  </si>
  <si>
    <t>2019202120105@whu.edu.cn</t>
  </si>
  <si>
    <t>Hu, Haibo/P-9386-2016</t>
  </si>
  <si>
    <t>Yu, Qiuze/0000-0003-2866-5939; Lei, Zhen/0000-0002-1703-0922; An, Jiachun/0000-0002-3106-0714</t>
  </si>
  <si>
    <t>National Defense Innovation Science Foundation; National Natural Science Foundation of China [61174196]; Innovation Foundation of Equipment Development Department; Innovation Fund of the Shanghai Academy of Spaceflight Technology [SAST2017-080]; Fundamental Research Funds for the Central Universities [2042019kf0220]; Open Project Program Foundation of the Key Laboratory of Opto-Electronics Information Processing, Chinese Academy of Sciences [OEIP-O-202009]; CASIC</t>
  </si>
  <si>
    <t>National Defense Innovation Science Foundation; National Natural Science Foundation of China(National Natural Science Foundation of China (NSFC)); Innovation Foundation of Equipment Development Department; Innovation Fund of the Shanghai Academy of Spaceflight Technology; Fundamental Research Funds for the Central Universities(Fundamental Research Funds for the Central Universities); Open Project Program Foundation of the Key Laboratory of Opto-Electronics Information Processing, Chinese Academy of Sciences; CASIC</t>
  </si>
  <si>
    <t>This work was supported in part by the National Defense Innovation Science Foundation, in part by the National Natural Science Foundation of China under Grant 61174196, in part by the Innovation Foundation of Equipment Development Department and CASIC, in part by the Innovation Fund of the Shanghai Academy of Spaceflight Technology under Grant SAST2017-080, in part by the Fundamental Research Funds for the Central Universities under Grant 2042019kf0220, and in part by the Open Project Program Foundation of the Key Laboratory of Opto-Electronics Information Processing, Chinese Academy of Sciences under Grant OEIP-O-202009. (Corresponding author: Dawen Ni.)</t>
  </si>
  <si>
    <t>10.1109/TGRS.2021.3053636</t>
  </si>
  <si>
    <t>WOS:000726094900095</t>
  </si>
  <si>
    <t>Mori, M; Mizobata, K; Ichii, T; Ziegler, P; Okuda, T</t>
  </si>
  <si>
    <t>Mori, Mao; Mizobata, Kohei; Ichii, Taro; Ziegler, Philippe; Okuda, Takehiro</t>
  </si>
  <si>
    <t>Modeling the egg and larval transport pathways of the Antarctic toothfish (Dissostichus mawsoni) in the East Antarctic region: New insights into successful transport connections</t>
  </si>
  <si>
    <t>FISHERIES OCEANOGRAPHY</t>
  </si>
  <si>
    <t>Antarctic toothfish (Dissostichus mawsoni); coastal recirculation; East Antarctic region; egg and larval transport; fish life history; Lagrangian particle tracking; satellite-derived velocity</t>
  </si>
  <si>
    <t>PATAGONIAN TOOTHFISH; CONTINENTAL-SLOPE; LIFE-HISTORY; WATER MASSES; CIRCULATION; SOUTH; VARIABILITY; FRONTS</t>
  </si>
  <si>
    <t>The Antarctic toothfish (Dissostichus mawsoni) is an important fishery species widely distributed in the Southern Ocean, especially in areas covered by sea ice. Understanding fish distributions and life cycles, including the transport and survival of eggs and larvae, is essential for the assessment and sustainable management of the fishery. However, owing to difficulties with in situ winter observations, information on the early life stages of D. mawsoni is lacking. Here, we investigated the transport pathways of fish eggs and larvae through a particle tracking study, using satellite-derived ocean surface velocities in the East Antarctic region, which includes important D. mawsoni habitats and exploratory fisheries. Our results indicate that particles released from continental slopes are more likely to be successfully transported to suitable settlement grounds than those released from the BANZARE Bank (the southern region of the Kerguelen Plateau), which is situated further north and has been hypothesized to be a potential spawning ground for D. mawsoni. This study demonstrates successful source-settlement connections in relation to ocean recirculation and suggests important settlement regions for D. mawsoni larvae in the East Antarctic region.</t>
  </si>
  <si>
    <t>[Mori, Mao; Mizobata, Kohei] Tokyo Univ Marine Sci &amp; Technol, Dept Ocean Sci, Tokyo, Japan; [Ichii, Taro; Okuda, Takehiro] Japan Fisheries Res &amp; Educ Agcy, Fisheries Resources Inst, Highly Migratory Resources Div, Yokohama, Kanagawa, Japan; [Ziegler, Philippe] Australian Antarct Div, Dept Agr Water &amp; Environm, Kingston, Tas, Australia</t>
  </si>
  <si>
    <t>Tokyo University of Marine Science &amp; Technology; Japan Fisheries Research &amp; Education Agency (FRA); Australian Antarctic Division</t>
  </si>
  <si>
    <t>Mori, M (corresponding author), Tokyo Univ Marine Sci &amp; Technol, Dept Ocean Sci, Minato Ku, Tokyo, Japan.</t>
  </si>
  <si>
    <t>mmori00@kaiyodai.ac.jp</t>
  </si>
  <si>
    <t>; Mizobata, Kohei/D-6369-2012</t>
  </si>
  <si>
    <t>Ziegler, Philippe/0000-0001-5940-9394; Ichii, Taro/0000-0001-6587-2174; Mizobata, Kohei/0000-0001-7531-2349; Mori, Mao/0000-0001-6501-9261</t>
  </si>
  <si>
    <t>Japan Society for the Promotion of Science KAKENHI [JP 19J01838, JP 20H04970, JP 21H03587]; Grants-in-Aid for Scientific Research [20H04970, 21H03587] Funding Source: KAKEN</t>
  </si>
  <si>
    <t>Japan Society for the Promotion of Science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</si>
  <si>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greatly appreciate comments from reviewers and the journal editor, which helped us to improve the manuscript. This research was supported by Japan Society for the Promotion of Science KAKENHI (Grant Numbers JP 19J01838, JP 20H04970, and JP 21H03587).</t>
  </si>
  <si>
    <t>1054-6006</t>
  </si>
  <si>
    <t>1365-2419</t>
  </si>
  <si>
    <t>FISH OCEANOGR</t>
  </si>
  <si>
    <t>Fish Oceanogr.</t>
  </si>
  <si>
    <t>10.1111/fog.12560</t>
  </si>
  <si>
    <t>Fisheries; Oceanography</t>
  </si>
  <si>
    <t>XL9PY</t>
  </si>
  <si>
    <t>WOS:000728472500003</t>
  </si>
  <si>
    <t>Orekhova, A; Barták, M; Hájek, J; Morkusová, J</t>
  </si>
  <si>
    <t>Orekhova, Alla; Bartak, Milos; Hajek, Josef; Morkusova, Jana</t>
  </si>
  <si>
    <t>Species-specific responses of spectral reflectance and the photosynthetic characteristics in two selected Antarctic mosses to thallus desiccation</t>
  </si>
  <si>
    <t>ACTA PHYSIOLOGIAE PLANTARUM</t>
  </si>
  <si>
    <t>Antarctica; Dehydration; Rehydration; Chlorophyll fluorescence; Light response curves; Brachythecium austro-glareosum; Bryum pseudotriquetrum</t>
  </si>
  <si>
    <t>XANTHOPHYLL CYCLE INTERCONVERSIONS; CHLOROPHYLL-A FLUORESCENCE; THERMAL-ENERGY DISSIPATION; TORTULA-RURALIS; TOLERANT MOSS; ULTRAVIOLET-RADIATION; DIFFERENT MECHANISMS; SURFACE REFLECTANCE; PIGMENT COMPOSITION; REACTION CENTERS</t>
  </si>
  <si>
    <t>Mosses are considered highly resistant against desiccation because they maintain photosynthetic activity even when severely dehydrated. In our study, we investigated changes in the photochemical processes of photosynthesis, as well as the spectral reflectance parameters during controlled rehydration and desiccation in two Antarctic species, i.e. Brachythecium austro-glareosum and Bryum pseudotriquetrum. Changes in primary photochemical processes were evaluated by chlorophyll fluorescence, i.e. slow Kautsky kinetics supplemented with saturation light pulses. In desiccating thalli, an effective quantum yield of photosynthetic processes in PS II (phi(PSII)) remained unchanged within low to moderate desiccation, i.e. with a relative water content (RWC) decrease from fully wet (100%) to semidry (30%). Below 20% RWC, phi(PSII) showed a species-specific decline, as well as steady-state fluorescence (F-S). A half-decrease in phi(PSII) was reached at an RWC of 12.6% (B. austro-glareosum) and 9.8% (B. pseudotriquetrum). Rapid light-response curves showed a strong limitation of photosynthetic electron transport (ETR) at an RWC below 20% in both species. The phi(PSII) and ETR data suggested that both species were desiccation-tolerant and well adapted to harsh Antarctic environments. However, B. pseudotriquetrum was more resistant in a state of severe dehydration (RWC below 20%) than B. austro-glareosum. Spectral reflectance indices responded to desiccation either (a) similarly in the two species (normalised difference vegetation index [NDVI]), (b) with similar trends but different values (modified chlorophyll absorption in reflectance index [MCARI] and greenness index [GI]) and (c) species-specifically (photochemical reflectance index [PRI]).</t>
  </si>
  <si>
    <t>[Orekhova, Alla; Bartak, Milos; Hajek, Josef; Morkusova, Jana] Masaryk Univ, Fac Sci, Dept Expt Biol, Lab Photosynthet Proc,Div Plant Physiol &amp; Anat, Kamenice 5, Brno 62500, Czech Republic</t>
  </si>
  <si>
    <t>Barták, M; Hájek, J (corresponding author), Masaryk Univ, Fac Sci, Dept Expt Biol, Lab Photosynthet Proc,Div Plant Physiol &amp; Anat, Kamenice 5, Brno 62500, Czech Republic.</t>
  </si>
  <si>
    <t>mbartak@sci.muni.cz; jhajek@sci.muni.cz</t>
  </si>
  <si>
    <t>Barták, Miloš/F-4714-2019; Hájek, Josef/F-4694-2019</t>
  </si>
  <si>
    <t>Hájek, Josef/0000-0002-2679-1707</t>
  </si>
  <si>
    <t>CzechPolar-I project [CZ.02.1.01/0.0/0.0/16_ 013/0001708, LM2010009, LM2015078]; CzechPolar- II project [CZ.02.1.01/0.0/0.0/16_ 013/0001708, LM2010009, LM2015078]; ECOPOLARIS project [CZ.02.1.01/0.0/0.0/16_ 013/0001708, LM2010009, LM2015078]</t>
  </si>
  <si>
    <t>CzechPolar-I project; CzechPolar- II project; ECOPOLARIS project</t>
  </si>
  <si>
    <t>The authors thank the ECOPOLARIS and CzechPolar-I and II projects (CZ.02.1.01/0.0/0.0/16_ 013/0001708, LM2010009 and LM2015078) for providing facilities and the infrastructure used to conduct the research reported in this study.</t>
  </si>
  <si>
    <t>0137-5881</t>
  </si>
  <si>
    <t>1861-1664</t>
  </si>
  <si>
    <t>ACTA PHYSIOL PLANT</t>
  </si>
  <si>
    <t>Acta Physiol. Plant.</t>
  </si>
  <si>
    <t>10.1007/s11738-021-03339-6</t>
  </si>
  <si>
    <t>XF3QY</t>
  </si>
  <si>
    <t>WOS:000723990000001</t>
  </si>
  <si>
    <t>Hernando, MP; Schloss, IR; de la Rosa, F; de Troch, M</t>
  </si>
  <si>
    <t>Hernando, Marcelo P.; Schloss, Irene R.; de la Rosa, Florencia; de Troch, Marleen</t>
  </si>
  <si>
    <t>Fatty acids in microalgae and cyanobacteria in a changing world: Contrasting temperate and cold environments</t>
  </si>
  <si>
    <t>BIOCELL</t>
  </si>
  <si>
    <t>Antarctic; Temperate; Essential FAs; Increased temperature; Microalgae; Cyanobacteria</t>
  </si>
  <si>
    <t>WEST ANTARCTIC PENINSULA; EICOSAPENTAENOIC ACID; PHAEODACTYLUM-TRICORNUTUM; BIOCHEMICAL-COMPOSITION; DOCOSAHEXAENOIC ACID; HOMEOVISCOUS ADAPTATION; PORPHYRIDIUM-CRUENTUM; CHEMICAL-COMPOSITION; AQUATIC ECOSYSTEMS; LIPID-COMPOSITION</t>
  </si>
  <si>
    <t>Under the present changing climate conditions and the observed temperature increase, it is of high importance to understand its effects on aquatic microbial life, and organisms' adaptations at the biochemical level. To adjust to temperature or salinity stress and avoid cell damage, organisms alter their degree of fatty acids (FAs) saturation. Thus, temperature is expected to have strong effects on both the quantity and quality of FAs in aquatic microorganisms. Here we review some recent findings about FAs sensitivity to climate change in contrasting environments. Overall, heat waves may induce changes in the relative abundance of polyunsaturated FAs (PUFA). However, the impact of the exposure to warming waters is different in temperate and polar environments. In cold marine waters, high concentration of omega-3 (omega 3) FAs such as eicosapentaenoic acid (EPA) is promoted due to the activation of the desaturase enzyme. In this way, cells have enough energy to produce or activate antioxidant protection mechanisms and avoid oxidative stress due to heat waves. Contrastingly, under high irradiance and heat wave conditions in temperate environments, photosystems' protection is achieved by decreasing EPA concentration due to desaturase sensitivity. Essential FAs are transferred in aquatic food webs. Therefore, any alteration in the production of essential FAs by phytoplankton (the main source of omega 3) due to climate warming can be transferred to higher trophic levels, with cascading effects for the entire aquatic ecosystem.</t>
  </si>
  <si>
    <t>[Hernando, Marcelo P.] Comis Nacl Energia Atom CNEA, Ctr Atom Constituyentes, Dept Radiobiol, San Martin, Buenos Aires, Argentina; [Hernando, Marcelo P.] Red Invest Estresores Marinos Costeros Amer Latin, RA-7602 Mar Del Plata, Argentina; [Schloss, Irene R.] Inst Antartico Argentino IAA, San Martin, Buenos Aires, Argentina; [Schloss, Irene R.] Ctr Austral Invest Cient CADIC CONICET, RA-9410 Ushuaia, Argentina; [Schloss, Irene R.] Univ Nacl Tierra Fuego, RA-9410 Ushuaia, Argentina; [de la Rosa, Florencia] Univ Moron, Inst Ciencias Basicas &amp; Expt ICBE, Moron, Buenos Aires, Argentina; [de la Rosa, Florencia] Consejo Nacl Invest Cient &amp; Tecn CONICET, Buenos Aires, DF, Argentina; [de Troch, Marleen] Univ Ghent, Fac Sci, Biol Dept, Marine Biol, B-9000 Ghent, Belgium</t>
  </si>
  <si>
    <t>Comision Nacional de Energia Atomica (CNEA); Consejo Nacional de Investigaciones Cientificas y Tecnicas (CONICET); Consejo Nacional de Investigaciones Cientificas y Tecnicas (CONICET); Ghent University</t>
  </si>
  <si>
    <t>Schloss, IR (corresponding author), Inst Antartico Argentino IAA, San Martin, Buenos Aires, Argentina.;Schloss, IR (corresponding author), Ctr Austral Invest Cient CADIC CONICET, RA-9410 Ushuaia, Argentina.;Schloss, IR (corresponding author), Univ Nacl Tierra Fuego, RA-9410 Ushuaia, Argentina.</t>
  </si>
  <si>
    <t>ireschloss@gmail.com</t>
  </si>
  <si>
    <t>De Troch, Marleen/0000-0002-6800-0299</t>
  </si>
  <si>
    <t>Raices of the Agencia Nacional de Promociones Cientificas of Argentina [ANPCYT PICT 2011-130]; European Union's Horizon 2020 research and innovation program [730984]; CoastCarb [872609]</t>
  </si>
  <si>
    <t>Raices of the Agencia Nacional de Promociones Cientificas of Argentina; European Union's Horizon 2020 research and innovation program; CoastCarb</t>
  </si>
  <si>
    <t>The research leading to these results further received funding grants ANPCYT PICT 2011-130 Raices of the Agencia Nacional de Promociones Cientificas of Argentina to IRS and MPH, and from the European Union's Horizon 2020 research and innovation program under grant agreement No. 730984, ASSEMBLEPLUS2019359 Project awarded to FD. It is further a contribution to CoastCarb (Funding ID 872609, H2020, MSCA-RISE-2019, Research and Innovation Staff Exchange).</t>
  </si>
  <si>
    <t>TECH SCIENCE PRESS</t>
  </si>
  <si>
    <t>HENDERSON</t>
  </si>
  <si>
    <t>871 CORONADO CENTER DR, SUTE 200, HENDERSON, NV 89052 USA</t>
  </si>
  <si>
    <t>0327-9545</t>
  </si>
  <si>
    <t>1667-5746</t>
  </si>
  <si>
    <t>Biocell</t>
  </si>
  <si>
    <t>10.32604/biocell.2022.017309</t>
  </si>
  <si>
    <t>XA8UL</t>
  </si>
  <si>
    <t>WOS:000720915500005</t>
  </si>
  <si>
    <t>Benedetti, M; Giuliani, ME; Mezzelani, M; Nardi, A; Pittura, L; Gorbi, S; Regoli, F</t>
  </si>
  <si>
    <t>Benedetti, Maura; Giuliani, Maria Elisa; Mezzelani, Marica; Nardi, Alessandro; Pittura, Lucia; Gorbi, Stefania; Regoli, Francesco</t>
  </si>
  <si>
    <t>Emerging environmental stressors and oxidative pathways in marine organisms: Current knowledge on regulation mechanisms and functional effects</t>
  </si>
  <si>
    <t>Antioxidant; Pharmaceuticals; Microplastics; Nanoplastics; Ocean acidification; Thermal stress</t>
  </si>
  <si>
    <t>OCEAN ACIDIFICATION; MYTILUS-GALLOPROVINCIALIS; ACETYLCHOLINESTERASE ACTIVITY; POLYSTYRENE MICROPLASTICS; BIOCHEMICAL BIOMARKERS; MITOCHONDRIAL-FUNCTION; TRANSCRIPTOME ANALYSIS; CRASSOSTREA-VIRGINICA; ANTARCTIC BIVALVE; SPARUS-AURATA</t>
  </si>
  <si>
    <t>Oxidative stress is a critical condition derived from the imbalance between the generation of reactive oxygen species and the sophisticated network of antioxidant mechanisms. Several pollutants and environmental factors can affect this system through connected mechanisms, indirect relationships, and cascade effects from pre-transcriptional to catalytic level, by either enhancing intracellular ROS formation or impairing antioxidant defenses. This review summarizes the current knowledge on the pro-oxidant challenges from emerging environmental stressors threatening marine organisms, such as pharmaceuticals, microplastics and climate-related ocean changes. Emphasis will be placed on oxidative pathways, including signaling proteins and transcription factors involved in regulation of antioxidant responsiveness. Mechanistic insights and lack of knowledge will be pointed out by presenting single and combined effects of multiple stressors, unravelling questions to be addressed by future research in marine ecotoxicology.</t>
  </si>
  <si>
    <t>[Benedetti, Maura; Giuliani, Maria Elisa; Mezzelani, Marica; Nardi, Alessandro; Pittura, Lucia; Gorbi, Stefania; Regoli, Francesco] Univ Politecn Marche, Dipartimento Sci Vita &amp; Ambiente, I-60131 Ancona, Italy</t>
  </si>
  <si>
    <t>Marche Polytechnic University</t>
  </si>
  <si>
    <t>Benedetti, M (corresponding author), Univ Politecn Marche, Dipartimento Sci Vita &amp; Ambiente, I-60131 Ancona, Italy.</t>
  </si>
  <si>
    <t>m.benedetti@univpm.it</t>
  </si>
  <si>
    <t>Gorbi, Stefania/K-5662-2016; Nardi, Alessandro/AAH-1535-2021; Regoli, Francesco/K-2719-2018; Giuliani, Maria Elisa/K-5369-2016</t>
  </si>
  <si>
    <t>Regoli, Francesco/0000-0001-6084-6188; Giuliani, Maria Elisa/0000-0002-7487-5171</t>
  </si>
  <si>
    <t>10.32604/biocell.2022.017507</t>
  </si>
  <si>
    <t>WC1ZZ</t>
  </si>
  <si>
    <t>WOS:000704063400005</t>
  </si>
  <si>
    <t>You, C; Sun, TZ; Zhang, GY; Wei, YJ; Zong, Z</t>
  </si>
  <si>
    <t>You, Chuang; Sun, Tiezhi; Zhang, Guiyong; Wei, Yingjie; Zong, Zhi</t>
  </si>
  <si>
    <t>Numerical study on effect of brash ice on water exit dynamics of ventilated cavitation cylinder</t>
  </si>
  <si>
    <t>OCEAN ENGINEERING</t>
  </si>
  <si>
    <t>Water exit; CFD-DEM; Ventilated cavitation; Brash ice zone</t>
  </si>
  <si>
    <t>SIMULATION; INTERFACE; MOTION; MODELS; LOADS</t>
  </si>
  <si>
    <t>This study numerically examines the evolution of cavitation, trajectory, and impact load during the process of water exit of a submerged and ventilated cavitation cylinder in a brash ice zone by coupling the computational fluid dynamics (CFD) method with the discrete element method (DEM). A two-way coupling scheme is used to study the influence on the fluid due to the brash ice. The ice conditions off Wilkes Land in the Antarctic marginal ice zone in late winter were used to formulate a DEM particle model without failure limitation. The brash ice zone was established according to random positions of the ice generated by self-programming. The CFD-DEM coupling method was verified through comparisons with both experimental results and empirical formulae in the literature. The results show that the cavity quickly broke while crossing the water surface, and a prominent formation of spikes was observed in brash ice conditions. The displacement and deflection angle of the cylinder had different features in the two directions perpendicular to the axis. Furthermore, strong alternating loads were observed when the water surface was crossed in comparison with those in ice-free conditions.</t>
  </si>
  <si>
    <t>[You, Chuang; Sun, Tiezhi; Zhang, Guiyong; Zong, Zhi] Dalian Univ Technol, Sch Naval Architecture, State Key Lab Struct Anal Ind Equipment, Dalian 116024, Peoples R China; [Zhang, Guiyong; Zong, Zhi] Collaborat Innovat Ctr Adv Ship &amp; Deep Sea Explor, Shanghai 200240, Peoples R China; [Wei, Yingjie] Harbin Inst Technol, Sch Astronaut, Harbin 150001, Peoples R China</t>
  </si>
  <si>
    <t>Dalian University of Technology; Collaborative Innovation Center for Advanced Ship &amp; Deep Sea Exploration; Harbin Institute of Technology</t>
  </si>
  <si>
    <t>Zhang, GY (corresponding author), Dalian Univ Technol, Sch Naval Architecture, State Key Lab Struct Anal Ind Equipment, Dalian 116024, Peoples R China.</t>
  </si>
  <si>
    <t>gyzhang@dlut.edu.cn</t>
  </si>
  <si>
    <t>You, Chuang/0000-0001-9117-9701</t>
  </si>
  <si>
    <t>National Natural Science Foundation of China [51639003, 52071062, 51709042]; High-tech Ship Research Project of the Ministry of Industry and Information Technology of China [2017-614]; Fundamental Research Funds for Central Universities [DUT20TD108, DUT20LAB308]; Natural Science Foundation of Liaoning Province of China [2020MS106]; China Postdoctoral Science Foundation [2019T120211]; Liao Ning Revi-talization Talents Program [XLYC1908027]</t>
  </si>
  <si>
    <t>National Natural Science Foundation of China(National Natural Science Foundation of China (NSFC)); High-tech Ship Research Project of the Ministry of Industry and Information Technology of China; Fundamental Research Funds for Central Universities(Fundamental Research Funds for the Central Universities); Natural Science Foundation of Liaoning Province of China(Natural Science Foundation of Liaoning Province); China Postdoctoral Science Foundation(China Postdoctoral Science Foundation); Liao Ning Revi-talization Talents Program</t>
  </si>
  <si>
    <t>This work was supported by the National Natural Science Foundation of China (51639003, 52071062, 51709042) , the High-tech Ship Research Project of the Ministry of Industry and Information Technology of China (2017-614) , the Fundamental Research Funds for Central Universities (DUT20TD108, DUT20LAB308) , the Natural Science Foundation of Liaoning Province of China (2020MS106) , and the China Postdoctoral Science Foundation (2019T120211) , the Liao Ning Revi-talization Talents Program (XLYC1908027) . We also thank the Super-computing Center of Dalian University of Technology for providing computation support.</t>
  </si>
  <si>
    <t>0029-8018</t>
  </si>
  <si>
    <t>1873-5258</t>
  </si>
  <si>
    <t>OCEAN ENG</t>
  </si>
  <si>
    <t>Ocean Eng.</t>
  </si>
  <si>
    <t>10.1016/j.oceaneng.2021.110443</t>
  </si>
  <si>
    <t>DEC 2021</t>
  </si>
  <si>
    <t>Engineering, Marine; Engineering, Civil; Engineering, Ocean; Oceanography</t>
  </si>
  <si>
    <t>YJ9FH</t>
  </si>
  <si>
    <t>WOS:000744831300003</t>
  </si>
  <si>
    <t>Wittmann, KJ; Chevaldonné, P</t>
  </si>
  <si>
    <t>Wittmann, Karl J.; Chevaldonne, Pierre</t>
  </si>
  <si>
    <t>First report of the order Mysida (Crustacea) in Antarctic marine ice caves, with description of a new species of Pseudomma and investigations on the taxonomy, morphology and life habits of Mysidetes species</t>
  </si>
  <si>
    <t>ZOOKEYS</t>
  </si>
  <si>
    <t>Development; feeding; key to species; life cycle; marine caves; molecular systematics; polar biology; sensory organs</t>
  </si>
  <si>
    <t>SP-NOV MYSIDA; MARSUPIAL DEVELOPMENT; FRESH-WATER; BIOLOGY; GENUS; DIVERSITY; ISLANDS; OCEAN; HETEROMYSINAE; ADAPTATIONS</t>
  </si>
  <si>
    <t>SCUBA diving explorations of three islands off Dumont d'Urville Station at the coast of Adelie Land, East Antarctica, enabled the observation of marine ice caves. Sampling in this unusual habitat yielded a total of three species of Mysidae, altogether previously poorly known or unknown to science. Pseudomma kryotroglodytum sp. nov. is described, based on the structure of the antennal scale, telson and on cornea-like lateral portions set off against the main body of eyeplates. Mysidetes illigi is re-established at species level after almost a century in synonymy. Re-descriptions are provided for M. illigi and M. hanseni, based on types and ice cave materials. Keys to the Southern Ocean species of Pseudomma and to the world-wide species of Mysidetes are given. Phylogenetic trees are provided for the genera Pseudomma and Mysidetes. 18S rDNA sequences of P. kryotroglodytum differ from GenBank sequences of other Pseudomma species. First sequence data are given for species of the genus Mysidetes: 18S differs between the two examined species and COI is quite diverse between and within species. We found previously unknown, probably sensorial structures in these ice cave species: in P. kryotroglodytum, the basal segment of the antennula shows a pit-like depression with striated pad on the bottom and a median cyst, connected with the bottom of the eyeplate cleft. M. illigi shows a female homologue of the appendix masculina bearing a field of modified setae. Subsequent investigations demonstrated these structures also in species from other habitats. The feeding apparatus and stomach contents of the three ice cave species point to brushing of small particles (detritus, microalgae) from available surfaces, such as sediment, rock and the ice surface. Differences in the feeding apparatus are very subtle between the two Mysidetes species. The high content of fat bodies in M. hanseni could help it to survive periods of starvation. The large storage volume of the foregut in P. kryotroglodytum points to the collection of food with low nutritional quality and could help to balance strongly fluctuating food availability. Summer specimens of M. hanseni showed a bimodal frequency of developmental stages in the marsupium and bimodal size-frequency distribution of free-living stages. The females with younger brood (embryos) were, on average, larger and carried more marsupial young than those with older brood (nauplioid larvae). All examined incubating and spent females showed (almost) empty foreguts and empty ovarian tubes, suggesting possible semelparity and death following the release of young. The absence of juveniles and immature females from summer samples suggests that growth and accumulation of fat and yolk occur outside ice caves, while such caves could be used by fattened adults as shelter for brooding. A provisional interpretation proposes a biannual life cycle for M. hanseni, superimposed with shifted breeding schedules, the latter characterised by early breeding and late breeding females, probably in response to harsh physical and trophic conditions along the continental coast of Antarctica.</t>
  </si>
  <si>
    <t>[Wittmann, Karl J.] Med Univ Vienna, Dept Environm Hlth, Kinderspitalgasse 15, A-1090 Vienna, Austria; [Chevaldonne, Pierre] Aix Marseille Univ, Avignon Univ, Stn Marine Endoume, IMBE,CNRS,IRD, Rue Batterie Lions, F-13007 Marseille, France</t>
  </si>
  <si>
    <t>Medical University of Vienna; Centre National de la Recherche Scientifique (CNRS); Avignon Universite; Institut de Recherche pour le Developpement (IRD); Aix-Marseille Universite</t>
  </si>
  <si>
    <t>Wittmann, KJ (corresponding author), Med Univ Vienna, Dept Environm Hlth, Kinderspitalgasse 15, A-1090 Vienna, Austria.</t>
  </si>
  <si>
    <t>karl.wittmann@meduniwien.ac.at</t>
  </si>
  <si>
    <t>Wittmann, Karl J./0000-0003-1381-2588</t>
  </si>
  <si>
    <t>French Polar Institute (IPEV) programme [1102]</t>
  </si>
  <si>
    <t>French Polar Institute (IPEV) programme</t>
  </si>
  <si>
    <t>Support for the work undertaken in Antarctica was provided via the French Polar Institute (IPEV) programme #1102 POLARIS. This work could not have progressed without the leadership and friendship of Stephane Hourdez, principal investigator of programme #1102, SCUBA dive buddy at DDU and collector of some of the herediscussed samples. IPEV and the French Southern and Antarctic Territories (TAAF) provided all the logistics and permits for working and diving in Antarctica. Working in Antarctica is a permanent challenge that requires teamwork. Additional fellow divers were Sylvain Castanet, Jerome Fournier and Matthieu Robert. Surface safety was provided by Yannick Gentil, Erwan Amice, Laurent Chauvaud and Julien Thebault. Medical supervision was provided by Arash Ariabod, Armelle Grimandi and Jacques Devaux. Boat steering by Claire Davies, Aurelie Guilloux and Yann L'Herrou. All the TAs (mostly 65, 66, 68), DisTAs, IPEV technicians and engineers, Fabien Petit and the helicopter pilots, the Astrolabe (old and new) captains and crew are all acknowledged for being part of this teamwork. Didier Jollivet deserves special thanks for switching seats with PC. Maude Dubois was essential in providing help in DNA sequencing within the framework of the molecular lab (SCBM) of IMBE-Station Marine d'Endoume. PC is indebted to the late Patrick Arnaud and Victor V. Petryashov for their interest and help. Sincere thanks to Charles Oliver Coleman from the Zoological Museum Berlin for information and loan of Zimmer's (1914) materials of Mysidetes species. We are grateful to Torleiv Brattegard (Bergen), Ute Muhlenhardt-Siegel (Hamburg), Masaaki Murano (Tokyo), Mario Roche (Valencia) and Peter Wirtz (Faro) for providing materials for examination.</t>
  </si>
  <si>
    <t>1313-2989</t>
  </si>
  <si>
    <t>1313-2970</t>
  </si>
  <si>
    <t>ZooKeys</t>
  </si>
  <si>
    <t>DEC 31</t>
  </si>
  <si>
    <t>10.3897/zookeys.1079.76412</t>
  </si>
  <si>
    <t>YE0RW</t>
  </si>
  <si>
    <t>WOS:000740840800001</t>
  </si>
  <si>
    <t>Ma, XL; Ma, WT; Tian, J; Yu, JM; Huang, EQ</t>
  </si>
  <si>
    <t>Ma, Xiaolin; Ma, Wentao; Tian, Jun; Yu, Jimin; Huang, Enqing</t>
  </si>
  <si>
    <t>Ice sheet and terrestrial input impacts on the 100-kyr ocean carbon cycle during the Middle Miocene</t>
  </si>
  <si>
    <t>Middle Miocene; Oxygen and carbon isotopes; Carbon cycle; Antarctic ice sheet; Terrestrial inputs</t>
  </si>
  <si>
    <t>EAST EQUATORIAL PACIFIC; ATMOSPHERIC CO2; CLIMATE; RECORD; DELTA-C-13; CHEMISTRY; EVOLUTION; ATLANTIC; DIOXIDE; TEMPERATURE</t>
  </si>
  <si>
    <t>The Middle Miocene (similar to 16-11.6 Ma) had atmospheric CO2 levels comparable to the present day, and thus the mechanisms controlling the interactions of the climate system and the carbon cycle during the Middle Miocene may have significant implications for future climate change. In this study, we examined the phase relationship between benthic foraminiferal delta O-18 and delta C-13 records, within the 100-kyr band, during the Late Quaternary and the Middle Miocene. Our results suggest that benthic foraminiferal delta O-18 and delta C-13 were highly coherent and inphase within the 100-kyr band during the Middle Miocene, in contrast to the anti-phased relationship during the Late Quaternary. However, the causes of this contrast remain elusive. We used a biogeochemical box model to explore the mechanisms of the in-phase relationship in the 100-kyr band during the Middle Miocene. The model results show that the in-phase relationship can be attributed to two mechanisms: (1) a shelf-basin carbonate shift regulated by sea-level fluctuations which originated from the growth and decay of the Antarctic ice sheet, within the 100-kyr band; and (2) changes in terrestrial carbon inputs and the biological pump driven by the discharge of riverine nutrients, which was regulated by precipitation variability in low latitudes, within the eccentricity-modulated precessional band. Thus, we propose that both high- and low-latitude processes played critical roles in the Middle Miocene carbon cycle, within the 100-kyr band. We further show that chemical weathering played a potential role in regulating the atmospheric pCO(2) on the orbital time scale during the Middle Miocene.</t>
  </si>
  <si>
    <t>[Ma, Xiaolin; Ma, Wentao; Tian, Jun; Huang, Enqing] Tongji Univ, State Key Lab Marine Geol, Shanghai 200092, Peoples R China; [Ma, Xiaolin] Chinese Acad Sci, Inst Earth Environm, State Key Lab Loess &amp; Quaternary Geol, Xian 710075, Peoples R China; [Ma, Wentao] Minist Nat Resources, State Key Lab Satellite Ocean Environm Dynam, Inst Oceanog 2, Hangzhou 310012, Peoples R China; [Yu, Jimin] Polit Natl Lab Marine Sci &amp; Technol Qingdao, Qingdao 266237, Peoples R China; [Yu, Jimin] Australian Natl Univ, Res Sch Earth Sci, Canberra, ACT 2601, Australia</t>
  </si>
  <si>
    <t>Tongji University; Chinese Academy of Sciences; Institute of Earth Environment, CAS; Ministry of Natural Resources of the People's Republic of China; Australian National University</t>
  </si>
  <si>
    <t>Ma, XL; Tian, J (corresponding author), Tongji Univ, State Key Lab Marine Geol, Shanghai 200092, Peoples R China.</t>
  </si>
  <si>
    <t>86_PaleoMa@tongji.edu.cn</t>
  </si>
  <si>
    <t>Yu, Jimin/I-7770-2012</t>
  </si>
  <si>
    <t>Huang, Enqing/0000-0002-9290-2719; Ma, Xiaolin/0000-0002-5073-418X</t>
  </si>
  <si>
    <t>Strategic Priority Research Program of the Chinese Academy of Sciences [XDB42000000]; NSFC [42030403, 41776051, 41525020, 41706071, 42176094]; 4th National Highlevel Personnel of Special Support Program of China; National Key Research and Development Program of China [2018YFE0202401]; State Key Laboratory of Loess and Quaternary Geology, Chinese Academy of Sciences [SKLLQGPY2002]</t>
  </si>
  <si>
    <t>Strategic Priority Research Program of the Chinese Academy of Sciences(Chinese Academy of Sciences); NSFC(National Natural Science Foundation of China (NSFC)); 4th National Highlevel Personnel of Special Support Program of China; National Key Research and Development Program of China; State Key Laboratory of Loess and Quaternary Geology, Chinese Academy of Sciences(Chinese Academy of Sciences)</t>
  </si>
  <si>
    <t>W.M. is sponsored by the Strategic Priority Research Program of the Chinese Academy of Sciences (XDB42000000). J.T. is sponsored by the NSFC (42030403, 41776051, 41525020) and the 4th National Highlevel Personnel of Special Support Program of China. E.H. is sponsored by the National Key Research and Development Program of China (2018YFE0202401). X.M. is sponsored by the NSFC (41706071, 42176094) and the State Key Laboratory of Loess and Quaternary Geology, Chinese Academy of Sciences (SKLLQGPY2002).</t>
  </si>
  <si>
    <t>10.1016/j.gloplacha.2021.103723</t>
  </si>
  <si>
    <t>YD5FR</t>
  </si>
  <si>
    <t>WOS:000740438500002</t>
  </si>
  <si>
    <t>Nordt, L; Breecker, D; White, J</t>
  </si>
  <si>
    <t>Nordt, Lee; Breecker, Daniel; White, Joseph</t>
  </si>
  <si>
    <t>Jurassic greenhouse ice-sheet fluctuations sensitive to atmospheric CO2 dynamics</t>
  </si>
  <si>
    <t>NATURE GEOSCIENCE</t>
  </si>
  <si>
    <t>OCEANIC ANOXIC EVENT; LUSITANIAN BASIN; ISOTOPE RECORDS; FOSSIL WOOD; SEQUENCE STRATIGRAPHY; SEAWATER TEMPERATURE; SEA-LEVEL; CARBON; CLIMATE; BELEMNITES</t>
  </si>
  <si>
    <t>Sea-level proxy records and palaeoclimate models suggest that globally elevated temperatures during the greenhouse climate of the Jurassic were punctuated by poorly understood, transient icehouse events. Here we investigate atmospheric CO2 ice-sheet dynamics as a case study from the Early Jurassic Pliensbachian-Toarcian transition (182.7-180.6 million years ago). Applying the C3CO2 plant proxy to previously published fossil wood data reveals that CO2 levels during this transition ranged from 250 to 400 ppm. Previously published belemnite delta O-18 values suggest that sea-level low stands were equivalent to ice volumes up to two-thirds of Antarctica today. Beginning with the Toarcian ocean anoxic event, these ice sheets largely melted when CO2 reached sustained concentrations of -500-700 ppm. Compared with the Cenozoic East Antarctic Ice Sheet and ice sheets modelled for the Middle Jurassic, Early Jurassic ice sheets exhibit minimal lags (hysteresis) between warming and cooling limbs, suggesting they were thin and located at lower latitudes and elevations with a higher temperature sensitivity to melting. These sensitivities of ice volume to CO2 provide additional constraints on climate models for application to warming transitions in both the past and future.</t>
  </si>
  <si>
    <t>[Nordt, Lee] Baylor Univ, Dept Geosci, Waco, TX 76798 USA; [Breecker, Daniel] Univ Texas Austin, Dept Geol Sci, Austin, TX USA; [White, Joseph] Baylor Univ, Dept Biol, Waco, TX 76798 USA</t>
  </si>
  <si>
    <t>Baylor University; University of Texas System; University of Texas Austin; Baylor University</t>
  </si>
  <si>
    <t>Nordt, L (corresponding author), Baylor Univ, Dept Geosci, Waco, TX 76798 USA.</t>
  </si>
  <si>
    <t>lee_nordt@baylor.edu</t>
  </si>
  <si>
    <t>Breecker, Dan/0000-0003-0200-223X</t>
  </si>
  <si>
    <t>1752-0894</t>
  </si>
  <si>
    <t>1752-0908</t>
  </si>
  <si>
    <t>NAT GEOSCI</t>
  </si>
  <si>
    <t>Nat. Geosci.</t>
  </si>
  <si>
    <t>10.1038/s41561-021-00858-2</t>
  </si>
  <si>
    <t>YJ9WQ</t>
  </si>
  <si>
    <t>WOS:000736438900002</t>
  </si>
  <si>
    <t>Aoki, Y; Zaitsu, Y; Kurita, M; Phillips, RA; Tadano, R</t>
  </si>
  <si>
    <t>Aoki, Yuna; Zaitsu, Yosuke; Kurita, Masanori; Phillips, Richard A.; Tadano, Ryo</t>
  </si>
  <si>
    <t>Genetic diversity and structure of captive gentoo penguin populations in Japan</t>
  </si>
  <si>
    <t>ZOO BIOLOGY</t>
  </si>
  <si>
    <t>captive management; genetic variability; microsatellite; population genetics; subspecies</t>
  </si>
  <si>
    <t>COMPUTER-PROGRAM; MICROSATELLITE; SOFTWARE; SIZE; DIFFERENTIATION</t>
  </si>
  <si>
    <t>Until the last decade, gentoo penguins were usually split into two subspecies, northern gentoo penguins (Pygoscelis papua papua) breeding in the Falkland Islands, South Georgia, and other subantarctic islands and southern gentoo penguins (P. papua ellsworthi) breeding in the South Sandwich, South Orkney and South Shetland islands, and Antarctic Peninsula. Recent genetics research, however, suggests that the population at South Georgia is much more closely related to those further south and should be included in P. papua ellsworthi. In Japanese zoos and aquariums, captive breeding of gentoo penguins is conducted separately in three populations: Captive-South Georgia, originating from South Georgia, Captive-South Shetlands, originating from South Shetlands, and Captive-Unknown, originating from at least one founder of unknown subspecies. The aims of the present study were to investigate the genetic diversity and differentiation of these captive populations using microsatellite analysis. Genetic diversity in each captive population was similar to that found in the wild, although they had much lower contemporary effective population sizes. Pairwise genetic differentiation indexes (F-ST) among the three captive populations were as follows: 0.0309 (Captive-South Georgia and Captive-Unknown), 0.1094 (Captive-South Georgia and Captive-South Shetlands), and 0.1214 (Captive-South Shetlands and Captive-Unknown). Using Bayesian clustering, there was relatively high genetic differentiation between the Captive-South Shetlands group, which formed a distinct cluster, and individuals of the Captive-Unknown group, which were assigned to clusters in common with Captive-South Georgia. The results from the present study are useful for future management of captive gentoo penguin populations in Japan.</t>
  </si>
  <si>
    <t>[Aoki, Yuna; Tadano, Ryo] Gifu Univ, Fac Appl Biol Sci, 1-1 Yanagido, Gifu 5011193, Japan; [Zaitsu, Yosuke; Kurita, Masanori] Port Nagoya Publ Aquarium, Nagoya, Aichi, Japan; [Phillips, Richard A.] British Antarctic Survey, Nat Environm Res Council, Cambridge, England</t>
  </si>
  <si>
    <t>Gifu University; UK Research &amp; Innovation (UKRI); Natural Environment Research Council (NERC); NERC British Antarctic Survey</t>
  </si>
  <si>
    <t>Tadano, R (corresponding author), Gifu Univ, Fac Appl Biol Sci, 1-1 Yanagido, Gifu 5011193, Japan.</t>
  </si>
  <si>
    <t>tadano@gifu-u.ac.jp</t>
  </si>
  <si>
    <t>Wild Animal Fund of the Japanese Association of Zoos and Aquariums; NERC [bas0100035] Funding Source: UKRI</t>
  </si>
  <si>
    <t>Wild Animal Fund of the Japanese Association of Zoos and Aquariums; NERC(UK Research &amp; Innovation (UKRI)Natural Environment Research Council (NERC))</t>
  </si>
  <si>
    <t>Wild Animal Fund of the Japanese Association of Zoos and Aquariums</t>
  </si>
  <si>
    <t>0733-3188</t>
  </si>
  <si>
    <t>1098-2361</t>
  </si>
  <si>
    <t>ZOO BIOL</t>
  </si>
  <si>
    <t>Zoo Biol.</t>
  </si>
  <si>
    <t>10.1002/zoo.21666</t>
  </si>
  <si>
    <t>Veterinary Sciences; Zoology</t>
  </si>
  <si>
    <t>0X1ID</t>
  </si>
  <si>
    <t>WOS:000736473500001</t>
  </si>
  <si>
    <t>Casto-Boggess, LD; Golozar, M; Butterworth, AL; Mathies, RA</t>
  </si>
  <si>
    <t>Casto-Boggess, Laura D.; Golozar, Matin; Butterworth, Anna L.; Mathies, Richard A.</t>
  </si>
  <si>
    <t>Optimization of Fluorescence Labeling of Trace Analytes: Application to Amino Acid Biosignature Detection with Pacific Blue</t>
  </si>
  <si>
    <t>ANALYTICAL CHEMISTRY</t>
  </si>
  <si>
    <t>CAPILLARY-ELECTROPHORESIS; ISOTHIOCYANATE; SENSITIVITY; SAMPLES; FLOW; DNA</t>
  </si>
  <si>
    <t>Fluorescence labeling of biomolecules and fluorescence detection platforms provide a powerful approach to high-sensitivity bioanalysis. Reactive probes can be chosen to target specific functional groups to enable selective analysis of a chosen class of analytes. Particularly, when targeting trace levels of analytes, it is important to optimize the reaction chemistry to maximize the labeling efficiency and minimize the background. Here, we develop methods to optimize the labeling and detection of Pacific Blue (PB)-tagged amino acids. A model is developed to quantitate labeling kinetics and completeness in the circumstance where analyte labeling and reactive probe hydrolysis are in competition. The rates of PB hydrolysis and amino acid labeling are determined as a function of pH. Labeling kinetics and completeness as a function of PB concentration are found to depend on the ratio of the hydrolysis time to the initial labeling time, which depends on the initial PB concentration. Finally, the optimized labeling and detection conditions are used to perform capillary electrophoresis analysis demonstrating 100 pM sensitivities and high-efficiency separations of an 11 amino acid test set. This work provides a quantitative optimization model that is applicable to a variety of reactive probes and targets. Our approach is particularly useful for the analysis of trace amine and amino acid biosignatures in extraterrestrial samples. For illustration, our optimized conditions (reaction at 4 degrees C in a pH 8.5 buffer) are used to detect trace amino acid analytes at the 100 pM level in an Antarctic ice core sample.</t>
  </si>
  <si>
    <t>[Golozar, Matin; Mathies, Richard A.] Univ Calif Berkeley, Chem Dept, Berkeley, CA 94720 USA; [Casto-Boggess, Laura D.; Golozar, Matin; Butterworth, Anna L.; Mathies, Richard A.] Univ Calif Berkeley, Space Sci Lab, Berkeley, CA 94720 USA</t>
  </si>
  <si>
    <t>University of California System; University of California Berkeley; University of California System; University of California Berkeley</t>
  </si>
  <si>
    <t>Mathies, RA (corresponding author), Univ Calif Berkeley, Chem Dept, Berkeley, CA 94720 USA.;Casto-Boggess, LD; Mathies, RA (corresponding author), Univ Calif Berkeley, Space Sci Lab, Berkeley, CA 94720 USA.</t>
  </si>
  <si>
    <t>laura.casto@berkeley.edu; ramathies@berkeley.edu</t>
  </si>
  <si>
    <t>Butterworth, Anna/0000-0002-6439-1472; Golozar, Matin/0000-0003-1133-1588; Casto-Boggess, Laura/0000-0003-0493-4241</t>
  </si>
  <si>
    <t>National Aeronautics and Space Administration (NASA) [80NSSC 17K0600, 80NSSC19K0616]</t>
  </si>
  <si>
    <t>National Aeronautics and Space Administration (NASA)(National Aeronautics &amp; Space Administration (NASA))</t>
  </si>
  <si>
    <t>This research was supported by the National Aeronautics and Space Administration (NASA) under grant no. 80NSSC 17K0600 issued by the SMD/Planetary Science Division through the MatISSE Program and by 80NSSC19K0616 issued by the SMD/Planetary Science Division through the ICEE-2 Program. The authors would like to thank Kees Welten and NSF ICF Science Director Mark Twickler for providing WAIS samples used in this work. The authors also would like to thank the reviewers for valuable feedback.</t>
  </si>
  <si>
    <t>0003-2700</t>
  </si>
  <si>
    <t>1520-6882</t>
  </si>
  <si>
    <t>ANAL CHEM</t>
  </si>
  <si>
    <t>Anal. Chem.</t>
  </si>
  <si>
    <t>10.1021/acs.analchem.1c04465</t>
  </si>
  <si>
    <t>ZP1QT</t>
  </si>
  <si>
    <t>WOS:000739347300001</t>
  </si>
  <si>
    <t>Sánchez-Jardón, L; del Rio-Hortega, L; Cea, NN; Mingarro, M; Manubens, P; Zambrano, S; Gallo, BA</t>
  </si>
  <si>
    <t>Sanchez-Jardon, Laura; del Rio-Hortega, Laura; Cea, Noemi Nunez; Mingarro, Mario; Manubens, Paloma; Zambrano, Sebastian; Gallo, Belen Acosta</t>
  </si>
  <si>
    <t>Fungal literature records database of the sub-Antarctic Region of Aysen, Chile</t>
  </si>
  <si>
    <t>Chilean Patagonia; macrofungi; lichens; Mycobiota; SiB-Aysen; GBIF</t>
  </si>
  <si>
    <t>BIODIVERSITY; AISEN</t>
  </si>
  <si>
    <t>To this day, merely 8% of all estimated fungi species are documented and, in certain regions, its biodiversity is practically unknown. Inside the Fungi Kingdom, macrofungi and lichens assume a critical part in the ecosystem functionality and have a historical connection to mankind's social, clinical and nutritious uses. Despite their importance, the diversity of these groups has been widely overlooked in the sub-Antarctic Region of Chile, a crucial area in the study of climate change due to its extraordinary biodiversity and its proximity to Antarctica. Few studies regarding both groups have been conducted in this sub-Antarctic Region and the data are still scarce and inaccessible, as these are only published in specialised journals, unreachable to local communities. This publication presents a records compilation available in previous published scientific and technical reports on macrofungi and lichen diversity. In total, 1263 occurrence records of 618 species (341 records of 251 macrofungi species and 922 records of 367 lichen species) were digitised and integrated into the regional platform Biodiversity Information System for Aysen (SIB-Aysen) and into GBIF. Here, we provide the fullest dataset on one of the most diverse group of living beings in one of the the least-known world regions.</t>
  </si>
  <si>
    <t>[Sanchez-Jardon, Laura; Zambrano, Sebastian] Univ Magallanes, Coyhaique, Chile; [del Rio-Hortega, Laura; Mingarro, Mario] RIAMA Red Investigadores Actuando El Medio Ambien, Madrid, Spain; [del Rio-Hortega, Laura; Cea, Noemi Nunez; Manubens, Paloma; Gallo, Belen Acosta] Univ Complutense, Madrid, Spain; [Mingarro, Mario] Museo Nacl Ciencias Nat CSIC, Madrid, Spain</t>
  </si>
  <si>
    <t>Universidad de Magallanes; Complutense University of Madrid; Consejo Superior de Investigaciones Cientificas (CSIC); CSIC - Museo Nacional de Ciencias Naturales (MNCN)</t>
  </si>
  <si>
    <t>Sánchez-Jardón, L (corresponding author), Univ Magallanes, Coyhaique, Chile.</t>
  </si>
  <si>
    <t>lsjardon@gmail.com</t>
  </si>
  <si>
    <t>Manubens Coda, Paloma/CAF-1296-2022; Zambrano, Sebastian/JKH-6780-2023; Manubens, Paloma/JXX-9761-2024</t>
  </si>
  <si>
    <t>Manubens Coda, Paloma/0000-0002-3704-9452; Zambrano, Sebastian/0000-0002-9755-4899; Sanchez-Jardon, Laura/0000-0002-4815-5445; Mingarro Lopez, Mario/0000-0003-3977-7944; del Rio-Hortega, Laura/0000-0002-9278-0539</t>
  </si>
  <si>
    <t>Chile's Innovation for Competitiveness Fund (FIC) [BIP 30346481-0, BIP 40000521-0]</t>
  </si>
  <si>
    <t>Chile's Innovation for Competitiveness Fund (FIC)</t>
  </si>
  <si>
    <t>We especially acknowledge all participants amongst the local communities and team members who contributed to systematise data to SIB-Aysen. Chile's Innovation for Competitiveness Fund (FIC) provided funding for both SIB-Aysen (BIP 30346481-0) and the Open Laboratory for Sub-Antarctic Sciences (BIP 40000521-0) initiatives.</t>
  </si>
  <si>
    <t>DEC 29</t>
  </si>
  <si>
    <t>e75951</t>
  </si>
  <si>
    <t>10.3897/BDJ.9.e75951</t>
  </si>
  <si>
    <t>YB3ET</t>
  </si>
  <si>
    <t>WOS:000738900600002</t>
  </si>
  <si>
    <t>Ezer, T; Dangendorf, S</t>
  </si>
  <si>
    <t>Ezer, Tal; Dangendorf, Sonke</t>
  </si>
  <si>
    <t>Spatiotemporal variability of the ocean since 1900: testing a new analysis approach using global sea level reconstruction</t>
  </si>
  <si>
    <t>OCEAN DYNAMICS</t>
  </si>
  <si>
    <t>Spatiotemporal variability; Sea level; Climate change</t>
  </si>
  <si>
    <t>EMPIRICAL MODE DECOMPOSITION; NORTH-ATLANTIC OSCILLATION; MERIDIONAL OVERTURNING CIRCULATION; FLORIDA CURRENT TRANSPORT; GULF-STREAM; RISE; TRENDS; INTENSIFICATION; ACCELERATION; SHIFT</t>
  </si>
  <si>
    <t>A new approach for analysis of spatiotemporal variability across ocean basins was tested using global 1 degrees x 1 degrees monthly sea level reconstruction (RecSL) for 1900-2015. Each sea level cross section eta(x,t) was converted into a single time series that contains both spatial and temporal variabilities by connecting back and forth repeated monthly sections. For example, a single zonal section between 50 degrees W and 50 degrees E would create a time series of 116 years x 12 months x 100 degrees = 139,200 data points. The long record allowed great statistical significance and direct comparison between energy in spatial variability and energy in temporal variability. Time and length scales found in 116 years of RecSL data are compared with 23 years of altimeter data. Empirical Mode Decomposition (EMD) was then used to break the record into high-frequency modes representing spatial variability across the section and lower frequency modes representing temporal variability (capturing time scales of a few months to multidecadal). Examples of the spatiotemporal analysis in the Pacific Ocean showed how the method detected an increase in El Nino amplitude in equatorial regions and characterized spatiotemporal changes in the Kuroshio Current in mid-latitudes. In the Atlantic Ocean, the analysis showed the latitudinal dependency of spatiotemporal variability: for example, sections near the Gulf Stream (GS) and the Antarctic Circumpolar Current (ACC) showed energy dominated by small-scale spatial variability while sections across equatorial and subpolar North Atlantic regions showed energy dominated by long-term temporal variability and diminishing energy in spatial variability. The impact of the North Atlantic Oscillation (NAO) index on spatiotemporal variability showed that interannual variations in NAO are highly correlated with subpolar sea level variability, while decadal and longer variations in NAO are linked with sea level variations at the equatorial South Atlantic and the Antarctic zone. This analysis can be useful for other observations and various climate data.</t>
  </si>
  <si>
    <t>[Ezer, Tal; Dangendorf, Sonke] Old Dominion Univ, Ctr Coastal Phys Oceanog, 4111 Monarch Way, Norfolk, VA 23508 USA</t>
  </si>
  <si>
    <t>Old Dominion University</t>
  </si>
  <si>
    <t>Ezer, T (corresponding author), Old Dominion Univ, Ctr Coastal Phys Oceanog, 4111 Monarch Way, Norfolk, VA 23508 USA.</t>
  </si>
  <si>
    <t>tezer@odu.edu</t>
  </si>
  <si>
    <t>; Dangendorf, Sonke/K-7988-2012</t>
  </si>
  <si>
    <t>Ezer, Tal/0000-0002-2018-6071; Dangendorf, Sonke/0000-0002-3679-5234</t>
  </si>
  <si>
    <t>1616-7341</t>
  </si>
  <si>
    <t>1616-7228</t>
  </si>
  <si>
    <t>OCEAN DYNAM</t>
  </si>
  <si>
    <t>Ocean Dyn.</t>
  </si>
  <si>
    <t>10.1007/s10236-021-01494-5</t>
  </si>
  <si>
    <t>XY6QA</t>
  </si>
  <si>
    <t>WOS:000735353300001</t>
  </si>
  <si>
    <t>Szabo, D; Nuske, MR; Lavers, JL; Shimeta, J; Green, MP; Mulder, RA; Clarke, BO</t>
  </si>
  <si>
    <t>Szabo, Drew; Nuske, Madison R.; Lavers, Jennifer L.; Shimeta, Jeff; Green, Mark P.; Mulder, Raoul A.; Clarke, Bradley O.</t>
  </si>
  <si>
    <t>A baseline study of per- and polyfluoroalkyl substances (PFASs) in waterfowl from a remote Australian environment</t>
  </si>
  <si>
    <t>Avian; Anatidae; Tasmania; Ducks; Bioaccumulation</t>
  </si>
  <si>
    <t>PERFLUOROALKYL SUBSTANCES; PERFLUOROOCTANE SULFONATE; PERFLUORINATED COMPOUNDS; ORGANIC POLLUTANTS; THYROID-HORMONES; CARBOXYLIC-ACIDS; ARCTIC MARINE; CONTAMINANTS; PFOS; SURFACTANTS</t>
  </si>
  <si>
    <t>Elevated concentrations of PFASs in the liver may pose a toxicological risk to bird species and humans that consume them. This study aimed to determine concentrations of 43 per- and polyfluoroalkyl substances (PFASs) in livers (n = 80) of Australian Shelducks (Tadorna tadornoides), Pacific Black Ducks (Anas superciliosa), and Teals (Anas sp.), as well as water and sediment from a remote Australian environment. Maximum concentrations of PFBA (1.9 ng L-1), PFOA (1.7 ng L-1) and PFOS (0.99 ng L-1) in water were consistent with long-range atmospheric and oceanic transport. PFOS (30%) and PFNA (22%) were the most frequently detected PFASs in Australian Shelduck livers (0.31 +/- 0.68 ng g-1 ww and 0.16 +/- 0.15 ng g-1 ww respectively). Maximum concentrations of PFOS in Pacific Black Ducks (50%) and Teals (44%) was 2.4 ng g-1 ww and 5.3 ng g-1 ww respectively. While PFAS levels in birds from this remote environment were below current animal consumption guidelines, continued monitoring of this ecosystem is recommended to assess the human health risk of consumption of wild game.</t>
  </si>
  <si>
    <t>[Szabo, Drew; Clarke, Bradley O.] Univ Melbourne, Sch Chem, Australian Lab Emerging Contaminants, Melbourne, Vic 3010, Australia; [Nuske, Madison R.] Univ Melbourne, Sch Chem, Melbourne, Vic 3010, Australia; [Lavers, Jennifer L.] Univ Tasmania, Inst Marine &amp; Antarctic Studies, Battery Point 7004, Australia; [Shimeta, Jeff] RMIT Univ, Sch Sci, Melbourne, Vic 3000, Australia; [Green, Mark P.; Mulder, Raoul A.] Univ Melbourne, Sch BioSci, Melbourne, Vic 3010, Australia</t>
  </si>
  <si>
    <t>Melbourne Genomics Health Alliance; University of Melbourne; University of Melbourne; Melbourne Bioinformatics; University of Tasmania; Royal Melbourne Institute of Technology (RMIT); Melbourne Genomics Health Alliance; Melbourne Genomics Health Alliance; University of Melbourne</t>
  </si>
  <si>
    <t>Clarke, BO (corresponding author), Univ Melbourne, Sch Chem, Australian Lab Emerging Contaminants, Melbourne, Vic 3010, Australia.</t>
  </si>
  <si>
    <t>brad.clarke@unimelb.edu.au</t>
  </si>
  <si>
    <t>Clarke, Bradley/U-9333-2017; Lavers, Jennifer/O-4831-2017; Lavers, Jennifer/IWM-5417-2023; Szabo, Drew/HPC-8498-2023</t>
  </si>
  <si>
    <t>Clarke, Bradley/0000-0002-4559-9585; Lavers, Jennifer/0000-0001-7596-6588; Szabo, Drew/0000-0002-0089-9218</t>
  </si>
  <si>
    <t>University of Melbourne; Melbourne Water; Water Research Australia</t>
  </si>
  <si>
    <t>University of Melbourne(University of Melbourne); Melbourne Water; Water Research Australia</t>
  </si>
  <si>
    <t>The authors acknowledge the Traditional Owners of the land on which this study was conducted, theWurundjeri and BoonWurrung peoples of the Kulin Nation and the Puthimiluna peoples of the Nipaluna Nation. This project is funded, in part, by the University of Melbourne, Melbourne Water and Water Research Australia. Samples were collected with the permission of the University of Tasmania Animal Ethics Committee, Department of Primary Industries, Parks, Water and Environment (FA 19007), the Victorian Department of Environment, Land, Planning and Water (10009019) and individual permits from hunters that generously donated samples of liver. Field support was kindly provided by A. Fidler (Adrift Lab), Dr. B. Jackson, G. Kean, T. Wheelan and the Moulting Lagoon community.</t>
  </si>
  <si>
    <t>10.1016/j.scitotenv.2021.152528</t>
  </si>
  <si>
    <t>YD2KT</t>
  </si>
  <si>
    <t>WOS:000740206400015</t>
  </si>
  <si>
    <t>Weidberg, N; Hernandez, NS; Renner, AHH; Falk-Petersen, S; Basedow, SL</t>
  </si>
  <si>
    <t>Weidberg, Nicolas; Hernandez, Nestor Santana; Renner, Angelika H. H.; Falk-Petersen, Stig; Basedow, Sunnje L.</t>
  </si>
  <si>
    <t>Large scale patches of Calanus finmarchicus and associated hydrographic conditions off the Lofoten archipelago</t>
  </si>
  <si>
    <t>JOURNAL OF MARINE SYSTEMS</t>
  </si>
  <si>
    <t>Zooplankton aggregations; Copepods; Spatial autocorrelation; Diel vertical migration; Sea level anomaly</t>
  </si>
  <si>
    <t>OPTICAL PLANKTON COUNTER; NE NORWEGIAN SEA; VERTICAL MIGRATION; RIVER PLUME; MEROPLANKTON DISTRIBUTION; PHYTOPLANKTON BLOOM; ANTARCTIC KRILL; BARNACLE LARVAE; NORTHERN NORWAY; ARCTIC FJORD</t>
  </si>
  <si>
    <t>Large swarms of individuals at different spatiotemporal scales characterise the distributions of many animal species. In the ocean several mesozooplankton taxa aggregate in large patches or swarms driven by active behavioural responses to hydrographic structures, although intrinsic biotic characteristics of species ' life cycles not related with the environment can also affect spatial distributions. To understand the mechanisms of aggregation and disentangle environmental and pure spatial effects contributing to patch formation, we extensively sampled a large Calanus finmarchicus patch off the Lofoten islands, northern Norway, in spring 2017 by means of Laser Optical Plankton Counter (LOPC) cross shelf transects and biophysical samplings at fixed stations. We observed a clear association between the buoyant layer of the fresh, cold Norwegian Coastal Current (NCC) and high surface copepod abundances. Off shelf lateral displacements of the NCC along its path may retain copepods from the offshore basins. At deeper layers, copepod abundances increased markedly at regions with low sea level anomalies and reduced vertical flows. Our results also suggest that copepods performed short range diel vertical migration within the patch. Potential future changes in the seasonality and structure of the NCC and their impact on swarm occurrence and formation are discussed.</t>
  </si>
  <si>
    <t>[Weidberg, Nicolas; Hernandez, Nestor Santana; Basedow, Sunnje L.] UiT Arctic Univ Norway, Dept Arctic &amp; Marine Biol, N-9019 Tromso, Norway; [Renner, Angelika H. H.] Fram Ctr, Inst Marine Res, N-9296 Tromso, Norway; [Falk-Petersen, Stig] Fram Ctr, Akvaplan Niva, N-9296 Tromso, Norway; [Weidberg, Nicolas] Univ South Carolina, Dept Biol Sci, Columbia, SC 29208 USA; [Weidberg, Nicolas] Univ Vigo, Coastal Ecol Grp, Vigo 36310, Spain</t>
  </si>
  <si>
    <t>UiT The Arctic University of Tromso; Institute of Marine Research - Norway; Akvaplan-niva; University of South Carolina System; University of South Carolina Columbia; Universidade de Vigo</t>
  </si>
  <si>
    <t>Weidberg, N (corresponding author), UiT Arctic Univ Norway, Dept Arctic &amp; Marine Biol, N-9019 Tromso, Norway.;Weidberg, N (corresponding author), Univ South Carolina, Dept Biol Sci, Columbia, SC 29208 USA.;Weidberg, N (corresponding author), Univ Vigo, Coastal Ecol Grp, Vigo 36310, Spain.</t>
  </si>
  <si>
    <t>j_weiberg@hotmail.com; angelika.renner@hi.no; sfp@akvaplan.niva.no; sunnje.basedow@uit.no</t>
  </si>
  <si>
    <t>Basedow, Sunnje Linnea/0000-0001-6000-6090</t>
  </si>
  <si>
    <t>Norwegian Research Council [268391/E40]; NASA [80NSSC20K0074]</t>
  </si>
  <si>
    <t>Norwegian Research Council(Research Council of Norway); NASA(National Aeronautics &amp; Space Administration (NASA))</t>
  </si>
  <si>
    <t>We thank captain and crew of R/V Helmer Hanssen and the en-gineers of UiT. This study is part of the project Sustainable harvesting of a patchy resource: aggregation mechanisms and implications for stock size estimates (Sea Patches)  that was supported by the Norwegian Research Council (grant number 268391/E40) . During data processing and manuscript elaboration, N. Weidberg was funded by NASA grant 80NSSC20K0074.</t>
  </si>
  <si>
    <t>0924-7963</t>
  </si>
  <si>
    <t>1879-1573</t>
  </si>
  <si>
    <t>J MARINE SYST</t>
  </si>
  <si>
    <t>J. Mar. Syst.</t>
  </si>
  <si>
    <t>10.1016/j.jmarsys.2021.103697</t>
  </si>
  <si>
    <t>Geosciences, Multidisciplinary; Marine &amp; Freshwater Biology; Oceanography</t>
  </si>
  <si>
    <t>Geology; Marine &amp; Freshwater Biology; Oceanography</t>
  </si>
  <si>
    <t>YB5ZT</t>
  </si>
  <si>
    <t>WOS:000739090800002</t>
  </si>
  <si>
    <t>Huang, BY; Wang, ZM; Yin, XG; Arguez, A; Graham, G; Liu, CY; Smith, T; Zhang, HM</t>
  </si>
  <si>
    <t>Huang, Boyin; Wang, Zhaomin; Yin, Xungang; Arguez, Anthony; Graham, Garrett; Liu, Chunying; Smith, Tom; Zhang, Huai-Min</t>
  </si>
  <si>
    <t>Prolonged Marine Heatwaves in the Arctic: 1982-2020</t>
  </si>
  <si>
    <t>sea surface temperature; marine heatwaves; surface air temperature; sea-ice; cloud</t>
  </si>
  <si>
    <t>SEA-SURFACE TEMPERATURE; SIMULATED HEAT-WAVE; IN-SITU; SATELLITE; CLIMATE; IMPACTS; CLOUD; ICE; VARIABILITY; COVER</t>
  </si>
  <si>
    <t>Studies have indicated that marine heatwaves (MHWs) have had severe impacts on the marine ecosystem in the Pacific, Atlantic, and Indian Oceans, but there have been few studies focused on MHWs in the Arctic. On the other hand, amplified rapid warming in the Arctic region makes it a hotspot strategically and economically worldwide. In this study, we documented that the average intensity of MHWs in the Arctic was comparable with that in the other regions of the global oceans. The annual intensity, frequency, duration, and areal coverage of MHWs have increased significantly in recent decades. The increase of the annual duration is mainly owing to the postponed end time, thus the prolonged periods, of the MHW seasons. Our analysis indicates that the increasing trends of the annual intensity, frequency, duration, and areal coverage in the Arctic are closely associated with the increasing surface air temperature and decreasing sea-ice concentration under the global warming environment. These features are robust across three different sea surface temperature (SST) products and using different MHW criteria.</t>
  </si>
  <si>
    <t>[Huang, Boyin; Yin, Xungang; Arguez, Anthony; Graham, Garrett; Liu, Chunying; Zhang, Huai-Min] NOAA Natl Ctr Environm Informat, Asheville, NC 28801 USA; [Wang, Zhaomin] Southern Marine Sci &amp; Engn Guangdong Lab Zhuhai, Zhuhai, Peoples R China; [Wang, Zhaomin] Hohai Univ, Key Lab Marine Hazards Forecasting, Minist Nat Resources, Nanjing, Peoples R China; [Yin, Xungang; Liu, Chunying] Riverside Technol Inc, Asheville, NC USA; [Graham, Garrett] North Carolin State Univ, North Carolina Inst Climate Studies, Asheville, NC USA; [Smith, Tom] NOAA Ctr Satellite Applicat &amp; Res, College Pk, MD USA</t>
  </si>
  <si>
    <t>Southern Marine Science &amp; Engineering Guangdong Laboratory; Southern Marine Science &amp; Engineering Guangdong Laboratory (Zhuhai); Ministry of Natural Resources of the People's Republic of China; Hohai University</t>
  </si>
  <si>
    <t>Huang, BY (corresponding author), NOAA Natl Ctr Environm Informat, Asheville, NC 28801 USA.;Wang, ZM (corresponding author), Southern Marine Sci &amp; Engn Guangdong Lab Zhuhai, Zhuhai, Peoples R China.;Wang, ZM (corresponding author), Hohai Univ, Key Lab Marine Hazards Forecasting, Minist Nat Resources, Nanjing, Peoples R China.</t>
  </si>
  <si>
    <t>boyin.huang@noaa.gov; zhaomin.wang@hhu.edu.cn</t>
  </si>
  <si>
    <t>Arguez, Anthony/I-9375-2017</t>
  </si>
  <si>
    <t>Huang, Boyin/0000-0002-2286-1659</t>
  </si>
  <si>
    <t>Innovation Group Project of Southern Marine Science and Engineering Guangdong Laboratory (Zhuhai) [311021008]; Innovative Platform Program of Chinese Arctic and Antarctic Administration [CXPT2020009]; National Natural Science Foundation of China [41941007, 41876220]</t>
  </si>
  <si>
    <t>Innovation Group Project of Southern Marine Science and Engineering Guangdong Laboratory (Zhuhai); Innovative Platform Program of Chinese Arctic and Antarctic Administration; National Natural Science Foundation of China(National Natural Science Foundation of China (NSFC))</t>
  </si>
  <si>
    <t>The authors thank Dr. Robert Schlegel and the other anonymous reviewer for their constructive comments that have greatly improved our manuscript. The authors also thank NCEI's Communication Team and Jennifer Fulford for editorial support of the manuscript. The opinions expressed in this paper are those of the authors alone and do not necessarily reflect official NOAA, Department of Commerce, or U.S. government policy. Zhaomin Wang was supported by the Innovation Group Project of Southern Marine Science and Engineering Guangdong Laboratory (Zhuhai) (No. 311021008), the Innovative Platform Program of Chinese Arctic and Antarctic Administration under contract (No. CXPT2020009), and the National Natural Science Foundation of China (Grant Nos. 41941007 and 41876220).</t>
  </si>
  <si>
    <t>DEC 28</t>
  </si>
  <si>
    <t>e2021GL095590</t>
  </si>
  <si>
    <t>10.1029/2021GL095590</t>
  </si>
  <si>
    <t>XW8YI</t>
  </si>
  <si>
    <t>WOS:000735897000008</t>
  </si>
  <si>
    <t>O'Connor, GK; Steig, EJ; Hakim, GJ</t>
  </si>
  <si>
    <t>O'Connor, Gemma K.; Steig, Eric J.; Hakim, Gregory J.</t>
  </si>
  <si>
    <t>Strengthening Southern Hemisphere Westerlies and Amundsen Sea Low Deepening Over the 20th Century Revealed by Proxy-Data Assimilation</t>
  </si>
  <si>
    <t>INTERNAL CLIMATE VARIABILITY; WEST ANTARCTICA; ANNULAR MODE; SNOW ACCUMULATION; SURFACE; TRENDS; OCEAN; REANALYSIS; SIGNATURES; PATTERNS</t>
  </si>
  <si>
    <t>Winds and pressure over the Southern Ocean are critical to many aspects of the climate system, but the brevity of climate data in this region makes it challenging to interpret recent changes. Here, we reconstruct 20th century sea level pressure and zonal surface wind anomalies over the Southern Ocean, using data assimilation with a global paleoclimate proxy database and four climate-model priors. The reconstructions agree well with instrumental reanalysis products, especially in the circumpolar westerly and Pacific regions. We observe significant strengthening in the midlatitude Pacific westerlies, associated with a deepening Amundsen Sea Low, throughout the 20th century in all four reconstructions. When the prior includes anthropogenic forcing, we observe poleward-shifting circumpolar westerlies throughout the 20th century. Our results highlight the combined roles of natural variability and anthropogenic forcing, and the zonally asymmetric character of atmospheric circulation changes at high southern latitudes, with implications for Antarctic ice sheet change. Plain Language Summary Wind and pressure patterns over the Southern Ocean modulate ocean carbon uptake and may influence the stability of the Antarctic ice sheet. Observations suggest that westerly winds around Antarctica are strengthening and shifting closer to Antarctica. However, modern instrumental observations (i.e., data from satellites, radiosondes, and weather stations) in this region begin only in 1979, making it difficult to place these changes in the context of natural climate variability over longer timescales. Here, we use paleoclimate proxy records (e.g., oxygen-isotope records from ice cores), combined with simulations from climate models, to produce maps of surface pressure and winds over the Southern Ocean spanning the 20th century. Our results compare well with available independent data sets. We find that strengthening westerly winds in the Pacific sector of the Southern Ocean has occurred through most of the 20th century and is associated with a deepening of the Amundsen Sea Low. Our results suggest that this is accompanied by poleward-shifting westerly winds around the rest of Antarctica, attributable to anthropogenic forcing (i.e., increased greenhouse gases).</t>
  </si>
  <si>
    <t>[O'Connor, Gemma K.; Steig, Eric J.] Univ Washington, Dept Earth &amp; Space Sci, Seattle, WA 98195 USA; [Steig, Eric J.; Hakim, Gregory J.] Univ Washington, Dept Atmospher Sci, Seattle, WA 98195 USA</t>
  </si>
  <si>
    <t>University of Washington; University of Washington Seattle; University of Washington; University of Washington Seattle</t>
  </si>
  <si>
    <t>O'Connor, GK (corresponding author), Univ Washington, Dept Earth &amp; Space Sci, Seattle, WA 98195 USA.</t>
  </si>
  <si>
    <t>goconnor@uw.edu</t>
  </si>
  <si>
    <t>Steig, Eric J/G-9088-2015</t>
  </si>
  <si>
    <t>O'Connor, Gemma/0000-0002-4645-4038; Hakim, Gregory/0000-0001-8486-9739</t>
  </si>
  <si>
    <t>National Science Foundation (NSF) Graduate Research Fellowship Program; Achievement Rewards for Collegiate Scientists fellowship; NSF [AGS-1702423, ARCSS-1503281]; Heising-Simons Foundation [2016-014]</t>
  </si>
  <si>
    <t>National Science Foundation (NSF) Graduate Research Fellowship Program(National Science Foundation (NSF)); Achievement Rewards for Collegiate Scientists fellowship; NSF(National Science Foundation (NSF)); Heising-Simons Foundation</t>
  </si>
  <si>
    <t>The authors thank Robert Tardif for help with code development and the Last Millennium Reanalysis group at the University of Washington for helpful discussions and support. We also thank Paul Holland for discussions that improved the paper. We acknowledge the efforts of the PAGES2k, CESM, and HadCM communities for archiving the proxy database and model simulations used here. Gemma K. O'Connor was supported by the National Science Foundation (NSF) Graduate Research Fellowship Program and the Achievement Rewards for Collegiate Scientists fellowship. Gregory J. Hakim acknowledges support from NSF (Grant AGS-1702423) and Heising-Simons Foundation (Grant 2016-014). Eric J. Steig acknowledges support from NSF (Grant ARCSS-1503281).</t>
  </si>
  <si>
    <t>e2021GL095999</t>
  </si>
  <si>
    <t>10.1029/2021GL095999</t>
  </si>
  <si>
    <t>WOS:000735897000014</t>
  </si>
  <si>
    <t>Rieger, LA; Randel, WJ; Bourassa, AE; Solomon, S</t>
  </si>
  <si>
    <t>Rieger, L. A.; Randel, W. J.; Bourassa, A. E.; Solomon, S.</t>
  </si>
  <si>
    <t>Stratospheric Temperature and Ozone Anomalies Associated With the 2020 Australian New Year Fires</t>
  </si>
  <si>
    <t>temperature; stratosphere; wildfire; ozone; aerosol</t>
  </si>
  <si>
    <t>WILDFIRE; AEROSOL</t>
  </si>
  <si>
    <t>Stratospheric aerosol, temperature, and ozone anomalies after the 2020 Australian bushfires are documented from satellite observations. Aerosol extinction is enhanced in the Southern Hemisphere (SH) lower stratosphere (LS) in early 2020, comparable in magnitude to the Calbuco eruption in 2015. Warm temperature anomalies of 1-2 K occur in the SH LS during January-April 2020 and are coincident with enhanced aerosols. Radiative heating is indicated through anomalous temperature correlations between lower and higher latitudes. LS ozone shows midlatitude decreases several months after the aerosol maximum and before the polar vortex breakup, reaching extreme minima over the available OMPS record since 2011. Antarctic ozone depletion in the LS in 2020 reached a decadal low for both magnitude and persistence during November-December, along with record low polar temperatures and a strong polar vortex. Overall, the polar ozone depletion, temperature, and polar vortex evolution broadly resembled the effects of the Calbuco eruption in 2015.</t>
  </si>
  <si>
    <t>[Rieger, L. A.; Bourassa, A. E.] Univ Saskatchewan, Inst Space &amp; Atmospher Studies, Saskatoon, SK, Canada; [Randel, W. J.] Natl Ctr Atmospher Res, POB 3000, Boulder, CO 80307 USA; [Solomon, S.] MIT, Dept Earth Atmospher &amp; Planetary Sci, Cambridge, MA USA</t>
  </si>
  <si>
    <t>University of Saskatchewan; National Center Atmospheric Research (NCAR) - USA; Massachusetts Institute of Technology (MIT)</t>
  </si>
  <si>
    <t>Rieger, LA (corresponding author), Univ Saskatchewan, Inst Space &amp; Atmospher Studies, Saskatoon, SK, Canada.</t>
  </si>
  <si>
    <t>landon.rieger@usask.ca</t>
  </si>
  <si>
    <t>Randel, William/K-3267-2016</t>
  </si>
  <si>
    <t>Randel, William/0000-0002-5999-7162</t>
  </si>
  <si>
    <t>US National Science Foundation; NASA Aura Science Team [80NSSC20K0928]; NSF [1848863, 1906719]; Canadian Space Agency; Div Atmospheric &amp; Geospace Sciences; Directorate For Geosciences [1906719, 1848863] Funding Source: National Science Foundation</t>
  </si>
  <si>
    <t>US National Science Foundation(National Science Foundation (NSF)); NASA Aura Science Team; NSF(National Science Foundation (NSF)); Canadian Space Agency(Canadian Space Agency); Div Atmospheric &amp; Geospace Sciences; Directorate For Geosciences(National Science Foundation (NSF)NSF - Directorate for Geosciences (GEO))</t>
  </si>
  <si>
    <t>The National Center for Atmospheric Research is operated by the University Corporation for Atmospheric Research, under sponsorship of the US National Science Foundation. This work was partially supported by the NASA Aura Science Team under Grant 80NSSC20K0928. SS was supported by NSF Grants 1848863 and 1906719. LAR and AEB were supported in part by the Canadian Space Agency who provides ongoing funding to support the OSIRIS mission. We also thank the OMPS-LP team at NASA Goddard for producing and distributing high quality Level 1 radiances that are used to generate the L2 products used here.</t>
  </si>
  <si>
    <t>e2021GL095898</t>
  </si>
  <si>
    <t>10.1029/2021GL095898</t>
  </si>
  <si>
    <t>WOS:000735897000009</t>
  </si>
  <si>
    <t>Van Liefferinge, B; Taylor, D; Tsutaki, S; Fujita, S; Gogineni, P; Kawamura, K; Matsuoka, K; Moholdt, G; Oyabu, I; Abe-Ouchi, A; Awasthi, A; Buizert, C; Gallet, JC; Isaksson, E; Motoyama, H; Nakazawa, F; Ohno, H; O'Neill, C; Pattyn, F; Sugiura, K</t>
  </si>
  <si>
    <t>Van Liefferinge, Brice; Taylor, Drew; Tsutaki, Shun; Fujita, Shuji; Gogineni, Prasad; Kawamura, Kenji; Matsuoka, Kenichi; Moholdt, Geir; Oyabu, Ikumi; Abe-Ouchi, Ayako; Awasthi, Abhishek; Buizert, Christo; Gallet, Jean-Charles; Isaksson, Elisabeth; Motoyama, Hideaki; Nakazawa, Fumio; Ohno, Hiroshi; O'Neill, Charles; Pattyn, Frank; Sugiura, Konosuke</t>
  </si>
  <si>
    <t>Surface Mass Balance Controlled by Local Surface Slope in Inland Antarctica: Implications for Ice-Sheet Mass Balance and Oldest Ice Delineation in Dome Fuji</t>
  </si>
  <si>
    <t>microwave radar; firn stratigraphy</t>
  </si>
  <si>
    <t>DRONNING MAUD LAND; EAST ANTARCTICA; SNOW ACCUMULATION; SPATIAL VARIABILITY; CLIMATE VARIABILITY; AIRBORNE-RADAR; STATION; PRECIPITATION; SUBLIMATION; SITES</t>
  </si>
  <si>
    <t>The limited number of surface mass balance (SMB) observations in the Antarctic inland hampers estimates of ice-sheet contribution to global sea level and locations with million-year-old ice. We present finely resolved SMB over the past three centuries in a low-accumulation region with significant depth hoar formation on Dome Fuji derived from similar to 1,100 km of microwave radar stratigraphy dated with a firn core. The regional-mean SMB over the past 264 years is estimated to similar to 22.5 +/- 3.3 kg m(-2) a(-1), but with large local variability of up to 30%. We found that local SMB is negatively correlated with surface slope at scales of a few hundred meters, resulting in anomalous zones of low SMB which represent as much as 8-10% of the total SMB on the inland plateau if the SMB-slope relationship is more widely valid. This impact should be investigated further to improve estimates of Antarctic mass balance and sea-level contribution.</t>
  </si>
  <si>
    <t>[Van Liefferinge, Brice; Matsuoka, Kenichi; Moholdt, Geir; Gallet, Jean-Charles; Isaksson, Elisabeth] Norwegian Polar Res Inst, Tromso, Norway; [Taylor, Drew; Gogineni, Prasad; Awasthi, Abhishek; O'Neill, Charles] Univ Alabama, Remote Sensing Ctr, Tuscaloosa, AL USA; [Tsutaki, Shun; Fujita, Shuji; Kawamura, Kenji; Oyabu, Ikumi; Motoyama, Hideaki; Nakazawa, Fumio] Res Org Informat &amp; Syst ROIS, Natl Inst Polar Res, Tokyo, Japan; [Fujita, Shuji; Kawamura, Kenji; Motoyama, Hideaki; Nakazawa, Fumio] Grad Univ Adv Studies SOKENDAI, Dept Polar Sci, Tokyo, Japan; [Kawamura, Kenji] Japan Agcy Marine Sci &amp; Technol JAMSTEC, Yokosuka, Kanagawa, Japan; [Abe-Ouchi, Ayako] Univ Tokyo, Atmosphere &amp; Ocean Res Inst, Kashiwa, Chiba, Japan; [Buizert, Christo] Oregon State Univ, Coll Earth Ocean &amp; Atmospher Sci, Corvallis, OR 97331 USA; [Ohno, Hiroshi] Kitami Inst Technol, Dept Civil &amp; Environm Engn, Kitami, Hokkaido, Japan; [Pattyn, Frank] Univ Libre Bruxelles, Lab Glaciol, Brussels, Belgium; [Sugiura, Konosuke] Univ Toyama, Toyama, Japan</t>
  </si>
  <si>
    <t>Norwegian Polar Institute; University of Alabama System; University of Alabama Tuscaloosa; Research Organization of Information &amp; Systems (ROIS); National Institute of Polar Research (NIPR) - Japan; Graduate University for Advanced Studies - Japan; Japan Agency for Marine-Earth Science &amp; Technology (JAMSTEC); University of Tokyo; Oregon State University; Kitami Institute of Technology; Universite Libre de Bruxelles; University of Toyama</t>
  </si>
  <si>
    <t>Van Liefferinge, B (corresponding author), Norwegian Polar Res Inst, Tromso, Norway.</t>
  </si>
  <si>
    <t>bvlieffe@gmail.com</t>
  </si>
  <si>
    <t>Tsutaki, Shun/AAQ-4678-2021; Pattyn, Frank/AAA-9640-2019; Abe-Ouchi, Ayako A/M-6359-2013; AWASTHI, Dr.A.K/AAJ-5761-2020; Ohno, Hiroshi/L-7899-2014; Oyabu, Ikumi/AGE-1164-2022; Awasthi, Abhishek/AAS-7997-2020; Matsuoka, Kenichi/B-7298-2017; Fujita, Shuji/A-7884-2016; Kawamura, Kenji/C-7660-2011</t>
  </si>
  <si>
    <t>Tsutaki, Shun/0000-0002-5716-225X; Pattyn, Frank/0000-0003-4805-5636; Abe-Ouchi, Ayako A/0000-0003-1745-5952; AWASTHI, Dr.A.K/0000-0002-4388-4147; Oyabu, Ikumi/0000-0001-8017-1085; Moholdt, Geir/0000-0002-8883-1620; Matsuoka, Kenichi/0000-0002-3587-3405; Fujita, Shuji/0000-0003-0127-0777; O'Neill, Charles/0000-0002-8781-2372; Kawamura, Kenji/0000-0003-1163-700X; Taylor, Ryan/0000-0003-4280-1327; Gogineni, Prasad/0000-0002-8818-1138; Van Liefferinge, Brice/0000-0001-7495-1771</t>
  </si>
  <si>
    <t>National Institute of Polar Research; University of Alabama; Norwegian Polar Institute; University of Kansas; MEXT; JSPS [17H06320, 17H06104, 18H05294]; European Union [730528]; British Antarctic Survey; International Polar Foundation; Research Council of Norway's FRINATEK [315 246]; Belgian Science Policy Office; Grants-in-Aid for Scientific Research [17H06104, 18H05294, 17H06320] Funding Source: KAKEN</t>
  </si>
  <si>
    <t>National Institute of Polar Research(National Institute of Polar Research (NIPR) - Japan); University of Alabama; Norwegian Polar Institute; University of Kansas; MEXT(Ministry of Education, Culture, Sports, Science and Technology, Japan (MEXT)); JSPS(Ministry of Education, Culture, Sports, Science and Technology, Japan (MEXT)Japan Society for the Promotion of Science); European Union(European Union (EU)); British Antarctic Survey; International Polar Foundation; Research Council of Norway's FRINATEK(Research Council of Norway); Belgian Science Policy Office(Belgian Federal Science Policy Office); Grants-in-Aid for Scientific Research(Ministry of Education, Culture, Sports, Science and Technology, Japan (MEXT)Japan Society for the Promotion of ScienceGrants-in-Aid for Scientific Research (KAKENHI))</t>
  </si>
  <si>
    <t>This work was supported by financial contributions from the National Institute of Polar Research and Norwegian Polar Institute as a collaborative project with The University of Alabama and the University of Kansas. The 59th Japanese Antarctic Research Expedition (JARE) led by N. Kizu and the 60th JARE led by M. Tsutsumi and N. Harada prepared the traverse and provided the largest field supports including six field personnel. The Japanese component was also supported by the MEXT and JSPS grants 17H06320, 17H06104, and 18H05294. Norway's contribution is a part of Beyond EPICA Oldest Ice (BE-OI) project, which has received funding from the European Union's Horizon 2020 research and innovation programme under grant Agreement No. 730528 (BE-OI CSA), enabled by additional supports from British Antarctic Survey, the Belgian Science Policy Office and the International Polar Foundation. The Norwegian component was also supported by the Research Council of Norway's FRINATEK Grant 315 246. We acknowledge Bob Hawley and Tate Meehan for their constructive reviews. This is BE-OI contribution number 24.</t>
  </si>
  <si>
    <t>e2021GL094966</t>
  </si>
  <si>
    <t>10.1029/2021GL094966</t>
  </si>
  <si>
    <t>WOS:000735897000024</t>
  </si>
  <si>
    <t>Yang, JJ; Guo, JX; Greenbaum, JS; Cui, XB; Tu, LC; Li, L; Jong, LM; Tang, XY; Li, BR; Blankenship, DD; Roberts, JL; Ommen, T; Sun, B</t>
  </si>
  <si>
    <t>Yang, Junjun; Guo, Jingxue; Greenbaum, Jamin S.; Cui, Xiangbin; Tu, Liangcheng; Li, Lin; Jong, Lenneke M.; Tang, Xueyuan; Li, Bingrui; Blankenship, Donald D.; Roberts, Jason L.; Ommen, Tas; Sun, Bo</t>
  </si>
  <si>
    <t>Bathymetry Beneath the Amery Ice Shelf, East Antarctica, Revealed by Airborne Gravity</t>
  </si>
  <si>
    <t>bathymetry; Amery Ice Shelf; airborne gravity; ice-ocean interaction; gravity inversion; seafloor topography</t>
  </si>
  <si>
    <t>CIRCUMPOLAR DEEP-WATER; BASAL MELT RATES; OCEAN INTERACTION; PRYDZ BAY; CIRCULATION; GLACIER; CLIMATE; CAVITY; FRONT</t>
  </si>
  <si>
    <t>The bathymetry under the Amery Ice Shelf steers the flow of ocean currents transporting ocean heat, and thus is a prerequisite for precise modeling of ice-ocean interactions. However, hampered by thick ice, direct observations of sub-ice-shelf bathymetry are rare, limiting our ability to quantify the evolution of this sector and its future contribution to global mean sea level rise. We estimated the bathymetry of this region from airborne gravity anomaly using simulated annealing. Unlike the current model which shows a comparatively flat seafloor beneath the calving front, our estimation results reveal a 255-m-deep shoal at the western side and a 1,050-m-deep trough at the eastern side, which are important topographic features controlling the ocean heat transport into the sub-ice cavity. The new model also reveals previously unknown depressions and sills that are critical to an improved modeling of the sub-ice-shelf ocean circulation and induced basal melting.</t>
  </si>
  <si>
    <t>[Yang, Junjun; Tu, Liangcheng] Huazhong Univ Sci &amp; Technol, Inst Geophys, PGMF, Wuhan, Peoples R China; [Yang, Junjun; Tu, Liangcheng] Huazhong Univ Sci &amp; Technol, Sch Phys, Wuhan, Peoples R China; [Guo, Jingxue; Cui, Xiangbin; Li, Lin; Tang, Xueyuan; Li, Bingrui; Sun, Bo] Polar Res Inst China, Shanghai, Peoples R China; [Greenbaum, Jamin S.] Univ Calif San Diego, Scripps Inst Oceanog, La Jolla, CA 92093 USA; [Tu, Liangcheng] Sun Yat Sen Univ, Sch Phys &amp; Astron, TianQin Res Ctr Gravitat Phys, Zhuhai, Peoples R China; [Jong, Lenneke M.; Roberts, Jason L.; Ommen, Tas] Australian Antarctic Div, Kingston, Tas, Australia; [Blankenship, Donald D.] Univ Texas Austin, Inst Geophys, Austin, TX 78712 USA</t>
  </si>
  <si>
    <t>Huazhong University of Science &amp; Technology; Huazhong University of Science &amp; Technology; Polar Research Institute of China; University of California System; University of California San Diego; Scripps Institution of Oceanography; Sun Yat Sen University; Australian Antarctic Division; University of Texas System; University of Texas Austin</t>
  </si>
  <si>
    <t>Guo, JX (corresponding author), Polar Res Inst China, Shanghai, Peoples R China.</t>
  </si>
  <si>
    <t>yang.741@osu.edu; guojingxue@pric.org.cn</t>
  </si>
  <si>
    <t>sun, bo/JFA-9978-2023; TU, Liangcheng/AAD-1616-2019; Jong, Lenneke M/AAT-3230-2020; Yang, Junjun/ABB-3359-2020; Blankenship, Donald D./G-5935-2010</t>
  </si>
  <si>
    <t>TU, Liangcheng/0000-0003-1014-9784; Jong, Lenneke M/0000-0001-6707-570X; Yang, Junjun/0000-0002-4156-174X; Tang, Xueyuan/0000-0002-6226-4891; Cui, Xiangbin/0000-0002-4269-8086; Greenbaum, Jamin Stevens/0000-0002-0745-7113</t>
  </si>
  <si>
    <t>National Natural Science Foundation of China [42006197, 41876227, 41874089, 41941007]; State Key Laboratory of Geodesy and Earth's Dynamics [SKLGED2020-1-1-E]; NSF [NSF OPP-2114454]; Australian Antarctic Division [AAS 4346, 4511]; G. Unger Vetlesen Foundation</t>
  </si>
  <si>
    <t>National Natural Science Foundation of China(National Natural Science Foundation of China (NSFC)); State Key Laboratory of Geodesy and Earth's Dynamics; NSF(National Science Foundation (NSF)); Australian Antarctic Division; G. Unger Vetlesen Foundation</t>
  </si>
  <si>
    <t>The authors are thankful to Chengyan Liu for providing valuable discussions. Comments from the editor, Mathieu Morlighem, and two anonymous reviewers were highly appreciated as they led to a significant improvement of the original manuscript. Computations were partially supported by National Supercomputer Center in Guangzhou. This study was partially supported by grants (42006197, 41876227, 41874089, and 41941007) from the National Natural Science Foundation of China and a grant (SKLGED2020-1-1-E) from State Key Laboratory of Geodesy and Earth's Dynamics. J.S.G was supported by NSF grant NSF OPP-2114454. L.M.J., J.L.R., and T.v.O. acknowledge grants (AAS 4346 and 4511) from the Australian Antarctic Division. D.D.B. acknowledges support from the G. Unger Vetlesen Foundation.</t>
  </si>
  <si>
    <t>e2021GL096215</t>
  </si>
  <si>
    <t>10.1029/2021GL096215</t>
  </si>
  <si>
    <t>WOS:000735897000054</t>
  </si>
  <si>
    <t>Jersild, A; Delawalla, S; Ito, T</t>
  </si>
  <si>
    <t>Jersild, Annika; Delawalla, Sara; Ito, Takamitsu</t>
  </si>
  <si>
    <t>Mesoscale Eddies Regulate Seasonal Iron Supply and Carbon Drawdown in the Drake Passage</t>
  </si>
  <si>
    <t>Southern Ocean; mesoscale eddies; carbon flux; Drake Passage</t>
  </si>
  <si>
    <t>OCEAN CIRCULATION; CO2 FLUXES; MODEL</t>
  </si>
  <si>
    <t>The Southern Ocean is a major region for uptake of anthropogenic carbon. The transport of carbon and nutrients are dominated by the Antarctic Circumpolar Current and its rich mesoscale eddy field; however, the current generation of Earth System Models (ESMs) lack the resolution to resolve eddies. Here we show that a computational model that explicitly represents mesoscale eddies can reproduce observed phases and amplitudes of seasonal biological productivity and partial pressure of carbon dioxide. Our sensitivity study demonstrates that when eddies are suppressed or parameterized, the model cannot reproduce these seasonal cycles. Experiments with suppressed eddy activity show that the lack of eddies significantly changes the iron supply and phenology of phytoplankton blooms. The mismatch in the timing and intensity of the bloom causes significant biases in the seasonal carbon cycle of the region with implications to the enigmatic biases in partial pressure of carbon dioxide among the state-of-the-art ESMs.</t>
  </si>
  <si>
    <t>[Jersild, Annika; Delawalla, Sara; Ito, Takamitsu] Georgia Inst Technol, Sch Earth &amp; Atmospher Sci, Atlanta, GA 30332 USA</t>
  </si>
  <si>
    <t>University System of Georgia; Georgia Institute of Technology</t>
  </si>
  <si>
    <t>Jersild, A (corresponding author), Georgia Inst Technol, Sch Earth &amp; Atmospher Sci, Atlanta, GA 30332 USA.</t>
  </si>
  <si>
    <t>ajersild3@gatech.edu</t>
  </si>
  <si>
    <t>; Ito, Takamitsu/F-3856-2010</t>
  </si>
  <si>
    <t>Jersild, Annika/0000-0001-5460-545X; Ito, Takamitsu/0000-0001-9873-099X</t>
  </si>
  <si>
    <t>U.S. National Science Foundation [OPP-1744755]</t>
  </si>
  <si>
    <t>U.S. National Science Foundation(National Science Foundation (NSF))</t>
  </si>
  <si>
    <t>This study is supported by the U.S. National Science Foundation, OPP-1744755.</t>
  </si>
  <si>
    <t>e2021GL096020</t>
  </si>
  <si>
    <t>10.1029/2021GL096020</t>
  </si>
  <si>
    <t>WOS:000735897000044</t>
  </si>
  <si>
    <t>Samrat, NH; King, MA; Watson, C; Hay, A; Barletta, VR; Bordoni, A</t>
  </si>
  <si>
    <t>Samrat, Nahidul Hoque; King, Matt A.; Watson, Christopher; Hay, Andrea; Barletta, Valentina R.; Bordoni, Andrea</t>
  </si>
  <si>
    <t>Upper Mantle Viscosity Underneath Northern Marguerite Bay, Antarctic Peninsula Constrained by Bedrock Uplift and Ice Mass Variability</t>
  </si>
  <si>
    <t>satellite geodesy; space geodetic surveys; Antarctica; dynamics of lithosphere and mantle; ice mass; rheology; lithosphere and mantle</t>
  </si>
  <si>
    <t>SHELF; RETREAT</t>
  </si>
  <si>
    <t>We constrain viscoelastic Earth rheology and recent ice-mass change in the northern Marguerite Bay region of the Antarctic Peninsula. Global Positioning System (GPS) time series from Rothera and San Martin stations show bedrock uplift range of similar to-0.8-1.8 mm/year over 1999-2005 and 2016-2020 but similar to 3.5-6.0 mm/year over similar to 2005-2016. Digital elevation models reveal substantial surface lowering, but at a lower rate since similar to 2009. Using these data, we show that an elastic-only model cannot explain the non-linear uplift of the GPS sites but that a layered viscoelastic model can. We show close agreement between GPS uplift changes and viscoelastic models with effective elastic lithosphere thickness and upper-mantle viscosity similar to 10-95 km and similar to 0.1-9 x 10(18) Pa s, respectively. Our viscosity estimate is consistent with a north-south gradient in viscosity suggested by previous studies focused on specific regions within the Antarctic Peninsula and adds further evidence of the low viscosity upper mantle in the northern Antarctic Peninsula.</t>
  </si>
  <si>
    <t>[Samrat, Nahidul Hoque; King, Matt A.; Watson, Christopher; Hay, Andrea] Univ Tasmania, Sch Geog Planning &amp; Spatial Sci, Hobart, Tas, Australia; [Samrat, Nahidul Hoque] Cent Queensland Univ, Sch Hlth Med &amp; Appl Sci, Bundaberg, Qld, Australia; [Barletta, Valentina R.] Tech Univ Denmark, DTU Space, Lyngby, Denmark; [Bordoni, Andrea] Tech Univ Denmark, DTU Compute, Lyngby, Denmark</t>
  </si>
  <si>
    <t>University of Tasmania; Central Queensland University; Technical University of Denmark; Technical University of Denmark</t>
  </si>
  <si>
    <t>Samrat, NH (corresponding author), Univ Tasmania, Sch Geog Planning &amp; Spatial Sci, Hobart, Tas, Australia.;Samrat, NH (corresponding author), Cent Queensland Univ, Sch Hlth Med &amp; Appl Sci, Bundaberg, Qld, Australia.</t>
  </si>
  <si>
    <t>nahidul.samrat@utas.edu.au</t>
  </si>
  <si>
    <t>King, Matt/B-4622-2008; Barletta, Valentina R./E-9128-2012; Watson, Christopher S/D-4707-2013</t>
  </si>
  <si>
    <t>King, Matt/0000-0001-5611-9498; Watson, Christopher/0000-0002-7464-4592; Barletta, Valentina Roberta/0000-0003-4427-0830; Hay, Andrea/0000-0001-9556-0059</t>
  </si>
  <si>
    <t>Australian Government Research Training Program Scholarship; Australian Research Council Future Fellowship [FT110100207]; Australian Research Council's Special Research Initiative for Antarctic Gateway Partnership [SR140300001]; British Antarctic Survey</t>
  </si>
  <si>
    <t>Australian Government Research Training Program Scholarship(Australian GovernmentDepartment of Industry, Innovation and Science); Australian Research Council Future Fellowship(Australian Research Council); Australian Research Council's Special Research Initiative for Antarctic Gateway Partnership(Australian Research Council); British Antarctic Survey</t>
  </si>
  <si>
    <t>N. H. S. was a recipient of an Australian Government Research Training Program Scholarship. The authors thank the Jet Propulsion Laboratory, NASA, for openly providing ASTER data; these data are freely available at . M.A.K. was supported by an Australian Research Council Future Fellowship (project number FT110100207) and the Australian Research Council's Special Research Initiative for Antarctic Gateway Partnership (Project ID SR140300001). VE-CL0V3RS is a self-funded project by V.R.B and A.B. The BSA1 site was deployed by the British Services Antarctic Expedition 2012. We thank British Antarctic Survey for supporting the maintenance of ROTH and BSA1. The authors thank to Editor Dr. Lucy Flesch and two anonymous reviewers for critically reading the manuscript and suggesting substantial improvements.</t>
  </si>
  <si>
    <t>e2021GL097065</t>
  </si>
  <si>
    <t>10.1029/2021GL097065</t>
  </si>
  <si>
    <t>WOS:000735897000006</t>
  </si>
  <si>
    <t>Freeze/thaw onset detection combining SMAP and ASCAT data over Alaska: A machine learning approach</t>
  </si>
  <si>
    <t>JOURNAL OF HYDROLOGY</t>
  </si>
  <si>
    <t>Machine learning; Multi-source data; Freeze/thaw onset; SMAP; ASCAT; Alaska</t>
  </si>
  <si>
    <t>SOIL-MOISTURE; RADAR; CLASSIFICATION; COMBINATION</t>
  </si>
  <si>
    <t>In the context of global warming, permafrost degrades gradually. To cope with the instability of the cryosphere, it is very important to strengthen the monitoring of the seasonal freeze-thaw cycle. At present, active and passive microwave remote sensing data are widely used in freeze/thaw (F/T) onset detection. There is some potential to improve accuracy through the combination of active and passive microwave data. Compared with the traditional method for combination, the machine learning algorithm has a stronger nonlinear expression ability. Therefore, it is advisable to use machine learning to combine multi-source data for freeze/thaw onset detection. In this study, the temporal change detection method is applied to SMAP data and ASCAT data respectively for preliminary detection. Then the Random Forest algorithm (RF) is used to combine the preliminary results of active and passive microwave data with site observation to estimate the freeze/thaw onsets more accurately. The method is validated with data obtained in Alaska from 2015 to 2019. The accuracy evaluation shows that the proposed method can effectively improve the accuracy of freeze/thaw onset detection. The predicted distribution of the freeze/thaw cycle indicates that the variation of the freeze-thaw cycle is closely related to latitude. In general, the proposed method based on machine learning is promising in the research of freeze-thaw state monitoring.</t>
  </si>
  <si>
    <t>[Zhong, Wen; Yuan, Qiangqiang] Wuhan Univ, Sch Geodesy &amp; Geomat, Wuhan 430079, Hubei, Peoples R China; [Liu, Tingting] Wuhan Univ, Chinese Antarctic Ctr Surveying &amp; Mapping, Wuhan 430079, Hubei, Peoples R China; [Yue, Linwei] China Univ Geosci, Fac Informat Engn, Wuhan 430079, Hubei, Peoples R China</t>
  </si>
  <si>
    <t>Yuan, QQ (corresponding author), Wuhan Univ, Sch Geodesy &amp; Geomat, Wuhan 430079, Hubei, Peoples R China.;Liu, TT (corresponding author), Wuhan Univ, Chinese Antarctic Ctr Surveying &amp; Mapping, Wuhan 430079, Hubei, Peoples R China.</t>
  </si>
  <si>
    <t>yqiang86@gmail.com; ttliu23@whu.edu.cn</t>
  </si>
  <si>
    <t>National Natural Science Foundation of China [41922008]; Hubei Science Foundation for Distinguished Young Scholars [2020CFA051]</t>
  </si>
  <si>
    <t>National Natural Science Foundation of China(National Natural Science Foundation of China (NSFC)); Hubei Science Foundation for Distinguished Young Scholars</t>
  </si>
  <si>
    <t>This work was supported in part by the National Natural Science Foundation of China (41922008) and the Hubei Science Foundation for Distinguished Young Scholars (2020CFA051). The authors would also like to thank the providers of the data used in this article, including the National Snow and Ice Data Center, the European Organization for the Exploitation of Meteorological Satellites, the Natural Resources Conservation Service, the U.S. Climate Reference Network, the National Oceanic and Atmospheric Administration, the National Land Cover Database, the National Aeronautics and Space Administration, the International Soil Reference and Information Centre.</t>
  </si>
  <si>
    <t>0022-1694</t>
  </si>
  <si>
    <t>1879-2707</t>
  </si>
  <si>
    <t>J HYDROL</t>
  </si>
  <si>
    <t>J. Hydrol.</t>
  </si>
  <si>
    <t>10.1016/j.jhydrol.2021.127354</t>
  </si>
  <si>
    <t>Engineering, Civil; Geosciences, Multidisciplinary; Water Resources</t>
  </si>
  <si>
    <t>Engineering; Geology; Water Resources</t>
  </si>
  <si>
    <t>YV0UJ</t>
  </si>
  <si>
    <t>WOS:000752448600001</t>
  </si>
  <si>
    <t>Füllekrug, M</t>
  </si>
  <si>
    <t>Fullekrug, Martin</t>
  </si>
  <si>
    <t>Simulation of Earth-Ionosphere Cavity Resonances With Lightning Flashes Reported by OTD/LIS</t>
  </si>
  <si>
    <t>atmospheric and space electricity; electromagnetic noise; lightning</t>
  </si>
  <si>
    <t>SCHUMANN RESONANCE; LOCATION; SPRITES</t>
  </si>
  <si>
    <t>Lightning flashes cause a globally resonant electromagnetic wave field known as Earth-ionosphere cavity resonances. This global wave field is simulated here by use of lightning flashes reported by the lightning imagers on board the Optical Transient Detector (OTD)/Lightning Imaging Sensor (LIS) space missions. The stochastic occurrence of global lightning flashes in time and space is described with a likelihood function composed of a series of delta functions. This likelihood function is generated by random variates calculated from inverse transform sampling of the global lightning distributions measured by OTD/LIS. The simulation uses spherical harmonic expansion coefficients, calculated from frequency and distance dependent magnetic field measurements, to describe the wave field around the Earth. The incoherent superposition of the waves at each location results in simulated time series and spectra. The simulations agree very well with actual measurements of magnetic fields with a radiometer at Arrival Heights in the Antarctic as part of the Stanford ELF/VLF Radio Noise Survey. The simulated relative radiant energy distributions are attributed to corresponding Earth-ionosphere cavity brightness temperatures T-EIC. The spherical harmonic expansion of these brightness temperatures exhibits a spectrum where the amplitudes of the spatial expansion coefficients decrease with increasing angular degree. The calculated Earth-ionosphere cavity brightness temperatures can be used for comparison with atmospheric temperatures in future studies.</t>
  </si>
  <si>
    <t>[Fullekrug, Martin] Univ Bath, Dept Elect &amp; Elect Engn, Ctr Space Atmospher &amp; Ocean Sci, Bath, Avon, England</t>
  </si>
  <si>
    <t>University of Bath</t>
  </si>
  <si>
    <t>Füllekrug, M (corresponding author), Univ Bath, Dept Elect &amp; Elect Engn, Ctr Space Atmospher &amp; Ocean Sci, Bath, Avon, England.</t>
  </si>
  <si>
    <t>eesmf@bath.ac.uk</t>
  </si>
  <si>
    <t>Royal Society (UK) [NMG/R1/180252]; Natural Environment Research Council (UK) [NE/L012669/1, NE/H024921/1]; European Union's Horizon 2020 research and innovation program under the Marie Sklodowska-Curie grant [722337]; NERC [NE/L012669/1, NE/H024921/1] Funding Source: UKRI</t>
  </si>
  <si>
    <t>Royal Society (UK)(Royal Society); Natural Environment Research Council (UK)(UK Research &amp; Innovation (UKRI)Natural Environment Research Council (NERC)); European Union's Horizon 2020 research and innovation program under the Marie Sklodowska-Curie grant(Marie Curie ActionsHorizon 2020); NERC(UK Research &amp; Innovation (UKRI)Natural Environment Research Council (NERC))</t>
  </si>
  <si>
    <t>The work of Martin Fullekrug was sponsored by the Royal Society (UK) grant NMG/R1/180252 and the Natural Environment Research Council (UK) under grants NE/L012669/1 and NE/H024921/1. This project has received funding from the European Union's Horizon 2020 research and innovation program under the Marie Sklodowska-Curie grant agreement 722337. Martin Fullekrug wishes to thank Antony C. Fraser-Smith for numerous insightful discussion over the years and access to measurements at Arrival Heights, Antarctica, as part of the Stanford ELF/VLF Radio Noise Survey. Martin Fullekrug acknowledges many helpful discussions with Frank Tschepke, Michael Rycroft, and Maria Valero. This work was partly initiated by the Schumann resonance WG4 workshop of the European Commission COST action Electronet in Santander Spain, 25-28 February 2020. Martin Fullekrug wishes to thank Jozsef Bor and Pablo Fernandez de Arroyabe for their invitation to attend. Special thanks to Frank Tschepke for encouragement and Solene Lapasset for inspiration and most kindly enlightning services to humanity. The author wishes to thank two anonymous reviewers and Alexander Nickolaenko for their assistance to improve the quality of the manuscript.</t>
  </si>
  <si>
    <t>DEC 27</t>
  </si>
  <si>
    <t>e2021JD035721</t>
  </si>
  <si>
    <t>10.1029/2021JD035721</t>
  </si>
  <si>
    <t>XW8RH</t>
  </si>
  <si>
    <t>WOS:000735878700034</t>
  </si>
  <si>
    <t>Pohl, B; Favier, V; Wille, J; Udy, DG; Vance, TR; Pergaud, J; Dutrievoz, N; Blanchet, J; Kittel, C; Amory, C; Krinner, G; Codron, F</t>
  </si>
  <si>
    <t>Pohl, Benjamin; Favier, Vincent; Wille, Jonathan; Udy, Danielle G.; Vance, Tessa R.; Pergaud, Julien; Dutrievoz, Niels; Blanchet, Juliette; Kittel, Christoph; Amory, Charles; Krinner, Gerhard; Codron, Francis</t>
  </si>
  <si>
    <t>Relationship Between Weather Regimes and Atmospheric Rivers in East Antarctica</t>
  </si>
  <si>
    <t>atmospheric rivers; weather regimes; East Antarctica; temperature anomalies; snowfall amounts</t>
  </si>
  <si>
    <t>SURFACE MASS-BALANCE; REGIONAL CLIMATE MODEL; SOUTHERN ANNULAR MODE; COOL-SEASON RAINFALL; WARM CONVEYOR BELTS; ADELIE LAND; ICE-SHEET; DUMONT DURVILLE; EXTRATROPICAL CYCLONES; PRECIPITATION EXTREMES</t>
  </si>
  <si>
    <t>Here, we define weather regimes in the East Antarctica-Southern Ocean sector based on daily anomalies of 700 hPa geopotential height derived from ERA5 reanalysis during 1979-2018. Most regimes and their preferred transitions depict synoptic-scale disturbances propagating eastwards off the Antarctic coastline. While regime sequences are generally short, their interannual variability is strongly driven by the polarity of the Southern Annular Mode (SAM). Regime occurrences are then intersected with atmospheric rivers (ARs) detected over the same region and period. ARs are equiprobable throughout the year, but clearly concentrate during regimes associated with a strong atmospheric ridges/blockings on the eastern part of the domain, which act to channel meridional advection of heat and moisture from the lower latitudes towards Antarctica. Both regimes and ARs significantly shape climate variability in Antarctica. Regimes favorable to AR occurrences are associated with anomalously warm and humid conditions in coastal Antarctica and, to a lesser extent, the hinterland parts of the Antarctic plateau. These anomalies are strongly enhanced during AR events, with warmer anomalies and dramatically amplified snowfall amounts. Large-scale conditions favoring AR development are finally explored. They show weak dependency to the SAM, but particularly strong atmospheric ridges/blockings over the Southern Ocean appear as the most favorable pattern, in which ARs can be embedded, and to which they contribute.</t>
  </si>
  <si>
    <t>[Pohl, Benjamin; Pergaud, Julien] Univ Bourgogne Franche Comte, UMR6282 CNRS, Biogeosci, Dijon, France; [Favier, Vincent; Wille, Jonathan; Dutrievoz, Niels; Blanchet, Juliette; Amory, Charles; Krinner, Gerhard] Univ Grenoble Alpes, CNRS, IRD, G INP,IGE, Grenoble, France; [Udy, Danielle G.] Univ Tasmania, Inst Marine &amp; Antarctic Studies, Hobart, Tas, Australia; [Udy, Danielle G.] Univ Tasmania, ARC Ctr Excellence Climate Extremes, Hobart, Tas, Australia; [Vance, Tessa R.] Univ Tasmania, Australian Antarct Program Partenership, Inst marine &amp; Antarct Studies, Hobart, Tas, Australia; [Kittel, Christoph; Amory, Charles] Univ Liege, Dept Geog, Lab Climatol, Liege, Belgium; [Codron, Francis] Sorbonne Univ, Lab Oceanog Climat Experimentat &amp; Approches Numer, LOCEAN, IRD,CNRS,MNHN, Paris, France</t>
  </si>
  <si>
    <t>Universite de Bourgogne; Institut de Recherche pour le Developpement (IRD); Communaute Universite Grenoble Alpes; Universite Grenoble Alpes (UGA); Centre National de la Recherche Scientifique (CNRS); University of Tasmania; University of Tasmania; University of Tasmania; University of Liege; Centre National de la Recherche Scientifique (CNRS); Museum National d'Histoire Naturelle (MNHN); Sorbonne Universite; Institut de Recherche pour le Developpement (IRD)</t>
  </si>
  <si>
    <t>Pohl, B (corresponding author), Univ Bourgogne Franche Comte, UMR6282 CNRS, Biogeosci, Dijon, France.</t>
  </si>
  <si>
    <t>benjamin.pohl@u-bourgogne.fr</t>
  </si>
  <si>
    <t>Krinner, Gerhard/AAB-8837-2022; Krinner, Gerhard/A-6450-2011; Wille, Jonathan/KFQ-5871-2024; Favier, Vincent/T-1936-2017; Pohl, Benjamin/L-7696-2017</t>
  </si>
  <si>
    <t>Krinner, Gerhard/0000-0002-2959-5920; Kittel, Christoph/0000-0001-6586-9784; Dutrievoz, Niels/0000-0002-8133-5616; Favier, Vincent/0000-0001-6024-9498; Pohl, Benjamin/0000-0002-9339-797X; Wille, Jonathan/0000-0002-3918-5204</t>
  </si>
  <si>
    <t>French National Research Agency [ANR-20CE01-0013, ANR20-CE01-0013]</t>
  </si>
  <si>
    <t>French National Research Agency(Agence Nationale de la Recherche (ANR))</t>
  </si>
  <si>
    <t>The authors thank the JGR editorial staff, as well as Dr. James Risbey and two anonymous reviewers for their constructive comments that helped improve this work. They also thank Dr. Philip Reid who provided data managed by the Australian Bureau of Meteorology. This article is part of the ANR ARCA (Atmospheric River Climatology in Antarctica; grant number ANR-20CE01-0013: https://anr.fr/Project-ANR20-CE01-0013) funded by the French National Research Agency. All analyses were made with python (libraries numpy, pandas, scipy, sklearn, math, matplotlib, cartopy, seaborn, netCDF4), the developers of which are thanked. Calculations were performed using HPC resources from DNUM CCUB (Centre de Calcul de l'Universite de Bourgogne).</t>
  </si>
  <si>
    <t>e2021JD035294</t>
  </si>
  <si>
    <t>10.1029/2021JD035294</t>
  </si>
  <si>
    <t>WOS:000735878700016</t>
  </si>
  <si>
    <t>Zwerschke, N; Barnes, DKA; Sands, CJ</t>
  </si>
  <si>
    <t>Zwerschke, Nadescha; Barnes, David K. A.; Sands, Chester J.</t>
  </si>
  <si>
    <t>Response to concerns regarding the role of Antarctic blue carbon habitats in a global context</t>
  </si>
  <si>
    <t>Letter</t>
  </si>
  <si>
    <t>[Zwerschke, Nadescha; Barnes, David K. A.; Sands, Chester J.] British Antarct Survey, Cambridge, England; [Zwerschke, Nadescha] Joint Nat Conservat Comm, Aberdeen, Scotland</t>
  </si>
  <si>
    <t>Zwerschke, N (corresponding author), British Antarct Survey, Cambridge, England.</t>
  </si>
  <si>
    <t>nzwerschke01@qub.ac.uk</t>
  </si>
  <si>
    <t>Sands, Chester/0000-0003-1028-0328; Barnes, David/0000-0002-9076-7867; Zwerschke, Nadescha/0000-0003-4099-8269</t>
  </si>
  <si>
    <t>NERC [bas0100036, NE/P003060/1] Funding Source: UKRI</t>
  </si>
  <si>
    <t>E7</t>
  </si>
  <si>
    <t>E8</t>
  </si>
  <si>
    <t>10.1111/gcb.16048</t>
  </si>
  <si>
    <t>YP8KL</t>
  </si>
  <si>
    <t>WOS:000734600100001</t>
  </si>
  <si>
    <t>Hunter, WR</t>
  </si>
  <si>
    <t>Hunter, William R.</t>
  </si>
  <si>
    <t>Can carbon storage in West Antarctic fjords have an impact on climate change, following glacier retreat?</t>
  </si>
  <si>
    <t>[Hunter, William R.] Agri Food &amp; Biosci Inst Northern Ireland, Fisheries &amp; Aquat Ecosyst Branch, Belfast, Antrim, North Ireland</t>
  </si>
  <si>
    <t>Agri-Food &amp; Biosciences Institute</t>
  </si>
  <si>
    <t>Hunter, WR (corresponding author), Agri Food &amp; Biosci Inst Northern Ireland, Fisheries &amp; Aquat Ecosyst Branch, Belfast, Antrim, North Ireland.</t>
  </si>
  <si>
    <t>Billy.Hunter@afbini.gov.uk</t>
  </si>
  <si>
    <t>Hunter, William/H-9680-2019</t>
  </si>
  <si>
    <t>Hunter, William/0000-0001-8801-7947</t>
  </si>
  <si>
    <t>10.1111/gcb.16047</t>
  </si>
  <si>
    <t>WOS:000734548700001</t>
  </si>
  <si>
    <t>Kam, H; Song, IS; Kim, JH; Ha Kim, Y; Song, BG; Nakamura, T; Tomikawa, Y; Kogure, M; Ejiri, MK; Perwitasari, S; Tsutsumi, M; Kwak, YS</t>
  </si>
  <si>
    <t>Kam, Hosik; Song, In-Sun; Kim, Jeong-Han; Ha Kim, Yong; Song, Byeong-Gwon; Nakamura, Takuji; Tomikawa, Yoshihiro; Kogure, Masaru; Ejiri, Mitsumu K.; Perwitasari, Septi; Tsutsumi, Masaki; Kwak, Young-Sil</t>
  </si>
  <si>
    <t>Mesospheric Short-Period Gravity Waves in the Antarctic Peninsula Observed in All-Sky Airglow Images and Their Possible Source Locations</t>
  </si>
  <si>
    <t>mesospheric short-period gravity wave; Antarctic Peninsula; wind filtering effect</t>
  </si>
  <si>
    <t>MIDDLE ATMOSPHERE; STATISTICAL-ANALYSIS; MOMENTUM FLUX; PROPAGATION; THERMOSPHERE; DIRECTIONS; STATION</t>
  </si>
  <si>
    <t>This study presents an analysis of OH airglow images observed from an all-sky camera (ASC) at King Sejong Station (KSS), Antarctic for the 2012-2016 period. The two-dimensional power spectra of short-period gravity waves (&lt;1 hr) as a function of phase velocities are obtained using the M-transform method that employs the time sequence of ASC images. The amplitudes of the power spectral densities show that the mesospheric wave activity is the largest during winter (May, June, and July) and is the smallest in fall (February, March, and April). Wind-blocking diagrams are constructed on the same two-dimensional domain as in the two-dimensional spectra using horizontal winds obtained from MERRA-2 reanalysis at z = 0-80 km and from KSS meteor radar data at z = 80-90 km. Climatologically, the spectral regions of slowly propagating gravity waves (&lt;30 m s(-1)) are overlaid by the wind-blocking areas, which suggests the filtering of gravity waves with small phase speeds by winds below the upper stratosphere. Eastward propagating gravity waves in winter and intense south-eastward waves in spring (October) are found to be unfiltered by the stratospheric winds. It is also found from the spectral analysis that these unfiltered gravity waves can originate from the upper stratosphere or the lower mesosphere, and not from the troposphere, which suggests the possibility of ASC observation of the secondary gravity waves generated near the stratopause.</t>
  </si>
  <si>
    <t>[Kam, Hosik; Kwak, Young-Sil] Korea Astron &amp; Space Sci Inst, Space Sci Div, Daejeon, South Korea; [Song, In-Sun] Yonsei Univ, Dept Atmospher Sci, Mathmat Atmospher Phys Lab, Seoul, South Korea; [Kim, Jeong-Han; Song, Byeong-Gwon] Korea Polar Res Inst, Div Polar Climate Sci, Incheon, South Korea; [Ha Kim, Yong] Chungnam Natl Univ, Dept Astron Space Sci &amp; Geol, Daejeon, South Korea; [Nakamura, Takuji; Tomikawa, Yoshihiro; Ejiri, Mitsumu K.; Tsutsumi, Masaki] Natl Inst Polar Res, Tokyo, Japan; [Nakamura, Takuji; Tomikawa, Yoshihiro; Ejiri, Mitsumu K.; Tsutsumi, Masaki] SOKENDAI Grad Univ Adv Studies, Dept Polar Sci, Tokyo, Kanagawa, Japan; [Kogure, Masaru] Kyushu Univ, Dept Earth &amp; Planetary Sci, Fukuoka, Japan; [Perwitasari, Septi] Natl Inst Informat &amp; Commun Technol, Tokyo, Japan; [Kwak, Young-Sil] Korea Univ Sci &amp; Technol, Dept Astron &amp; Space Sci, Daejeon, South Korea</t>
  </si>
  <si>
    <t>Korea Astronomy &amp; Space Science Institute (KASI); Yonsei University; Korea Polar Research Institute (KOPRI); Chungnam National University; Research Organization of Information &amp; Systems (ROIS); National Institute of Polar Research (NIPR) - Japan; Graduate University for Advanced Studies - Japan; Kyushu University; National Institute of Information &amp; Communications Technology (NICT) - Japan; University of Science &amp; Technology (UST)</t>
  </si>
  <si>
    <t>Kwak, YS (corresponding author), Korea Astron &amp; Space Sci Inst, Space Sci Div, Daejeon, South Korea.;Kwak, YS (corresponding author), Korea Univ Sci &amp; Technol, Dept Astron &amp; Space Sci, Daejeon, South Korea.</t>
  </si>
  <si>
    <t>yskwak@kasi.re.kr</t>
  </si>
  <si>
    <t>Kim, Jeong Han/J-6244-2016; Kogure, Masaru/IUP-8537-2023; Song, In-Sun/KCK-5485-2024; Tomikawa, Yoshihiro/D-5304-2012</t>
  </si>
  <si>
    <t>Kogure, Masaru/0000-0003-0774-8647; Song, In-Sun/0000-0001-7211-6035; Tomikawa, Yoshihiro/0000-0002-5652-3017; Kim, Yongha/0000-0003-0200-9423; Song, Byeong-Gwon/0000-0003-1252-3231; Nakamura, Takuji/0000-0002-3876-2946</t>
  </si>
  <si>
    <t>Korea Astronomy and Space Science Institute (KASI) [KASI2021185005]; National Research Foundation of Korea (NRF) - Korean government (MSIT) [2019K2A9A1A0610292012, PE21020]; Korea Polar Research Institute [PE21020]; JSPS grant JRPs-LEAD; DFG program; JSPS KAKENHI [19K23465]; Scientific Committee on Antarctic Research (SCAR) fellowship award 2019; Grants-in-Aid for Scientific Research [19K23465] Funding Source: KAKEN</t>
  </si>
  <si>
    <t>Korea Astronomy and Space Science Institute (KASI); National Research Foundation of Korea (NRF) - Korean government (MSIT)(National Research Foundation of KoreaMinistry of Science &amp; ICT (MSIT), Republic of Korea); Korea Polar Research Institute(Korea Polar Research Institute of Marine Research Placement (KOPRI)); JSPS grant JRPs-LEAD; DFG program(German Research Foundation (DFG)); JSPS KAKENHI(Ministry of Education, Culture, Sports, Science and Technology, Japan (MEXT)Japan Society for the Promotion of ScienceGrants-in-Aid for Scientific Research (KAKENHI)); Scientific Committee on Antarctic Research (SCAR) fellowship award 2019; Grants-in-Aid for Scientific Research(Ministry of Education, Culture, Sports, Science and Technology, Japan (MEXT)Japan Society for the Promotion of ScienceGrants-in-Aid for Scientific Research (KAKENHI))</t>
  </si>
  <si>
    <t>This research was supported by basic research funding from the Korea Astronomy and Space Science Institute (KASI) (KASI2021185005)and by a National Research Foundation of Korea (NRF) grant funded by the Korean government (MSIT) (2019K2A9A1A0610292012). This work was also supported by grant PE21020 from the Korea Polar Research Institute and studied as a part of collaboration work in the ANGWIN community. M. K. was supported by the JSPS grant JRPs-LEAD with DFG program, JSPS KAKENHI 19K23465 and the Scientific Committee on Antarctic Research (SCAR) fellowship award 2019.</t>
  </si>
  <si>
    <t>e2021JD035842</t>
  </si>
  <si>
    <t>10.1029/2021JD035842</t>
  </si>
  <si>
    <t>WOS:000735878700027</t>
  </si>
  <si>
    <t>Strobel, A; Lille-Langoy, R; Segner, H; Burkhardt-Holm, P; Goksoyr, A; Karlsen, OA</t>
  </si>
  <si>
    <t>Strobel, Anneli; Lille-Langoy, Roger; Segner, Helmut; Burkhardt-Holm, Patricia; Goksoyr, Anders; Karlsen, Odd Andre</t>
  </si>
  <si>
    <t>Xenobiotic metabolism and its physiological consequences in high-Antarctic Notothenioid fishes</t>
  </si>
  <si>
    <t>Notothenioids; Aryl hydrocarbon receptor; Polycyclic aromatic hydrocarbons; Luciferase reporter gene assay; Hepatocyte metabolism</t>
  </si>
  <si>
    <t>ARYL-HYDROCARBON RECEPTOR; PERSISTENT ORGANIC POLLUTANTS; RAINBOW-TROUT HEPATOCYTES; DIOXIN-LIKE COMPOUNDS; TREMATOMUS-BERNACCHII; THERMAL TOLERANCE; ENERGY BUDGET; ELEVATED CO2; TEMPERATURE; SENSITIVITY</t>
  </si>
  <si>
    <t>The Antarctic ecosystem is progressively exposed to anthropogenic contaminants, such as polycyclic aromatic hydrocarbons (PAHs). So far, it is largely unknown if PAHs leave a mark in the physiology of high-Antarctic fish. We approached this issue via two avenues: first, we examined the functional response of the aryl hydrocarbon receptor (Ahr), which is a molecular initiating event of many toxic effects of PAHs in biota. Chionodraco hamatus and Trematomus loennbergii served as representatives for high-Antarctic Notothenioids, and Atlantic cod, Gadus morhua as non-polar reference species. We sequenced and cloned the Ahr ligand binding domain (LBD) of the Notothenioids and deployed a GAL4-based luciferase reporter gene assay expressing the Ahr LBD. Benzo[a]pyrene (BaP), beta-naphthoflavone and chrysene were used as ligands for the reporter gene assay. Second, we investigated the energetic costs of Ahr activation in isolated liver cells of the Notothenioids during acute, non-cytotoxic BaP exposure. In the reporter assay, the Ahr LBD of Atlantic cod and the Antarctic Notothenioids were activated by the ligands tested herein. In the in vitro assays with isolated liver cells of high-Antarctic Notothenioids, BaP exposure had no effect on overall respiration, but caused shifts in the respiration dedicated to protein synthesis. Thus, our study demonstrated that high-Antarctic fish possess a functional Ahr that can be ligand-activated in a concentration-dependent manner by environmental contaminants. This is associated with altered cost for cellular protein synthesis. Future studies have to show if the toxicant-induced activation of the Ahr pathway may lead to altered organism performance of Antarctic fish.</t>
  </si>
  <si>
    <t>[Strobel, Anneli] Alfred Wegener Inst, Helmholtz Ctr Polar &amp; Marine Res, Handelshafen 12, D-27570 Bremerhaven, Germany; [Lille-Langoy, Roger; Goksoyr, Anders; Karlsen, Odd Andre] Univ Bergen, Dept Biol Sci, Thormohlensgate 53B, N-5006 Bergen, Norway; [Segner, Helmut] Univ Bern, Ctr Fish &amp; Wildlife Hlth, Dept Infect Dis &amp; Pathobiol, Langgassstr 122, CH-3012 Bern, Switzerland; [Burkhardt-Holm, Patricia] Univ Basel, Man Soc Environm, Vesalgasse 1, CH-4051 Basel, Switzerland; [Lille-Langoy, Roger] Inst Marine Res, POB 1870, N-5817 Bergen, Norway</t>
  </si>
  <si>
    <t>Helmholtz Association; Alfred Wegener Institute, Helmholtz Centre for Polar &amp; Marine Research; University of Bergen; University of Bern; University of Basel; Institute of Marine Research - Norway</t>
  </si>
  <si>
    <t>Strobel, A (corresponding author), Alfred Wegener Inst, Helmholtz Ctr Polar &amp; Marine Res, Handelshafen 12, D-27570 Bremerhaven, Germany.</t>
  </si>
  <si>
    <t>anneli.strobel@awi.de</t>
  </si>
  <si>
    <t>Strobel, Anneli/S-5853-2016</t>
  </si>
  <si>
    <t>Swiss National Science Foundation [SNSF 31003A_149964/1, IZK0Z3_173426/1]; Freiwillige Akademische Gesellschaft Basel; project iCod 2.0 - Research Council of Norway [244564]; project dCod 1.0 - Research Council of Norway [248840]; Swiss National Science Foundation (SNF) [IZK0Z3_173426] Funding Source: Swiss National Science Foundation (SNF)</t>
  </si>
  <si>
    <t>Swiss National Science Foundation(Swiss National Science Foundation (SNSF)); Freiwillige Akademische Gesellschaft Basel(General Electric); project iCod 2.0 - Research Council of Norway; project dCod 1.0 - Research Council of Norway(Research Council of Norway); Swiss National Science Foundation (SNF)(Swiss National Science Foundation (SNSF))</t>
  </si>
  <si>
    <t>We are grateful to F. C. Mark and N. Koschnick (Alfred Wegener Institute, Helmholtz Centre for Polar and Marin Research) for their support during the expedition with RV Polarstern. We would like to acknowledge H. Schiffer (University of Basel) for her valuable assistance in the laboratory. Thanks also to M. Hahn (Woods Hole Oceanographic Institution) for his advice in preparing Ahr primers. We are also grateful to Alexander Klevedal Madsen for preparing the plasmid expressing the Atlantic cod LBD fused to the GAL4 DBD. This project was funded by the Swiss National Science Foundation (grant number: SNSF 31003A_149964/1 and IZK0Z3_173426/1) and the Freiwillige Akademische Gesellschaft Basel. Furthermore, this work was supported by the projects iCod 2.0 (grant number: 244564) and dCod 1.0 (grant number: 248840) funded by the Research Council of Norway.</t>
  </si>
  <si>
    <t>10.1007/s00300-021-02992-4</t>
  </si>
  <si>
    <t>WOS:000734346200001</t>
  </si>
  <si>
    <t>Xie, JQ; Tao, L; Wu, Q; Bian, ZH; Wang, MQ; Li, YM; Zhu, GP; Lin, T</t>
  </si>
  <si>
    <t>Xie, Jingqian; Tao, Ling; Wu, Qiang; Bian, Zhihe; Wang, Mengqiu; Li, Yingming; Zhu, Guoping; Lin, Tian</t>
  </si>
  <si>
    <t>Bioaccumulation of organochlorine pesticides in Antarctic krill (Euphausia superba): Profile, influencing factors, and mechanisms</t>
  </si>
  <si>
    <t>Antarctic krill; Organochlorine pesticides; Bioaccumulation; Trophic linkage; in vitro silicon modeling</t>
  </si>
  <si>
    <t>PERSISTENT ORGANIC POLLUTANTS; DIPHENYL ETHERS PBDES; MARGINAL ICE-ZONE; POLYCHLORINATED-BIPHENYLS; RESEARCH STATION; GROWTH; PCBS; MODEL; OCPS; CONTAMINANTS</t>
  </si>
  <si>
    <t>Accumulation of organochlorine pesticides (OCPs) in Antarctic krill (Euphausia superba), a keystone species in the Southern Ocean, is potentially harmful to the Antarctic ecosystem and human health. In the current study, we collected E. superba specimens (including muscle and carapace tissues) from Bransfield Strait in northern Antarctic Peninsula and South Georgia to analyze the profile, influencing factors and mechanisms of OCPs bioaccumulation in them. Results indicated that the biological traits (813C, 815N and lipid contents) of krill were significantly affected by habitat. There may exist growth dilution of OCPs in Antarctic krill and no fresh OCPs input in Antarctica, except for endosulfan I. Based on lipid-normalized concentrations, no significant differences were observed between the two regions at most sampling sites. However, OCP levels showed tissue and sex dependence. Boosted regression trees (BRTs) and partial least squares structural equation models (PLS-SEMs) were built to better investigate the main factors affecting the bioaccumulation of OCPs. Lipid content, negatively correlated with OCP levels, was the main factor. In vitro silicon modeling indicated that CYP3A4 metabolism capacity in krill contributed to the OCP residues except for endosulfan I. The results of this study expand current knowledge of OCPs in Antarctic marine biota, as well as their influencing factors and potential mechanisms.</t>
  </si>
  <si>
    <t>[Xie, Jingqian; Tao, Ling; Wu, Qiang; Bian, Zhihe; Wang, Mengqiu; Lin, Tian] Shanghai Ocean Univ, Coll Marine Ecol &amp; Environm, Shanghai 201306, Peoples R China; [Xie, Jingqian; Zhu, Guoping] Shanghai Ocean Univ, Ctr Polar Res, Shanghai 201306, Peoples R China; [Xie, Jingqian] Chinese Acad Sci, Guangzhou Inst Geochem, State Key Lab Organ Geochem, Guangdong Key Lab Environm &amp; Resources, Guangzhou 510640, Peoples R China; [Li, Yingming] Chinese Acad Sci, Res Ctr Ecoenvironm Sci, State Key Lab Environm Chem &amp; Ecotoxicol, Beijing 100085, Peoples R China; [Zhu, Guoping] Shanghai Ocean Univ, Coll Marine Sci, Shanghai 201306, Peoples R China; [Zhu, Guoping] Natl Engn Res Ctr Ocean Fisheries, Shanghai 201306, Peoples R China; [Zhu, Guoping] Shanghai Ocean Univ, Key Lab Sustainable Exploitat Ocean Fisheries Res, Minist Educ, Polar Marine Ecosyst Grp, Shanghai 201306, Peoples R China</t>
  </si>
  <si>
    <t>Shanghai Ocean University; Shanghai Ocean University; Chinese Academy of Sciences; Guangzhou Institute of Geochemistry, CAS; Chinese Academy of Sciences; Research Center for Eco-Environmental Sciences (RCEES); Shanghai Ocean University; National Engineering Research Center for Oceanic Fisheries; Shanghai Ocean University</t>
  </si>
  <si>
    <t>Li, YM (corresponding author), Chinese Acad Sci, Res Ctr Ecoenvironm Sci, State Key Lab Environm Chem &amp; Ecotoxicol, Beijing 100085, Peoples R China.;Zhu, GP (corresponding author), Shanghai Ocean Univ, Coll Marine Sci, Shanghai 201306, Peoples R China.</t>
  </si>
  <si>
    <t>ymli@rcees.ac.cn; gpzhu@shou.edu.cn</t>
  </si>
  <si>
    <t>ZHU, Guo-ping/D-1002-2010; zhu, yujie/KBC-4009-2024; Xie, Jingqian/ISB-2229-2023; xie, jing/GRY-1689-2022</t>
  </si>
  <si>
    <t>Xie, Jingqian/0000-0003-4124-3570; Zhu, Guoping/0000-0001-6081-7811; Wu, Qiang/0009-0007-8352-0720</t>
  </si>
  <si>
    <t>National Natural Science Foundation of China (NSFC) [41806126, 41776185]; China Postdoctoral Science Foundation [2019M653101]; National Key R&amp;D Program of China [2018YFC1406801]</t>
  </si>
  <si>
    <t>National Natural Science Foundation of China (NSFC)(National Natural Science Foundation of China (NSFC)); China Postdoctoral Science Foundation(China Postdoctoral Science Foundation); National Key R&amp;D Program of China</t>
  </si>
  <si>
    <t>This work was financially supported by National Natural Science Foundation of China (NSFC) (41806126 and 41776185), China Postdoctoral Science Foundation (2019M653101), and National Key R&amp;D Program of China (2018YFC1406801). We thank Pro. Zhiqiang Yu and Dr. Juntao Cui in State Key Laboratory of Organic Geochemistry, Guangdong Key Laboratory of Environment and Resources, Guangzhou Institute of Geochemistry, Chinese Academy of Sciences for helping us with analytical methods. We also thank Dr. Christine Watts from the University of Sydney and Dr. Tariku Bekele from Chinese Academy of Sciences for English improvement. We also thank the editor and reviewers for constructive and insightful comments.</t>
  </si>
  <si>
    <t>10.1016/j.jhazmat.2021.128115</t>
  </si>
  <si>
    <t>YV1DS</t>
  </si>
  <si>
    <t>WOS:000752473200003</t>
  </si>
  <si>
    <t>Bowden, AJ; Adams, MB; Andrewartha, SJ; Elliott, NG; Frappell, PB; Clark, TD</t>
  </si>
  <si>
    <t>Bowden, A. J.; Adams, M. B.; Andrewartha, S. J.; Elliott, N. G.; Frappell, P. B.; Clark, T. D.</t>
  </si>
  <si>
    <t>Amoebic gill disease increases energy requirements and decreases hypoxia tolerance in Atlantic salmon (Salmo salar) smolts</t>
  </si>
  <si>
    <t>AGD; Metabolism; Aquaculture; Salmonids; Hypoxia</t>
  </si>
  <si>
    <t>CHLORAMINE-T EXPOSURE; METABOLIC-RATE; OXYGEN-UPTAKE; EXHAUSTIVE EXERCISE; RAINBOW-TROUT; ACID-BASE; TEMPERATURE; AGD; L.; PARAMOEBIDAE</t>
  </si>
  <si>
    <t>Globally, Atlantic salmon (Salmo salar Linnaeus) aquaculture is now routinely affected by amoebic gill disease (AGD; Neoparamoeba perurans). The disease proliferates throughout the summer and is implicated in decreasing tolerance of salmon to environmental perturbations, yet little empirical evidence exists to support these observations. Using salmon acclimated to 15 or 19 degrees C, our aim was to determine the effects of clinically light-moderate (industry-relevant) AGD on metabolism ((M) over dot O-2rest and (M) over dot O-2max), aerobic scope ((M)over dot O-2max - (M) over dot O-2rest), excess postexercise oxygen consumption (EPOC), and hypoxia tolerance. An increase in (M)over dot O-2rest (similar to 8% and similar to 13% increase within the 15 and 19 degrees C acclimation groups, respectively) with increasing disease signs demonstrated an increase in baseline energy requirements as the disease progressed. Conversely, (M) over dot O-2max remained stable at both temperatures (similar to 364 mg O-2 kg(-1) h(-1)), resulting in a decline in aerobic scope by 13 and 19% in the 15 and 19 degrees C groups, respectively. There was evidence of a decrease in hypoxia tolerance as the dissolved oxygen concentrations at loss of equilibrium increased by similar to 8% with more severe lesion coverage of the gills. These results suggest an increase in basal energy requirements and reduction in hypoxia tolerance as AGD proliferates, lending support to the idea that AGD reduces environmental tolerance. However, the lack of an effect of acclimation temperature indicates that the temperature-disease interaction may be more complicated than currently thought.</t>
  </si>
  <si>
    <t>[Bowden, A. J.; Frappell, P. B.; Clark, T. D.] Univ Tasmania, Inst Marine &amp; Antarctic Studies, Hobart, Tas, Australia; [Bowden, A. J.; Andrewartha, S. J.; Elliott, N. G.; Clark, T. D.] CSIRO Agr &amp; Food, Hobart, Tas, Australia; [Adams, M. B.] Univ Tasmania, Inst Marine &amp; Antarctic Studies, Launceston, Tas, Australia; [Bowden, A. J.] Univ Queensland, Sch Biol Sci, St Lucia, Qld 4072, Australia; [Andrewartha, S. J.] Univ Tasmania, Tasmanian Inst Agr, Hobart, Tas 7000, Australia; [Clark, T. D.] Deakin Univ, Sch Life &amp; Environm Sci, Geelong, Vic 3216, Australia</t>
  </si>
  <si>
    <t>University of Tasmania; Commonwealth Scientific &amp; Industrial Research Organisation (CSIRO); University of Tasmania; University of Queensland; University of Tasmania; Deakin University</t>
  </si>
  <si>
    <t>Bowden, AJ (corresponding author), Univ Tasmania, Inst Marine &amp; Antarctic Studies, Hobart, Tas, Australia.;Bowden, AJ (corresponding author), CSIRO Agr &amp; Food, Hobart, Tas, Australia.;Bowden, AJ (corresponding author), Univ Queensland, Sch Biol Sci, St Lucia, Qld 4072, Australia.</t>
  </si>
  <si>
    <t>alyssa.bowden@uq.edu.au</t>
  </si>
  <si>
    <t>Bowden, Alyssa/ABG-6330-2021; Clark, Timothy/K-7129-2012</t>
  </si>
  <si>
    <t>Bowden, Alyssa/0000-0001-6024-1891; Clark, Timothy/0000-0001-8738-3347</t>
  </si>
  <si>
    <t>CSIRO; University of Tasmania; Australian Government; Australian Research Council - Australian Government [FT180100154]; Australian Research Council [FT180100154] Funding Source: Australian Research Council</t>
  </si>
  <si>
    <t>CSIRO(Commonwealth Scientific &amp; Industrial Research Organisation (CSIRO)); University of Tasmania; Australian Government(Australian Government); Australian Research Council - Australian Government(Australian Research Council); Australian Research Council(Australian Research Council)</t>
  </si>
  <si>
    <t>Funding and facility support were provided by CSIRO and the University of Tasmania. We thank Mr. Heindrick Petero and Dr. Timothy Hulse for fish husbandry assistance. A.J.B. would also like to thank the support of the Australian Government through a Research Training Program Scholarship. T.D.C. is the recipient of an Australian Research Council Future Fellowship (FT180100154) funded by the Australian Government.</t>
  </si>
  <si>
    <t>10.1016/j.cbpa.2021.111128</t>
  </si>
  <si>
    <t>YE0VA</t>
  </si>
  <si>
    <t>WOS:000740849000009</t>
  </si>
  <si>
    <t>Rigual-Hernández, AS; Sierro, FJ; Flores, JA; Trull, TW; Rodrigues, T; Martrat, B; Sikes, EL; Nodder, SD; Eriksen, RS; Davies, D; Bravo, N; Sánchez-Santos, JM; Abrantes, F</t>
  </si>
  <si>
    <t>Rigual-Hernandez, A. S.; Sierro, F. J.; Flores, J. A.; Trull, T. W.; Rodrigues, T.; Martrat, B.; Sikes, E. L.; Nodder, S. D.; Eriksen, R. S.; Davies, D.; Bravo, N.; Sanchez-Santos, J. M.; Abrantes, F.</t>
  </si>
  <si>
    <t>Influence of environmental variability and Emiliania huxleyi ecotypes on alkenone-derived temperature reconstructions in the subantarctic Southern Ocean</t>
  </si>
  <si>
    <t>POLAR FRONTAL ZONES; ZOOPLANKTON FECAL PELLETS; LONG-CHAIN ALKENONES; SEDIMENT TRAP; SEASONAL EVOLUTION; PARTICLE FLUXES; MARINE SNOW; PALEOTEMPERATURE ESTIMATION; CALCAREOUS NANNOPLANKTON; GEPHYROCAPSA-OCEANICA</t>
  </si>
  <si>
    <t>Long-chain unsaturated alkenones produced by haptophyte algae are widely used as paleotemperature indicators. The unsaturation relationship to temperature is linear at mid-latitudes, however, non-linear responses detected in subpolar regions of both hemispheres have suggested complicating factors in these environments. To assess the influence of biotic and abiotic factors in alkenone production and preservation in the Subantarctic Zone, alkenone fluxes were quantified in three vertically-moored sediment traps deployed at the SOTS observatory (140 degrees E, 47 degrees S) during a year. Alkenone fluxes were compared with coccolithophore assemblages, satellite measurements and surface-water properties obtained by sensors at SOTS. Alkenone-based temperature reconstructions generally mirrored the seasonal variations of SSTs, except for late winter when significant deviations were observed (3-10 degrees C). Annual flux-weighted averages in the 3800 m trap returned alkenone-derived temperatures similar to 1.5 degrees C warmer than those derived from the 1000 m trap, a distortion attributed to surface production and signal preservation during its transit through the water column. Notably, changes in the relative abundance of E. huxleyi var. huxleyi were positively correlated with temperature deviations between the alkenone-derived temperatures and in situ SSTs (r = 0.6 and 0.7 at 1000 and 2000 m, respectively), while E. huxleyi var. aurorae, displayed an opposite trend. Our results suggest that E. huxleyi var. aurorae produces a higher proportion of C-37:3 relative to C-37:2 compared to its counterparts. Therefore, the dom-inance of var. aurorae south of the Subtropical Front could be at least partially responsible for the less accurate alkenone-based SST reconstructions in the Southern Ocean using global calibrations. However, the observed correla-tions were largely influenced by the samples collected during winter, a period characterized by low particle fluxes and slow sinking rates. Thus, it is likely that other factors such as selective degradation of the most unsaturated alkenones could also account for the deviations of the alkenone paleothermometer.</t>
  </si>
  <si>
    <t>[Rigual-Hernandez, A. S.; Sierro, F. J.; Flores, J. A.] Univ Salamanca, Dept Geol, Area Paleontol, Salamanca 37008, Spain; [Trull, T. W.; Eriksen, R. S.; Davies, D.] CSIRO Oceans &amp; Atmosphere, Hobart, Tas 7001, Australia; [Trull, T. W.; Eriksen, R. S.] Univ Tasmania, Inst Marine &amp; Antarctic Studies, Private Bag 129, Hobart, Tas 7001, Australia; [Trull, T. W.] Univ Tasmania, Antarct Climate &amp; Ecosyst Cooperat Res Ctr, Hobart, Tas 7001, Australia; [Trull, T. W.; Davies, D.] Univ Tasmania, Australian Antarctic Program Partnership, Hobart, Tas 7001, Australia; [Rodrigues, T.; Abrantes, F.] Portuguese Inst Sea &amp; Atmosphere IPMA, Div Geol Marinha DivGM, Rua Alfredo Magalhaes Ramalho 6, Lisbon, Portugal; [Rodrigues, T.] Univ Algarve, Ctr Ciencias Mar, CCMAR, Campus Gambelas, P-8005139 Faro, Portugal; [Martrat, B.; Bravo, N.] IDAEA CSIC, Dept Environm Chem, Barcelona 08034, Spain; [Sikes, E. L.] Rutgers State Univ, Marine &amp; Coastal Sci, New Brunswick, NJ USA; [Nodder, S. D.] Natl Inst Water &amp; Atmospher Res, Wellington 6021, New Zealand; [Sanchez-Santos, J. M.] Univ Salamanca, Dept Estadist, Salamanca 37008, Spain</t>
  </si>
  <si>
    <t>University of Salamanca; Commonwealth Scientific &amp; Industrial Research Organisation (CSIRO); University of Tasmania; University of Tasmania; University of Tasmania; Instituto Portugues do Mar e da Atmosfera; Universidade do Algarve; Consejo Superior de Investigaciones Cientificas (CSIC); CSIC - Centro de Investigacion y Desarrollo Pascual Vila (CID-CSIC); CSIC - Instituto de Diagnostico Ambiental y Estudios del Agua (IDAEA); Rutgers University System; Rutgers University New Brunswick; National Institute of Water &amp; Atmospheric Research (NIWA) - New Zealand; University of Salamanca</t>
  </si>
  <si>
    <t>Rigual-Hernández, AS (corresponding author), Univ Salamanca, Dept Geol, Area Paleontol, Salamanca 37008, Spain.</t>
  </si>
  <si>
    <t>arigual@usal.es</t>
  </si>
  <si>
    <t>Martrat, Belen/I-5952-2015; Rigual-Hernández, Andrés/E-2041-2018; Rodrigues, Teresa/G-2912-2013; Sierro, Francisco/A-4714-2008; Sikes, Elisabeth/HPE-8194-2023; Sánchez Santos, José Manuel/D-9445-2018; Abrantes, Fatima/B-5985-2013; Eriksen, Ruth/J-7760-2014</t>
  </si>
  <si>
    <t>Martrat, Belen/0000-0001-9904-9178; Rigual-Hernández, Andrés/0000-0003-1521-3896; Rodrigues, Teresa/0000-0001-7811-7506; Sierro, Francisco/0000-0002-8647-456X; Sánchez Santos, José Manuel/0000-0002-7434-7598; Abrantes, Fatima/0000-0002-9110-0212; Eriksen, Ruth/0000-0002-5184-2465</t>
  </si>
  <si>
    <t>European Union's Horizon 2020 research and innovation programme under the Marie Sklodowska-Curie grant [748690]; Spanish Ministerio de Economia y Competitividad [CGL2015-68459-P]; Portuguese national funds from FCT - Foundation for Science and Technology [UIDB/04326/2020]; Portuguese national funds from operational programme CRESC Algarve 2020 [ALG-01-0145-FEDER-022121, POCI-01-0145-FEDER-022157]; Portuguese national funds from operational programme COMPETE 2020 [ALG-01-0145-FEDER-022121, POCI-01-0145-FEDER-022157]; [CEX2018-000794-S]; [MCIN/AEI/10.13039/501100011033]; Marie Curie Actions (MSCA) [748690] Funding Source: Marie Curie Actions (MSCA)</t>
  </si>
  <si>
    <t>European Union's Horizon 2020 research and innovation programme under the Marie Sklodowska-Curie grant(Marie Curie Actions); Spanish Ministerio de Economia y Competitividad(Spanish Government); Portuguese national funds from FCT - Foundation for Science and Technology(Fundacao para a Ciencia e a Tecnologia (FCT)); Portuguese national funds from operational programme CRESC Algarve 2020; Portuguese national funds from operational programme COMPETE 2020; ; ; Marie Curie Actions (MSCA)(Marie Curie Actions)</t>
  </si>
  <si>
    <t>We thank the constructive comments and suggestions of five anonymous reviewers that helped improve and clarify this paper. Cathryn Wynn-Edwards (IMAS) provided support in sample splitting/processing and laboratory analysis. We are grateful to Ivia Closset for helpful comments on interpretation of results and to Erik Behrens for providing data for this research. This project has received funding from the European Union'sHorizon 2020 research and innovation programme under the Marie Sklodowska-Curie grant agreement number 748690 - SONAR-CO2. Australia's Integrated Marine Observing System (IMOS) is enabled by the National Collaborative Research Infrastructure Strategy (NCRIS). It is operated by a consortiumof institutions as an unincorporated joint venture, with the University of Tasmania as Lead Agent. This study was supported by the Spanish Ministerio de Economia y Competitividad Project CGL2015-68459-P. The Severo Ochoa Grant CEX2018-000794-S funded by MCIN/AEI/10.13039/501100011033 is likewise acknowledged. This study received Portuguese national funds from FCT - Foundation for Science and Technology through project UIDB/04326/2020, and from the operational programmes CRESC Algarve 2020 and COMPETE 2020 through projects EMBRC.PT ALG-01-0145-FEDER-022121 and EMSO-PT POCI-01-0145-FEDER-022157. Argo data were collected and made freely available by the International Argo Program and the national programmes that contribute to it. (http://www.argo.ucsd.edu, http://argo.jcommops.org).The Argo Program is part of the Global Ocean Observing System. Satellite SST, chlorophyll-a and coccolithophore concentration (NOBM) data sets were produced with the Giovanni online data system, developed and maintained by the NASA GES DISC.</t>
  </si>
  <si>
    <t>10.1016/j.scitotenv.2021.152474</t>
  </si>
  <si>
    <t>YI9IU</t>
  </si>
  <si>
    <t>WOS:000744155500006</t>
  </si>
  <si>
    <t>Miller, BS; Calderan, S; Leaper, R; Miller, EJ; Sirovic, A; Stafford, KM; Bell, E; Double, MC</t>
  </si>
  <si>
    <t>Miller, Brian S.; Calderan, Susannah; Leaper, Russell; Miller, Elanor J.; Sirovic, Ana; Stafford, Kathleen M.; Bell, Elanor; Double, Michael C.</t>
  </si>
  <si>
    <t>Source Level of Antarctic Blue and Fin Whale Sounds Recorded on Sonobuoys Deployed in the Deep-Ocean Off Antarctica</t>
  </si>
  <si>
    <t>source level; bioacoustics; sonobuoy; vocalizations; blue whale (Balaenoptera musculus); fin whale (Balaenoptera physalus); Antarctic</t>
  </si>
  <si>
    <t>DIRECTIONAL SONOBUOYS; BALAENOPTERA-PHYSALUS; CALLS; SEA; LOCALIZATION; ORIENTATION; PACIFIC; JANUARY; RANGE; ARRAY</t>
  </si>
  <si>
    <t>The source levels, SL, of Antarctic blue and fin whale calls were estimated using acoustic recordings collected from directional sonobuoys deployed during an Antarctic voyage in 2019. Antarctic blue whale call types included stereotyped song and downswept frequency-modulated calls, often, respectively, referred to as Z-calls (comprising song units-A, B, and C) and D-calls. Fin whale calls included 20 Hz pulses and 40 Hz downswept calls. Source levels were obtained by measuring received levels (RL) and modelling transmission losses (TL) for each detection. Estimates of SL were sensitive to the parameters used in TL models, particularly the seafloor geoacoustic properties and depth of the calling whale. For our best estimate of TL and whale-depth, mean SL in dB re 1 mu Pa +/- 1 standard deviation ranged between 188-191 +/- 6-8 dB for blue whale call types and 189-192 +/- 6 dB for fin whale call types. These estimates of SL are the first from the Southern Hemisphere for D-calls and 40 Hz downsweeps, and the largest sample size to-date for Antarctic blue whale song. Knowledge of source levels is essential for estimating the detection range and communication space of these calls and will enable more accurate comparisons of detections of these sounds from sonobuoy surveys and across international long-term monitoring networks.</t>
  </si>
  <si>
    <t>[Miller, Brian S.; Calderan, Susannah; Leaper, Russell; Miller, Elanor J.; Bell, Elanor; Double, Michael C.] Australian Antarctic Div, Kingston, Tas, Australia; [Calderan, Susannah] Scottish Assoc Marine Sci SAMS, Oban, Argyll, Scotland; [Leaper, Russell] Int Fund Anim Welf, London, England; [Sirovic, Ana] Texas A&amp;M Univ Galveston, Galveston, TX USA; [Sirovic, Ana] Norwegian Univ Sci &amp; Technol NTNU, Trondheim, Norway; [Stafford, Kathleen M.] Univ Washington, Appl Phys Lab, Seattle, WA 98105 USA</t>
  </si>
  <si>
    <t>Australian Antarctic Division; Texas A&amp;M University System; Texas A&amp;M University College Station; Norwegian University of Science &amp; Technology (NTNU); University of Washington; University of Washington Seattle</t>
  </si>
  <si>
    <t>Miller, BS (corresponding author), Australian Antarctic Div, Kingston, Tas, Australia.</t>
  </si>
  <si>
    <t>brian.miller@aad.gov.au</t>
  </si>
  <si>
    <t>Miller, Brian/0000-0001-7615-3044; Sirovic, Ana/0000-0001-5097-1268</t>
  </si>
  <si>
    <t>DEC 24</t>
  </si>
  <si>
    <t>10.3389/fmars.2021.792651</t>
  </si>
  <si>
    <t>YH2VC</t>
  </si>
  <si>
    <t>WOS:000743028600001</t>
  </si>
  <si>
    <t>Delord, K; Poupart, T; Gasco, N; Weimerskirch, H; Barbraud, C</t>
  </si>
  <si>
    <t>Delord, Karine; Poupart, Timothee; Gasco, Nicolas; Weimerskirch, Henri; Barbraud, Christophe</t>
  </si>
  <si>
    <t>First evidence of migration across the South Pacific in endangered Amsterdam albatross and conservation implications</t>
  </si>
  <si>
    <t>Diomedea amsterdamensis; National Plan of Actions; Juvenile dispersal; Immature at sea distribution; International conservation responsibility</t>
  </si>
  <si>
    <t>LONGLINE FISHERIES; BYCATCH; OCEAN; IMPACTS</t>
  </si>
  <si>
    <t>Albatrosses are amongst the most globally-threatened species and fisheries bycatch is one of the major conservation issues worldwide. Among the albatrosses the Amsterdam albatross is listed as one of the most endangered species. Within the current National Plan of Actions framework, the present study outlines the first results of a multi-year survey evaluating juvenile dispersal and immature at sea distribution using geolocation and conservation implications. Here we report the first evidence of an Amsterdam albatross wandering for extensive periods outside the Indian Ocean, in the Pacific Ocean. This unprecedented and novel finding is discussed in terms of overlaps with fisheries and conservations issues. This study brings new insights on movements of vagrant stages of an endangered species, paving the way for refined assessments updates of species vulnerability to ongoing anthropogenic threats while providing basic conservation guidance. This makes it possible to point out the responsibility of the various management bodies both for the high seas regional fisheries management organisations and for exclusive economic zones.</t>
  </si>
  <si>
    <t>[Delord, Karine; Poupart, Timothee; Weimerskirch, Henri; Barbraud, Christophe] CNRS, Ctr Etud Biol Chize UMR 7372, F-79360 Villiers En Bois, France; [Gasco, Nicolas] UA, SU, IRD,UCN, Lab Biol Organismes &amp; Ecosyst Aquat BOREA,MNHN,CN, Paris, France</t>
  </si>
  <si>
    <t>Centre National de la Recherche Scientifique (CNRS); CNRS - Institute of Ecology &amp; Environment (INEE); Centre National de la Recherche Scientifique (CNRS); Institut de Recherche pour le Developpement (IRD); Museum National d'Histoire Naturelle (MNHN); Sorbonne Universite</t>
  </si>
  <si>
    <t>Delord, K (corresponding author), CEBC CNRS, F-79360 Villiers En Bois, France.</t>
  </si>
  <si>
    <t>karine.delord@cebc.cnrs.fr</t>
  </si>
  <si>
    <t>Barbraud, Christophe/A-5870-2012; Weimerskirch, Henri/F-5562-2013</t>
  </si>
  <si>
    <t>Barbraud, Christophe/0000-0003-0146-212X;</t>
  </si>
  <si>
    <t>French Polar Institute IPEV; Zone Atelier Antarctique (CNRS-INEE); Terres Australes et Antarctiques Francaises</t>
  </si>
  <si>
    <t>This study was made possible thanks to all the field workers involved in the monitoring program on Amsterdam albatross, namely Jean-Baptiste Thiebot, Jeremy Demay, Remi Bigonneau, Romain Bazire, Hele`ne Le Berre, Marine Quintin, Marine Devaud, Chloe Tanton, Jeremy Dechartre and Anthony Le Nozahic. We are grateful to Richard Phillips, British Antarctic Survey, Cambridge for providing GLS loggers. This study is a contribution to the National Plan of Actions for Amsterdam albatross. This monitoring program was supported financially and logistically by the French Polar Institute IPEV (program 109, resp. HenriWeimerskirch) , the Zone Atelier Antarctique (CNRS-INEE) , Terres Australes et Antarctiques Francaises. All work was carried out in accordance with the IPEV ethics committee. We acknowledge Domi-nique Joubert for the management of the demographic CEBC database. We would also like to thank Daphnis De Pooter at the CCAMLR Secre-tariat for assisting with the provision of the fishery data from Divisions 58.4.4a, 58.4.4b, 58.5.1, 58.5.2, 58.6, 58.7, 51 (CI and PEI) , and all data owners for their permission for the use of the data, in accordance with the Rules for Access and Use CCAMLR Data. We thank the Museum National d'Histoire Naturelle (MNHN) de Paris (Charlotte Chazeau, Patrice Pruvost, Alexis Martin-PECHEKER database) . The contribution of captains, crews and fishery observers (particularly Marion Kauff-mann, Cyrielle Jac, Samuel Perroteau) who collected the data is grate-fully acknowledged. We thank two anonymous reviewers for constructive comments on an earlier version of the manuscript.</t>
  </si>
  <si>
    <t>10.1016/j.marpol.2021.104921</t>
  </si>
  <si>
    <t>XY7IM</t>
  </si>
  <si>
    <t>WOS:000737141400004</t>
  </si>
  <si>
    <t>Diener, T; Sasgen, I; Agosta, C; Fuerst, JJ; Braun, MH; Konrad, H; Fettweis, X</t>
  </si>
  <si>
    <t>Diener, Theresa; Sasgen, Ingo; Agosta, Cecile; Fuerst, Johannes J.; Braun, Matthias H.; Konrad, Hannes; Fettweis, Xavier</t>
  </si>
  <si>
    <t>Acceleration of Dynamic Ice Loss in Antarctica From Satellite Gravimetry</t>
  </si>
  <si>
    <t>Antarctica; GRACE; GRACE-FO; ice-dynamic discharge; surface mass balance; sea-level rise (SLR); mass balance; ISMIP6; climate indices</t>
  </si>
  <si>
    <t>AMUNDSEN SEA EMBAYMENT; GROUNDING LINE RETREAT; SURFACE MASS-BALANCE; RAPID BEDROCK UPLIFT; WEST ANTARCTICA; EAST ANTARCTICA; SOUTHERN-HEMISPHERE; TOTTEN GLACIER; LEVEL RISE; SHEET</t>
  </si>
  <si>
    <t>The dynamic stability of the Antarctic Ice Sheet is one of the largest uncertainties in projections of future global sea-level rise. Essential for improving projections of the ice sheet evolution is the understanding of the ongoing trends and accelerations of mass loss in the context of ice dynamics. Here, we examine accelerations of mass change of the Antarctic Ice Sheet from 2002 to 2020 using data from the GRACE (Gravity Recovery and Climate Experiment; 2002-2017) and its follow-on GRACE-FO (2018-present) satellite missions. By subtracting estimates of net snow accumulation provided by re-analysis data and regional climate models from GRACE/GRACE-FO mass changes, we isolate variations in ice-dynamic discharge and compare them to direct measurements based on the remote sensing of the surface-ice velocity (2002-2017). We show that variations in the GRACE/GRACE-FO time series are modulated by variations in regional snow accumulation caused by large-scale atmospheric circulation. We show for the first time that, after removal of these surface effects, accelerations of ice-dynamic discharge from GRACE/GRACE-FO agree well with those independently derived from surface-ice velocities. For 2002-2020, we recover a discharge acceleration of -5.3 +/- 2.2 Gt yr(-2) for the entire ice sheet; these increasing losses originate mainly in the Amundsen and Bellingshausen Sea Embayment regions (68%), with additional significant contributions from Dronning Maud Land (18%) and the Filchner-Ronne Ice Shelf region (13%). Under the assumption that the recovered rates and accelerations of mass loss persisted independent of any external forcing, Antarctica would contribute 7.6 +/- 2.9 cm to global mean sea-level rise by the year 2100, more than two times the amount of 2.9 +/- 0.6 cm obtained by linear extrapolation of current GRACE/GRACE-FO mass loss trends.</t>
  </si>
  <si>
    <t>[Diener, Theresa; Fuerst, Johannes J.; Braun, Matthias H.] Friedrich Alexander Univ Erlangen Nurnberg, Inst Geog, Dept Geog &amp; Geosci, Erlangen, Germany; [Diener, Theresa; Sasgen, Ingo] Helmholtz Zentrum Polar &amp; Meeresforsch, Alfred Wegener Inst, Div Glaciol, Bremerhaven, Germany; [Agosta, Cecile] Lab Sci Climat &amp; Environm LSCE, Gif Sur Yvette, France; [Konrad, Hannes] Deutsch Wetterdienst, Satellite Based Climate Monitoring, Offenbach, Germany; [Fettweis, Xavier] Univ Liege, Dept Geog, SPHERES Res Unit, Liege, Belgium</t>
  </si>
  <si>
    <t>University of Erlangen Nuremberg; Helmholtz Association; Alfred Wegener Institute, Helmholtz Centre for Polar &amp; Marine Research; CEA; Centre National de la Recherche Scientifique (CNRS); Universite Paris Saclay; Deutscher Wetterdienst; University of Liege</t>
  </si>
  <si>
    <t>Sasgen, I (corresponding author), Helmholtz Zentrum Polar &amp; Meeresforsch, Alfred Wegener Inst, Div Glaciol, Bremerhaven, Germany.</t>
  </si>
  <si>
    <t>ingo.sasgen@awi.de</t>
  </si>
  <si>
    <t>Konrad, Hannes/H-7647-2013; Braun, Matthias H/S-4693-2016; Agosta, Cécile/HLQ-5577-2023; Braun, Matthias/A-4968-2009; Konrad, Hannes/A-1813-2016</t>
  </si>
  <si>
    <t>Braun, Matthias/0000-0001-5169-1567; Konrad, Hannes/0000-0002-5058-8637</t>
  </si>
  <si>
    <t>10.3389/feart.2021.741789</t>
  </si>
  <si>
    <t>YE0PS</t>
  </si>
  <si>
    <t>WOS:000740835100001</t>
  </si>
  <si>
    <t>Avalon, NE; Murray, AE; Daligault, HE; Lo, CC; Davenport, KW; Dichosa, AEK; Chain, PSG; Baker, BJ</t>
  </si>
  <si>
    <t>Avalon, Nicole E.; Murray, Alison E.; Daligault, Hajnalka E.; Lo, Chien-Chi; Davenport, Karen W.; Dichosa, Armand E. K.; Chain, Patrick S. G.; Baker, Bill J.</t>
  </si>
  <si>
    <t>Bioinformatic and Mechanistic Analysis of the Palmerolide PKS-NRPS Biosynthetic Pathway From the Microbiome of an Antarctic Ascidian</t>
  </si>
  <si>
    <t>FRONTIERS IN CHEMISTRY</t>
  </si>
  <si>
    <t>marine natural products; macrolide; biosynthetic gene clusters; Antarctic microbiology; trans-AT type I polyketide synthase; secondary metabolites</t>
  </si>
  <si>
    <t>FORMAL TOTAL-SYNTHESIS; I POLYKETIDE SYNTHASE; GENE-CLUSTER; NATURAL-PRODUCT; SUBSTRATE-SPECIFICITY; HETEROLOGOUS EXPRESSION; BACTERIAL SYMBIONT; BOND FORMATION; ACYLTRANSFERASE; MACROLIDES</t>
  </si>
  <si>
    <t>Complex interactions exist between microbiomes and their hosts. Increasingly, defensive metabolites that have been attributed to host biosynthetic capability are now being recognized as products of host-associated microbes. These unique metabolites often have bioactivity targets in human disease and can be purposed as pharmaceuticals. Polyketides are a complex family of natural products that often serve as defensive metabolites for competitive or pro-survival purposes for the producing organism, while demonstrating bioactivity in human diseases as cholesterol lowering agents, anti-infectives, and anti-tumor agents. Marine invertebrates and microbes are a rich source of polyketides. Palmerolide A, a polyketide isolated from the Antarctic ascidian Synoicum adareanum, is a vacuolar-ATPase inhibitor with potent bioactivity against melanoma cell lines. The biosynthetic gene clusters (BGCs) responsible for production of secondary metabolites are encoded in the genomes of the producers as discrete genomic elements. A candidate palmerolide BGC was identified from a S. adareanum microbiome-metagenome based on a high degree of congruence with a chemical structure-based retrobiosynthetic prediction. Protein family homology analysis, conserved domain searches, active site and motif identification were used to identify and propose the function of the similar to 75 kbp trans-acyltransferase (AT) polyketide synthase-non-ribosomal synthase (PKS-NRPS) domains responsible for the stepwise synthesis of palmerolide A. Though PKS systems often act in a predictable co-linear sequence, this BGC includes multiple trans-acting enzymatic domains, a non-canonical condensation termination domain, a bacterial luciferase-like monooxygenase (LLM), and is found in multiple copies within the metagenome-assembled genome (MAG). Detailed inspection of the five highly similar pal BGC copies suggests the potential for biosynthesis of other members of the palmerolide chemical family. This is the first delineation of a biosynthetic gene cluster from an Antarctic microbial species, recently proposed as Candidatus Synoicihabitans palmerolidicus. These findings have relevance for fundamental knowledge of PKS combinatorial biosynthesis and could enhance drug development efforts of palmerolide A through heterologous gene expression.</t>
  </si>
  <si>
    <t>[Avalon, Nicole E.; Baker, Bill J.] Univ S Florida, Dept Chem, Tampa, FL 33620 USA; [Murray, Alison E.] Desert Res Inst, Div Earth &amp; Ecosyst Sci, Reno, NV 89512 USA; [Daligault, Hajnalka E.; Lo, Chien-Chi; Davenport, Karen W.; Dichosa, Armand E. K.; Chain, Patrick S. G.] Los Alamos Natl Lab, Los Alamos, NM 87545 USA</t>
  </si>
  <si>
    <t>State University System of Florida; University of South Florida; Nevada System of Higher Education (NSHE); Desert Research Institute NSHE; United States Department of Energy (DOE); Los Alamos National Laboratory</t>
  </si>
  <si>
    <t>Baker, BJ (corresponding author), Univ S Florida, Dept Chem, Tampa, FL 33620 USA.;Murray, AE (corresponding author), Desert Res Inst, Div Earth &amp; Ecosyst Sci, Reno, NV 89512 USA.;Chain, PSG (corresponding author), Los Alamos Natl Lab, Los Alamos, NM 87545 USA.</t>
  </si>
  <si>
    <t>alison.murray@dri.edu; pchain@lanl.gov; bjbaker@usf.edu</t>
  </si>
  <si>
    <t>Baker, Bill/N-4312-2019</t>
  </si>
  <si>
    <t>Murray, Alison E/0000-0001-5790-7584; Davenport, Karen/0000-0002-2740-1344; Daligault, Hajnalka/0000-0001-5937-9869; Lo, Chien-Chi/0000-0003-3470-1078; Chain, Patrick/0000-0003-3949-3634; Dichosa, Armand/0000-0003-0640-6629; Baker, Bill/0000-0003-3033-5779; Avalon, Nicole/0000-0003-3588-892X</t>
  </si>
  <si>
    <t>National Institutes of Health award [CA205932]; National Science Foundation [ANT-0838776, PLR-1341339, ANT-0632389]</t>
  </si>
  <si>
    <t>National Institutes of Health award(United States Department of Health &amp; Human ServicesNational Institutes of Health (NIH) - USA); National Science Foundation(National Science Foundation (NSF))</t>
  </si>
  <si>
    <t>Support for this research was provided in part by the National Institutes of Health award (CA205932) to AM, BB, and PC, with additional support from National Science Foundation awards (ANT-0838776, and PLR-1341339 to BB, ANT-0632389 to AM).</t>
  </si>
  <si>
    <t>2296-2646</t>
  </si>
  <si>
    <t>FRONT CHEM</t>
  </si>
  <si>
    <t>Front. Chem.</t>
  </si>
  <si>
    <t>10.3389/fchem.2021.802574</t>
  </si>
  <si>
    <t>Chemistry, Multidisciplinary</t>
  </si>
  <si>
    <t>YI6ZD</t>
  </si>
  <si>
    <t>WOS:000743994000001</t>
  </si>
  <si>
    <t>Zhao, Y; Sun, CX; Huang, LY; Zhang, X; Zhang, GJ; Che, Q; Li, DH; Zhu, TJ</t>
  </si>
  <si>
    <t>Zhao, Yi; Sun, Chunxiao; Huang, Luyao; Zhang, Xiao; Zhang, Guojian; Che, Qian; Li, Dehai; Zhu, Tianjiao</t>
  </si>
  <si>
    <t>Talarodrides A-F, Nonadrides from the Antarctic Sponge-Derived Fungus Talaromyces sp. HDN1820200</t>
  </si>
  <si>
    <t>JOURNAL OF NATURAL PRODUCTS</t>
  </si>
  <si>
    <t>ABSOLUTE-CONFIGURATION; BIOSYNTHESIS; CP-225,917; PROLIFERATION; METABOLITES; CP-263,114; TOXICITY; ASSAY</t>
  </si>
  <si>
    <t>Six new nonadride derivatives, named talarodrides A-F (1-6), were isolated from the Antarctic sponge-derived fungus Talaromyces sp. HDN1820200. All structures including the absolute configurations were deduced by extensive spectroscopic analysis and computational ECD calculations. Compounds 1-4 share a rare caged bicyclo[4.3.1]-deca-1,6-diene with a bridgehead olefin and maleic anhydride core skeleton, while compounds 5 and 6 possess the first case of a naturally occurring 5/7/6 methanocyclonona[c]-furan skeleton. Talarodride A (1) and talarodride B (2) showed selective inhibitory effects against Proteus mirabilis and Vibrio parahemolyticus with MICs of 3.13-12.5 mu M.</t>
  </si>
  <si>
    <t>[Zhao, Yi; Sun, Chunxiao; Huang, Luyao; Zhang, Xiao; Zhang, Guojian; Che, Qian; Li, Dehai; Zhu, Tianjiao] Ocean Univ China, Chinese Minist Educ, Sch Med &amp; Pharm, Key Lab Marine Drugs, Qingdao 266003, Peoples R China; [Li, Dehai] Qingdao Natl Lab Marine Sci &amp; Technol, Lab Marine Drugs &amp; Bioproducts, Qingdao 266237, Peoples R China; [Li, Dehai] Open Studio Druggabil Res Marine Nat Prod, Pilot Natl Lab Marine Sci &amp; Technol, Qingdao 266237, Peoples R China</t>
  </si>
  <si>
    <t>Ocean University of China; Laoshan Laboratory; Laoshan Laboratory</t>
  </si>
  <si>
    <t>Li, DH; Zhu, TJ (corresponding author), Ocean Univ China, Chinese Minist Educ, Sch Med &amp; Pharm, Key Lab Marine Drugs, Qingdao 266003, Peoples R China.;Li, DH (corresponding author), Qingdao Natl Lab Marine Sci &amp; Technol, Lab Marine Drugs &amp; Bioproducts, Qingdao 266237, Peoples R China.;Li, DH (corresponding author), Open Studio Druggabil Res Marine Nat Prod, Pilot Natl Lab Marine Sci &amp; Technol, Qingdao 266237, Peoples R China.</t>
  </si>
  <si>
    <t>dehaili@ouc.edu.cn; zhutj@ouc.edu.cn</t>
  </si>
  <si>
    <t>Guo, Li/KCK-9540-2024; Li, Dehai/G-7656-2012; Wang, Guanhua/JXM-6373-2024; CHEN, MINGWEI/KHT-6744-2024; wen, Wen/KBB-1727-2024</t>
  </si>
  <si>
    <t>Li, Dehai/0000-0002-7191-2002; Zhu, Tianjiao/0000-0003-4185-5593</t>
  </si>
  <si>
    <t>National Natural Science Foundation of China [41876216]; National Key R&amp;D Program of China [2018YFC1406705]; National Science and Technology Major Project for Significant New Drugs Development [2018ZX09735004]; Marine S&amp;T Fund of Shandong Province for Qingdao Pilot National Laboratory for Marine Science and Technology [2018SDKJ0401-2]; Major Basic Research Programs of Natural Science Foundation of Shandong Province [ZR2019ZD18]; Fundamental Research Funds for the Central Universities [201941001]; Taishan Scholar Youth Expert Program in Shandong Province [tsqn201812021]; Youth Innovation Plan of Shandong Province [2019KJM004]</t>
  </si>
  <si>
    <t>National Natural Science Foundation of China(National Natural Science Foundation of China (NSFC)); National Key R&amp;D Program of China; National Science and Technology Major Project for Significant New Drugs Development; Marine S&amp;T Fund of Shandong Province for Qingdao Pilot National Laboratory for Marine Science and Technology; Major Basic Research Programs of Natural Science Foundation of Shandong Province; Fundamental Research Funds for the Central Universities(Fundamental Research Funds for the Central Universities); Taishan Scholar Youth Expert Program in Shandong Province; Youth Innovation Plan of Shandong Province</t>
  </si>
  <si>
    <t>This work was financially supported by the National Natural Science Foundation of China (41876216) , National Key R&amp;D Program of China (grant 2018YFC1406705) , the National Science and Technology Major Project for Significant New Drugs Development (2018ZX09735004) , the Marine S&amp;T Fund of Shandong Province for Qingdao Pilot National Laboratory for Marine Science and Technology (2018SDKJ0401-2) , Major Basic Research Programs of Natural Science Foundation of Shandong Province (ZR2019ZD18) , the Fundamental Research Funds for the Central Universities (201941001) , the Taishan Scholar Youth Expert Program in Shandong Province (tsqn201812021) , and the Youth Innovation Plan of Shandong Province (2019KJM004) .</t>
  </si>
  <si>
    <t>0163-3864</t>
  </si>
  <si>
    <t>1520-6025</t>
  </si>
  <si>
    <t>J NAT PROD</t>
  </si>
  <si>
    <t>J. Nat. Prod.</t>
  </si>
  <si>
    <t>10.1021/acs.jnatprod.1c00203</t>
  </si>
  <si>
    <t>Plant Sciences; Chemistry, Medicinal; Pharmacology &amp; Pharmacy</t>
  </si>
  <si>
    <t>Science Citation Index Expanded (SCI-EXPANDED); Index Chemicus (IC)</t>
  </si>
  <si>
    <t>Plant Sciences; Pharmacology &amp; Pharmacy</t>
  </si>
  <si>
    <t>YI9TD</t>
  </si>
  <si>
    <t>WOS:000744182500002</t>
  </si>
  <si>
    <t>Foley, ML; Guillermin, Z; Putlitz, B; Baumgartner, LP</t>
  </si>
  <si>
    <t>Foley, M. L.; Guillermin, Z.; Putlitz, B.; Baumgartner, L. P.</t>
  </si>
  <si>
    <t>Zircon U-Pb ages in El Chalt acute accent en Jurassic rhyolites (Chon Aike Silicic LIP, Argentina) reveal xenocrystic remnants of an unexposed lower basement of the Paleo-Pacific Gondwana margin</t>
  </si>
  <si>
    <t>Chon Aike silicic LIP; Zircon; Geochronology; Inheritance; Gondwana</t>
  </si>
  <si>
    <t>SOUTHERN SOUTH-AMERICA; ANTARCTIC PENINSULA; PATAGONIAN ANDES; HF-ISOTOPE; METAMORPHIC COMPLEXES; DEPOSITIONAL AGE; MAGALLANES BASIN; DESEADO MASSIF; MANTLE PLUME; CERRO-PAMPA</t>
  </si>
  <si>
    <t>We investigate the Jurassic volcanic rocks of the El Quemado Complex in the El Chalten region (Argentina), which correlate with the youngest eruptive event of the Chon Aike Silicic LIP in southern Patagonia. New zircon crystallization ages of the various silicic units were obtained using U-Pb geochronology measured by in-situ Laser Ablation Inductively Coupled Plasma Mass Spectrometry. The average ages for 12 samples range from 147 to 152 Ma. Xenocrystic zircon cores of Jurassic igneous zircons are characterized by complex cathodoluminescent textures wherein growth surfaces are truncated by dissolution surfaces that are in turn overgrown by euhedral growth zones that exhibit oscillatory magmatic zoning. The cores have a wide range of ages, from 185 Ma to 1.3 Ga. We combine our analyzed xenocryst zircon ages preserved in the El Quemado Complex rhyolites with a compilation of published xenocryst zircon ages documented from Cenozoic to Paleozoic volcanic and plutonic rocks throughout southern Patagonia. The combined datasets suggests three prominent geologic features not currently exposed on the present day surface: (1) widespread abundant Triassic through Permian (200-300 Ma) xenocrystic ages throughout the present day Andean region, which connect to current exposures in Northern Patagonian and that of the Antarctic Peninsula, marking the Paleo-Pacific Gondwanan margin, (2) the existence of widespread Early-Middle Ordovician to Cambrian ages throughout southern Patagonia, and (3) the presence of an old (similar to 1.0 Ga) crust below that of the Deseado Massif and Tierra del Fuego, which likely extends beneath the present-day Andes.</t>
  </si>
  <si>
    <t>[Foley, M. L.; Guillermin, Z.; Putlitz, B.; Baumgartner, L. P.] Univ Lausanne, Geopolis, CH-1015 Lausanne, Switzerland</t>
  </si>
  <si>
    <t>University of Lausanne</t>
  </si>
  <si>
    <t>Foley, ML (corresponding author), Univ Lausanne, Geopolis, CH-1015 Lausanne, Switzerland.</t>
  </si>
  <si>
    <t>michelle.foley@unil.ch</t>
  </si>
  <si>
    <t>Foley, Michelle/JXN-0766-2024</t>
  </si>
  <si>
    <t>Putlitz, Benita/0009-0006-0268-4372; Foley, Michelle/0000-0003-4420-2416</t>
  </si>
  <si>
    <t>Swiss National Science Foundation [200021_175808]; Swiss National Science Foundation (SNF) [200021_175808] Funding Source: Swiss National Science Foundation (SNF)</t>
  </si>
  <si>
    <t>Swiss National Science Foundation(Swiss National Science Foundation (SNSF)); Swiss National Science Foundation (SNF)(Swiss National Science Foundation (SNSF))</t>
  </si>
  <si>
    <t>We acknowledge S. Leresche, P. Nescher, and S. Seitz for their contribution for field work, sample collection, sample processing, and data collection during the years 2007-2018. This research is indebted to Andres Kosmal (El Chalten, Argentina) for his friendly support in El Chalten and in the field. We thank the authorities of the Parque Nacional de los Glaciares (Argentina) for permission to sample and their hospitality. The U-Pb measurements were made possible with the assistance of A. Ulyanov (UNIL). We thank S.P. Gaynor suggestions to earlier versions of this manuscript and to M.D. Acosta for additional edits and grammatical revisions. Final versions of this manuscript benefited from thoughtful discussions and contributions from E.M. Renda. This research is funded by the Swiss National Science Foundation (200021_175808 to BP). We lastly thank R.J. Suarez and two anonymous reviewers for their detailed suggestions and comments which greatly improved the original manuscript. We also acknowledge the editorial support from A. Folguera.</t>
  </si>
  <si>
    <t>10.1016/j.jsames.2021.103690</t>
  </si>
  <si>
    <t>YL1PO</t>
  </si>
  <si>
    <t>WOS:000745671300002</t>
  </si>
  <si>
    <t>El-Gabbas, A; Van Opzeeland, I; Burkhardt, E; Boebel, O</t>
  </si>
  <si>
    <t>El-Gabbas, Ahmed; Van Opzeeland, Ilse; Burkhardt, Elke; Boebel, Olaf</t>
  </si>
  <si>
    <t>Dynamic Species Distribution Models in the Marine Realm: Predicting Year-Round Habitat Suitability of Baleen Whales in the Southern Ocean</t>
  </si>
  <si>
    <t>dynamic species distribution models; Maxent; Southern Ocean; species distribution models (SDMs); Antarctic blue whales; Antarctic minke whales; fin whales; humpback whales</t>
  </si>
  <si>
    <t>WESTERN ANTARCTIC PENINSULA; KRILL EUPHAUSIA-SUPERBA; SEA-ICE; HUMPBACK WHALES; MINKE WHALES; BALAENOPTERA-BONAERENSIS; MEGAPTERA-NOVAEANGLIAE; ACOUSTIC PRESENCE; ROSS SEA; RELATIVE ABUNDANCE</t>
  </si>
  <si>
    <t>Species distribution models (SDMs) relate species information to environmental conditions to predict potential species distributions. The majority of SDMs are static, relating species presence information to long-term average environmental conditions. The resulting temporal mismatch between species information and environmental conditions can increase model inference's uncertainty. For SDMs to capture the dynamic species-environment relationships and predict near-real-time habitat suitability, species information needs to be spatiotemporally matched with environmental conditions contemporaneous to the species' presence (dynamic SDMs). Implementing dynamic SDMs in the marine realm is highly challenging, particularly due to species and environmental data paucity and spatiotemporally biases. Here, we implemented presence-only dynamic SDMs for four migratory baleen whale species in the Southern Ocean (SO): Antarctic minke, Antarctic blue, fin, and humpback whales. Sightings were spatiotemporally matched with their respective daily environmental predictors. Background information was sampled daily to describe the dynamic environmental conditions in the highly dynamic SO. We corrected for spatial sampling bias by sampling background information respective to the seasonal research efforts. Independent model evaluation was performed on spatial and temporal cross-validation. We predicted the circumantarctic year-round habitat suitability of each species. Daily predictions were also summarized into bi-weekly and monthly habitat suitability. We identified important predictors and species suitability responses to environmental changes. Our results support the propitious use of dynamic SDMs to fill species information gaps and improve conservation planning strategies. Near-real-time predictions can be used for dynamic ocean management, e.g., to examine the overlap between habitat suitability and human activities. Nevertheless, the inevitable spatiotemporal biases in sighting data from the SO call for the need for improving sampling effort in the SO and using alternative data sources (e.g., passive acoustic monitoring) in future SDMs. We further discuss challenges of calibrating dynamic SDMs on baleen whale species in the SO, with a particular focus on spatiotemporal sampling bias issues and how background information should be sampled in presence-only dynamic SDMs. We also highlight the need to integrate visual and acoustic data in future SDMs on baleen whales for better coverage of environmental conditions suitable for the species and avoid constraints of using either data type alone.</t>
  </si>
  <si>
    <t>[El-Gabbas, Ahmed; Van Opzeeland, Ilse; Burkhardt, Elke; Boebel, Olaf] Helmholtz Ctr Polar &amp; Marine Res, Alfred Wegener Inst AWI, Ocean Acoust Grp, Bremerhaven, Germany</t>
  </si>
  <si>
    <t>El-Gabbas, A (corresponding author), Helmholtz Ctr Polar &amp; Marine Res, Alfred Wegener Inst AWI, Ocean Acoust Grp, Bremerhaven, Germany.</t>
  </si>
  <si>
    <t>ahmed.el-gabbas@awi.de</t>
  </si>
  <si>
    <t>El-Gabbas, Ahmed/E-7796-2014</t>
  </si>
  <si>
    <t>El-Gabbas, Ahmed/0000-0003-2225-088X</t>
  </si>
  <si>
    <t>DEC 23</t>
  </si>
  <si>
    <t>10.3389/fmars.2021.802276</t>
  </si>
  <si>
    <t>YH2OE</t>
  </si>
  <si>
    <t>gold, Green Submitted, Green Published</t>
  </si>
  <si>
    <t>WOS:000743010600001</t>
  </si>
  <si>
    <t>Hayashi, H; Mikouchi, T; Kim, NK; Park, C; Sano, Y; Takenouchi, A; Yamaguchi, A; Kagi, H; Bizzarro, M</t>
  </si>
  <si>
    <t>Hayashi, Hideyuki; Mikouchi, Takashi; Kim, Nak Kyu; Park, Changkun; Sano, Yuji; Takenouchi, Atsushi; Yamaguchi, Akira; Kagi, Hiroyuki; Bizzarro, Martin</t>
  </si>
  <si>
    <t>Unique igneous textures and shock metamorphism of the Northwest Africa 7203 angrite: Implications for crystallization processes and the evolutionary history of the angrite parent body</t>
  </si>
  <si>
    <t>METEORITICS &amp; PLANETARY SCIENCE</t>
  </si>
  <si>
    <t>MARTIAN METEORITE; PETROLOGY; SAHARA-99555; MINERALOGY; DORBIGNY; ORIGIN; AGES</t>
  </si>
  <si>
    <t>Northwest Africa (NWA) 7203 is a quenched angrite, showing mineralogical features typically not present in other quenched angrites. NWA 7203 exhibits textures whose grain size varies from fine grains (&lt;10 mu m) to coarse grains (similar to 3 mm), while other quenched angrites show only single-sized textures. Fine-grained and coarse-grained lithologies have nearly the same bulk compositions. Cooling rates were estimated to be similar to 80 degrees C h(-1) for fine-grained lithologies and similar to 1 degrees C h(-1) for coarse-grained lithologies. Mg-rich olivines (similar to Fo(64)) were found only in fine-grained lithologies. Crystallization of NWA 7203 started in the fine-grained lithologies with Mg-rich olivine grains acting as seeds for crystallization. Coarse-grained lithologies were subsequently formed under conditions of slower cooling. NWA 7203 shows clear shock metamorphic textures unlike other quenched angrites except for NWA 1670. We confirm that the oxygen isotopic ratios of NWA 7203 plot on the angrite fractionation line within uncertainty. However, the obtained Pb-Pb age of NWA 7203 is 4543 +/- 19 Ma, younger than the ages of other quenched angrites, which might be a result of disturbance by shock metamorphism. The finding of shock metamorphism of NWA 7203 suggests that some angrites might be derived from asteroids that remained large (&gt;10 km in diameter) during the late heavy bombardment.</t>
  </si>
  <si>
    <t>[Hayashi, Hideyuki] Univ Tokyo, Grad Sch Sci, Dept Earth &amp; Planetary Sci, Bunkyo Ku, 7-3-1 Hongo, Tokyo 1130033, Japan; [Mikouchi, Takashi] Univ Museum, Univ Tokyo, Bunkyo Ku, 7-3-1 Hongo, Tokyo 1130033, Japan; [Kim, Nak Kyu; Park, Changkun] Korea Polar Res Inst KOPRI, Div Earth Sci, 26 Songdomirae Ro, Incheon 21990, South Korea; [Sano, Yuji] Univ Tokyo, Atmosphere &amp; Ocean Res Inst AORI, 5-1-5 Kashiwanoha, Kashiwa, Chiba 2778564, Japan; [Sano, Yuji] Kochi Univ, Ctr Adv Marine Core Res, Nankoku, Kochi 7838502, Japan; [Takenouchi, Atsushi; Yamaguchi, Akira] Natl Inst Polar Res NIPR, Antarctic Meteorite Res Ctr, 10-3 Midori Cho, Tachikawa, Tokyo 1908518, Japan; [Takenouchi, Atsushi] Kyoto Univ, Kyoto Univ Museum, Sakyo Ku, Yoshida Honmachi, Kyoto 6068501, Japan; [Kagi, Hiroyuki] Univ Tokyo, Geochem Res Ctr, Grad Sch Sci, Bunkyo Ku, 7-3-1 Hongo, Tokyo 1130033, Japan; [Bizzarro, Martin] Univ Copenhagen, Ctr Stars &amp; Planet Format, Globe Inst, Oster Voldgade 5-7, DK-1350 Copenhagen, Denmark</t>
  </si>
  <si>
    <t>University of Tokyo; University of Tokyo; Korea Polar Research Institute (KOPRI); University of Tokyo; Kochi University; Research Organization of Information &amp; Systems (ROIS); National Institute of Polar Research (NIPR) - Japan; Kyoto University; University of Tokyo; University of Copenhagen</t>
  </si>
  <si>
    <t>Hayashi, H (corresponding author), Univ Tokyo, Grad Sch Sci, Dept Earth &amp; Planetary Sci, Bunkyo Ku, 7-3-1 Hongo, Tokyo 1130033, Japan.</t>
  </si>
  <si>
    <t>h.hayashi@eps.s.u-tokyo.ac.jp</t>
  </si>
  <si>
    <t>Kagi, Hiroyuki/G-4915-2014; Park, Changkun/E-7281-2019; Takenouchi, Atsushi/JQJ-6329-2023; Sano, Yuji/B-8971-2015; Bizzarro, Martin/I-8701-2012</t>
  </si>
  <si>
    <t>Park, Changkun/0000-0002-1206-6803; Takenouchi, Atsushi/0000-0001-7400-4192; Mikouchi, Takashi/0000-0002-9998-8754; Kim, Nak Kyu/0000-0002-2882-068X; Bizzarro, Martin/0000-0001-9966-2124</t>
  </si>
  <si>
    <t>Graduate Research Abroad in Science Program [GRASP2019-2]; JSPS KAKENHI [19H00726, 19H01959, 21K18645]; NIPR through General Collaboration Project [30-19, KP307]; GIMRT Program of the Institute for Materials Research, Tohoku University [18K0006, 19K0024]; Astrobiology Center of National Institutes of Natural Sciences (NINS) [AB 31 1022, AB 03 1004]; KOPRI project [PE21050]; Carlsberg Foundation [CF18 1105]; European Research Council (ERC) [833275-DEEPTIME]; Grants-in-Aid for Scientific Research [21K18645, 19H01959, 19H00726] Funding Source: KAKEN</t>
  </si>
  <si>
    <t>Graduate Research Abroad in Science Program; JSPS KAKENHI(Ministry of Education, Culture, Sports, Science and Technology, Japan (MEXT)Japan Society for the Promotion of ScienceGrants-in-Aid for Scientific Research (KAKENHI)); NIPR through General Collaboration Project; GIMRT Program of the Institute for Materials Research, Tohoku University; Astrobiology Center of National Institutes of Natural Sciences (NINS); KOPRI project(Korea Polar Research Institute of Marine Research Placement (KOPRI)); Carlsberg Foundation(Carlsberg Foundation); European Research Council (ERC)(European Research Council (ERC)Spanish Government); Grants-in-Aid for Scientific Research(Ministry of Education, Culture, Sports, Science and Technology, Japan (MEXT)Japan Society for the Promotion of ScienceGrants-in-Aid for Scientific Research (KAKENHI))</t>
  </si>
  <si>
    <t>Technical advice from Dr. N. Takahata for analysis of Pb isotopic ratios and discussion with Dr. T. Iizuka was helpful. We thank NIPR members for helping with Raman work and other observations of angrites. Mr. H. Yoshida and Mr. K. Ichimura supported electron microprobe work at Department of Earth and Planetary Science, the University of Tokyo. This study was supported by The Graduate Research Abroad in Science Program (GRASP2019-2), JSPS KAKENHI Grant Numbers 19H00726, 19H01959, and 21K18645, NIPR through General Collaboration Project no. 30-19 and KP307, GIMRT Program of the Institute for Materials Research, Tohoku University (Proposal No. 18K0006, 19K0024), the Astrobiology Center of National Institutes of Natural Sciences (NINS) (Grant Numbers AB 31 1022 and AB 03 1004), and the KOPRI project (PE21050). M.B. acknowledges funding from the Carlsberg Foundation (CF18 1105) and the European Research Council (ERC Advanced Grant 833275DEEPTIME). Detailed reviews by Drs. A. Zhang, S. McKibbin, and D. W. Mittlefehldt and editorial comments by Dr. C. A. Goodrich are gratefully acknowledged.</t>
  </si>
  <si>
    <t>1086-9379</t>
  </si>
  <si>
    <t>1945-5100</t>
  </si>
  <si>
    <t>METEORIT PLANET SCI</t>
  </si>
  <si>
    <t>Meteorit. Planet. Sci.</t>
  </si>
  <si>
    <t>10.1111/maps.13776</t>
  </si>
  <si>
    <t>YI9JH</t>
  </si>
  <si>
    <t>WOS:000733547300001</t>
  </si>
  <si>
    <t>Levin, I; Hammer, S; Kromer, B; Preunkert, S; Weller, R; Worthy, DE</t>
  </si>
  <si>
    <t>Levin, Ingeborg; Hammer, Samuel; Kromer, Bernd; Preunkert, Susanne; Weller, Rolf; Worthy, Douglas E.</t>
  </si>
  <si>
    <t>RADIOCARBON IN GLOBAL TROPOSPHERIC CARBON DIOXIDE</t>
  </si>
  <si>
    <t>RADIOCARBON</t>
  </si>
  <si>
    <t>anthropogenic (CO2)-C-14 perturbations; bomb radiocarbon; global carbon cycle; tropospheric (CO2)-C-14 data</t>
  </si>
  <si>
    <t>FOSSIL-FUEL CO2; C-14; EMISSIONS; TRANSPORT; ATMOSPHERE; (CO2)-C-14; ISOTOPES; RECORDS; MODEL</t>
  </si>
  <si>
    <t>Since the 1950s, observations of radiocarbon (C-14) in tropospheric carbon dioxide (CO2) have been conducted in both hemispheres, documenting the so-called nuclear bomb spike and its transfer into the oceans and the terrestrial biosphere, the two compartments permanently exchanging carbon with the atmosphere. Results from the Heidelberg global network of Delta C-14-CO2 observations are revisited here with respect to the insights and quantitative constraints they provided on these carbon exchange fluxes. The recent development of global and hemispheric trends of Delta C-14-CO2 are further discussed in regard to their suitability to continue providing constraints for C-14-free fossil CO2 emission changes on the global and regional scale.</t>
  </si>
  <si>
    <t>[Levin, Ingeborg; Hammer, Samuel; Kromer, Bernd] Heidelberg Univ, Inst Umweltphys, Heidelberg, Germany; [Hammer, Samuel; Preunkert, Susanne] Heidelberg Univ, ICOS Cent Radiocarbon Lab, Heidelberg, Germany; [Preunkert, Susanne] Univ Grenoble Alpes, CNRS, Inst Geosci Environm IGE, Grenoble, France; [Weller, Rolf] Alfred Wegener Inst Helmholtz Zentrum Polar &amp; Mee, Bremerhaven, Germany; [Worthy, Douglas E.] Div Climate Res, Environm &amp; Climate Change Canada, Toronto, ON, Canada</t>
  </si>
  <si>
    <t>Ruprecht Karls University Heidelberg; Ruprecht Karls University Heidelberg; Communaute Universite Grenoble Alpes; Universite Grenoble Alpes (UGA); Centre National de la Recherche Scientifique (CNRS); Helmholtz Association; Alfred Wegener Institute, Helmholtz Centre for Polar &amp; Marine Research; Environment &amp; Climate Change Canada</t>
  </si>
  <si>
    <t>Levin, I (corresponding author), Heidelberg Univ, Inst Umweltphys, Heidelberg, Germany.</t>
  </si>
  <si>
    <t>Ingeborg.Levin@iup.uni-heidelberg.de</t>
  </si>
  <si>
    <t>Rolf, Weller/0000-0003-4880-5572; Kromer, Bernd/0000-0003-1058-4436</t>
  </si>
  <si>
    <t>Australian Antarctic Program; Ministry of Education and Science, BadenWurttemberg, Germany; German Science Foundation; German Federal Ministries for the Environment, Nature Conservation and Nuclear Safety, for Education and Research; European Commission; ICOS Research Infrastructure; Heidelberg Academy of Sciences</t>
  </si>
  <si>
    <t>Australian Antarctic Program; Ministry of Education and Science, BadenWurttemberg, Germany; German Science Foundation(German Research Foundation (DFG)); German Federal Ministries for the Environment, Nature Conservation and Nuclear Safety, for Education and Research; European Commission(European Union (EU)European Commission Joint Research Centre); ICOS Research Infrastructure; Heidelberg Academy of Sciences</t>
  </si>
  <si>
    <t>This work would not have been possible without the dedicated efforts and long-term support by the staff at the globally distributed sampling sites, as well as the technical personnel in the Heidelberg Radiocarbon laboratories. We wish to thank Ed Dlugokencky and Pieter Tans for providing CO2 meridional profile data from their global monitoring network. Macquarie Island sampling was supported by the Australian Antarctic Program, Cape Grim sampling by the Australian Bureau of Meteorology, Izana sampling by the Agencia Estatal de Meteorologia, Spain, and Jungfraujoch sampling by the Internationale Stiftung Hochalpine Forschungsstationen Jungfraujoch und Gornergrat. Our long-term monitoring was financially supported by a number of agencies in Germany and Europe, namely the Heidelberg Academy of Sciences, the Ministry of Education and Science, BadenWurttemberg, Germany, the German Science Foundation, the German Federal Ministries for the Environment, Nature Conservation and Nuclear Safety, for Education and Research, and for Transport and Digital Infrastructure as well as by the European Commission, Brussels, and the ICOS Research Infrastructure.</t>
  </si>
  <si>
    <t>0033-8222</t>
  </si>
  <si>
    <t>1945-5755</t>
  </si>
  <si>
    <t>Radiocarbon</t>
  </si>
  <si>
    <t>PII S0033822221001028</t>
  </si>
  <si>
    <t>10.1017/RDC.2021.102</t>
  </si>
  <si>
    <t>3M2JB</t>
  </si>
  <si>
    <t>WOS:000733650000001</t>
  </si>
  <si>
    <t>Sagredo, EA; Reynhout, SA; Kaplan, MR; Aravena, JC; Araya, PS; Luckman, BH; Schwartz, R; Schaefer, JM</t>
  </si>
  <si>
    <t>Sagredo, Esteban A.; Reynhout, Scott A.; Kaplan, Michael R.; Aravena, Juan C.; Araya, Paola S.; Luckman, Brian H.; Schwartz, Roseanne; Schaefer, Joerg M.</t>
  </si>
  <si>
    <t>Holocene History of Rio Tranquilo Glacier, Monte San Lorenzo (47°S), Central Patagonia</t>
  </si>
  <si>
    <t>Patagonia; Holocene; glacier fluctuations; Be-10 dating; Southern Annular Mode; Neoglaciation; Paleoclimate; South America</t>
  </si>
  <si>
    <t>NUCLIDE PRODUCTION-RATES; ANTARCTIC COLD REVERSAL; SOUTHERN ANNULAR MODE; TIERRA-DEL-FUEGO; NEW-ZEALAND; LATEST PLEISTOCENE; SUMMER INSOLATION; LAGO ARGENTINO; FLUCTUATIONS; CHRONOLOGY</t>
  </si>
  <si>
    <t>The causes underlying Holocene glacier fluctuations remain elusive, despite decades of research efforts. Cosmogenic nuclide dating has allowed systematic study and thus improved knowledge of glacier-climate dynamics during this time frame, in part by filling in geographical gaps in both hemispheres. Here we present a new comprehensive Holocene moraine chronology from Mt. San Lorenzo (47 degrees S) in central Patagonia, Southern Hemisphere. Twenty-four new Be-10 ages, together with three published ages, indicate that the Rio Tranquilo glacier approached its Holocene maximum position sometime, or possibly on multiple occasions, between 9,860 +/- 180 and 6,730 +/- 130 years. This event(s) was followed by a sequence of slightly smaller advances at 5,750 +/- 220, 4,290 +/- 100 (?), 3,490 +/- 140, 1,440 +/- 60, between 670 +/- 20 and 430 +/- 20, and at 390 +/- 10 years ago. The Tranquilo record documents centennial to millennial-scale glacier advances throughout the Holocene, and is consistent with recent glacier chronologies from central and southern Patagonia. This pattern correlates well with that of multiple moraine-building events with slightly decreasing net extent, as is observed at other sites in the Southern Hemisphere (i.e., Patagonia, New Zealand and Antarctic Peninsula) throughout the early, middle and late Holocene. This is in stark contrast to the typical Holocene mountain glacier pattern in the Northern Hemisphere, as documented in the European Alps, Scandinavia and Canada, where small glaciers in the early-to-mid Holocene gave way to more-extensive glacier advances during the late Holocene, culminating in the Little Ice Age expansion. We posit that this past asymmetry between the Southern and Northern hemisphere glacier patterns is due to natural forcing that has been recently overwhelmed by anthropogenic greenhouse gas driven warming, which is causing interhemispherically synchronized glacier retreat unprecedented during the Holocene.</t>
  </si>
  <si>
    <t>[Sagredo, Esteban A.] Pontificia Univ Catolica Chile, Inst Geog, Santiago, Chile; [Sagredo, Esteban A.; Reynhout, Scott A.] Nucleo Milenio Paleoclima, Santiago, Chile; [Sagredo, Esteban A.] Pontificia Univ Catolica Chile, Estn Patagonia Invest Interdisciplinarias UC, Santiago, Chile; [Reynhout, Scott A.] Univ Chile, Dept Geol, Santiago, Chile; [Kaplan, Michael R.; Schwartz, Roseanne; Schaefer, Joerg M.] Columbia Univ, Lamont Doherty Earth Observ, Palisades, NY USA; [Aravena, Juan C.] Univ Magallanes, Gaia Antartica, Punta Arenas, Chile; [Araya, Paola S.] Univ Chile, Dept Geofis, Santiago, Chile; [Luckman, Brian H.] Univ Western Ontario, Dept Geog &amp; Environm, London, ON, Canada; [Schaefer, Joerg M.] Columbia Univ, Dept Earth &amp; Environm Sci, New York, NY USA</t>
  </si>
  <si>
    <t>Pontificia Universidad Catolica de Chile; Pontificia Universidad Catolica de Chile; Universidad de Chile; Columbia University; Universidad de Magallanes; Universidad de Chile; Western University (University of Western Ontario); Columbia University</t>
  </si>
  <si>
    <t>Sagredo, EA (corresponding author), Pontificia Univ Catolica Chile, Inst Geog, Santiago, Chile.;Sagredo, EA (corresponding author), Nucleo Milenio Paleoclima, Santiago, Chile.;Sagredo, EA (corresponding author), Pontificia Univ Catolica Chile, Estn Patagonia Invest Interdisciplinarias UC, Santiago, Chile.</t>
  </si>
  <si>
    <t>SAGREDO, ESTEBAN/B-7280-2016</t>
  </si>
  <si>
    <t>SAGREDO, ESTEBAN/0000-0002-4494-5423; , Estacion Patagonia UC/0000-0002-6443-0646</t>
  </si>
  <si>
    <t>NSF [1853881]; Vetlesen Foundation; Direct For Social, Behav &amp; Economic Scie; Division Of Behavioral and Cognitive Sci [1853881] Funding Source: National Science Foundation</t>
  </si>
  <si>
    <t>NSF(National Science Foundation (NSF)); Vetlesen Foundation; Direct For Social, Behav &amp; Economic Scie; Division Of Behavioral and Cognitive Sci(National Science Foundation (NSF)NSF - Directorate for Social, Behavioral &amp; Economic Sciences (SBE))</t>
  </si>
  <si>
    <t>Funding This project was funded by the ANID Millennium Science Initiative/Millennium Nucleus Paleoclimate NCN17_079; FONDECYT 1180717, and NSF EAR-1804816 (MK and JS). We also acknowledge support from the Fulbright Visiting Scholar Program (MK) and the LDEO and NASA GISS Climate Center (MK). SR was a recipient of a CONICYT-PCHA Beca de Doctorado Nacional (year 2015).</t>
  </si>
  <si>
    <t>DEC 22</t>
  </si>
  <si>
    <t>10.3389/feart.2021.813433</t>
  </si>
  <si>
    <t>YK3UH</t>
  </si>
  <si>
    <t>WOS:000745141700001</t>
  </si>
  <si>
    <t>Kandelinskaya, O; Grischenko, H; Hihinyak, Y; Andreev, M; Convey, P; Lukashanets, D; Kozel, N; Prokopiev, I</t>
  </si>
  <si>
    <t>Kandelinskaya, Olga; Grischenko, Helena; Hihinyak, Yury; Andreev, Mikhail; Convey, Peter; Lukashanets, Dzmitry; Kozel, Nikolai; Prokopiev, Ilya</t>
  </si>
  <si>
    <t>Chemical compounds and antioxidant activity of Antarctic lichens</t>
  </si>
  <si>
    <t>antioxidant capacity; chemical elements; Continental Antarctica; lichen substances; Maritime Antarctic; photosynthetic pigments</t>
  </si>
  <si>
    <t>KING-GEORGE-ISLAND; HEAVY-METALS; ELEMENTAL COMPOSITION; USNEA-AURANTIACOATRA; SHETLAND ISLANDS; TRACE-ELEMENTS; ACCUMULATION; CHEMISTRY; CAPACITY; MERCURY</t>
  </si>
  <si>
    <t>We assessed the content of some major and trace elements and lichen compounds as well as antioxidant activity in eight lichen species representing four families collected in areas &gt; 1 km distant from Bellingshausen (King George Island) and &gt; 1 km distant from Molodezhnaya (Thala Hills, Enderby Land) research stations. Content levels of Cu, Pb, Cd, Zn and As in Physcia caesia, Physconia muscigena, Umbilicaria aprina, Umbilicaria decussata and Usnea aurantiaco-atra thalli were similar to or lower than previously reported for these species in the Maritime and Continental Antarctic, as well as from reference sites. The first data on the contents of 15 elements in Ramalina terebrata and Thamnolecania brialmontii thalli from the Maritime Antarctic are reported. Our analyses confirmed the presence of the main photosynthetic pigments in the species examined (chlorophyll a and b, phaeophytin a and b, neoxanthin, violaxanthin, lutein and beta-carotene). We identified protolichesterinic acid in T. brialmontii thalli for the first time. Antioxidant activity varied from 190 mu g/g dry weight (U. decussata) to 14,740 mu g/g dry weight (T. brialmontii). The data obtained complement previous research while also providing new baseline data that will have utility in monitoring and identifying future change.</t>
  </si>
  <si>
    <t>[Kandelinskaya, Olga; Grischenko, Helena] Natl Acad Sci Belarus, VF Kuprevich Inst Expt Bot, Akad Skaya 27, Minsk 220072, BELARUS; [Hihinyak, Yury; Lukashanets, Dzmitry] Natl Acad Sci Belarus, Sci &amp; Pract Ctr Bioresources, Akad Skaya 27, Minsk 220072, BELARUS; [Andreev, Mikhail] Russian Acad Sci, Komarov Bot Inst, Prof Popov St, St Petersburg 197376, Russia; [Convey, Peter] British Antarct Survey, NERC, High Cross,Madingley Rd, Cambridge CB3 0ET, England; [Convey, Peter] Univ Johannesburg, Dept Zool, POB 524, ZA-2006 Auckland Pk, South Africa; [Kozel, Nikolai] Natl Acad Sci Belarus, Inst Biophys &amp; Cell Engn, Akad Skaya 27, Minsk 220072, BELARUS; [Prokopiev, Ilya] Russian Acad Sci, Inst Biol Problems Cryolithozone Siberian Branch, Lenin Ave 41, Yakutsk 677007, Russia</t>
  </si>
  <si>
    <t>National Academy of Sciences of Belarus (NASB); Institute of Experimental Botany named after V.F. Kuprevich of the National Academy of Sciences of Belarus; National Academy of Sciences of Belarus (NASB); Scientific &amp; Practical Center for Bioresources of the National Academy of Sciences of Belarus; Russian Academy of Sciences; Komarov Botanical Institute, Russian Academy of Sciences; UK Research &amp; Innovation (UKRI); Natural Environment Research Council (NERC); NERC British Antarctic Survey; University of Johannesburg; National Academy of Sciences of Belarus (NASB); Institute of Biophysics &amp; Cell Engineering of the National Academy of Sciences of Belarus; Russian Academy of Sciences</t>
  </si>
  <si>
    <t>Kandelinskaya, O (corresponding author), Natl Acad Sci Belarus, VF Kuprevich Inst Expt Bot, Akad Skaya 27, Minsk 220072, BELARUS.</t>
  </si>
  <si>
    <t>okandy@yandex.ru</t>
  </si>
  <si>
    <t>Convey, Peter/AAV-5728-2020; Prokopiev, Ilya/L-1301-2018</t>
  </si>
  <si>
    <t>Convey, Peter/0000-0001-8497-9903; Prokopiev, Ilya/0000-0001-8755-7140; Andreev, Mikhail/0000-0002-5688-0751; Nikolay, Kozel/0000-0003-2958-7645</t>
  </si>
  <si>
    <t>Belarusian Republican Foundation Research (BRFFR) [B18IC-019]; Scientific and Practical Centre of NAS of Belarus on Bioresources; Russian Foundation of Fundamental Sciences [18-04-00900, 19-54-18003]; Komarov Botanical Institute RAS [AAAA-A18-118022090078-2]; NERC; NERC [bas0100036] Funding Source: UKRI</t>
  </si>
  <si>
    <t>Belarusian Republican Foundation Research (BRFFR); Scientific and Practical Centre of NAS of Belarus on Bioresources; Russian Foundation of Fundamental Sciences; Komarov Botanical Institute RAS; NERC(UK Research &amp; Innovation (UKRI)Natural Environment Research Council (NERC)); NERC(UK Research &amp; Innovation (UKRI)Natural Environment Research Council (NERC))</t>
  </si>
  <si>
    <t>The authors thank the Belarusian Republican Foundation Research (BRFFR; grant no. B18IC-019) and the Scientific and Practical Centre of NAS of Belarus on Bioresources (task 'Comprehensive research, assessment of the prospects for the use of biological resources and environmental monitoring of the biotic components of the Antarctic environment' of the State Research Program 'Monitoring of the polar regions of the Earth, the creation of the Belarusian Antarctic station and maintenance of polar expeditions for 2016-2020 and for the period up to 2025') for financial and logistical support. The study also contributes to task N 57 of the Program of Scientific and Technical Cooperation between Educational and Scientific Organizations of the Republic of Belarus and Educational Scientific Organizations located in the territory of St Petersburg for 2017-2020 (between the V.F. Kuprevich Institute of Experimental Botany of NAS of Belarus and the Komarov Botanical Institute of the Russian Academy of Sciences, St Petersburg). Primary and logistical support for the research was provided by the Arctic and Antarctic Research Institute/Russian Antarctic Expedition, partly by the Russian Foundation of Fundamental Sciences (18-04-00900, 19-54-18003), and by the research project of the Komarov Botanical Institute RAS (.....18-118022090078-2). Prof P. Convey is supported by NERC core funding to the BAS 'Biodiversity, Evolution and Adaptation' Team. We thank two anonymous reviewers for their constructive comments.</t>
  </si>
  <si>
    <t>PII S0954102021000511</t>
  </si>
  <si>
    <t>10.1017/S0954102021000511</t>
  </si>
  <si>
    <t>WOS:000733359500001</t>
  </si>
  <si>
    <t>Tuckett, PA; Ely, JC; Sole, AJ; Lea, JM; Livingstone, SJ; Jones, JM; van Wessem, JM</t>
  </si>
  <si>
    <t>Tuckett, Peter A.; Ely, Jeremy C.; Sole, Andrew J.; Lea, James M.; Livingstone, Stephen J.; Jones, Julie M.; van Wessem, J. Melchior</t>
  </si>
  <si>
    <t>Automated mapping of the seasonal evolution of surface meltwater and its links to climate on the Amery Ice Shelf, Antarctica</t>
  </si>
  <si>
    <t>SUBGLACIAL WATER-PRESSURE; SOUTHERN ANNULAR MODE; SUPRAGLACIAL LAKES; EAST ANTARCTICA; WEST GREENLAND; MASS-BALANCE; LANDSAT 8; DRAINAGE; SHEET; MELT</t>
  </si>
  <si>
    <t>Surface meltwater is widespread around the Antarctic Ice Sheet margin and has the potential to influence ice shelf stability, ice flow and ice-albedo feedbacks. Our understanding of the seasonal and multi-year evolution of Antarctic surface meltwater is limited. Attempts to generate robust meltwater cover time series have largely been constrained by computational expense or limited ice surface visibility associated with mapping from optical satellite imagery. Here, we add a novel method for calculating visibility metrics to an existing meltwater detection method within Google Earth Engine. This enables us to quantify uncertainty induced by cloud cover and variable image data coverage, allowing time series of surface meltwater area to be automatically generated over large spatial and temporal scales. We demonstrate our method on the Amery Ice Shelf region of East Antarctica, analysing 4164 Landsat 7 and 8 optical images between 2005 and 2020. Results show high interannual variability in surface meltwater cover, with mapped cumulative lake area totals ranging from 384 to 3898 km(2) per melt season. By incorporating image visibility assessments, however, we estimate that cumulative total lake areas are on average 42 % higher than minimum mapped values. We show that modelled melt predictions from a regional climate model provide a good indication of lake cover in the Amery region and that annual lake coverage is typically highest in years with a negative austral summer SAM index. Our results demonstrate that our method could be scaled up to generate a multi-year time series record of surface water extent from optical imagery at a continent-wide scale.</t>
  </si>
  <si>
    <t>[Tuckett, Peter A.; Ely, Jeremy C.; Sole, Andrew J.; Livingstone, Stephen J.; Jones, Julie M.] Univ Sheffield, Dept Geog, Sheffield S3 7ND, S Yorkshire, England; [Lea, James M.] Univ Liverpool, Dept Geog, Liverpool, Merseyside, England; [van Wessem, J. Melchior] Univ Utrecht, Inst Marine &amp; Atmospher Res, Utrecht, Netherlands</t>
  </si>
  <si>
    <t>University of Sheffield; University of Liverpool; Utrecht University</t>
  </si>
  <si>
    <t>Tuckett, PA (corresponding author), Univ Sheffield, Dept Geog, Sheffield S3 7ND, S Yorkshire, England.</t>
  </si>
  <si>
    <t>patuckett1@sheffield.ac.uk</t>
  </si>
  <si>
    <t>; Lea, James/N-5699-2015</t>
  </si>
  <si>
    <t>Sole, Andrew/0000-0001-5290-8967; Tuckett, Peter/0000-0001-9953-2602; Livingstone, Stephen/0000-0002-7240-5037; Ely, Jeremy/0000-0003-4007-1500; Lea, James/0000-0003-1885-0858</t>
  </si>
  <si>
    <t>University Post Graduate Research Committee (UPGRC) Scholarship from the University of Sheffield; NERC independent research fellowship [NE/R014574/1]; UKRI Future Leaders Fellowship [MR/S017232/1]; Netherlands Organisation for Scientific Research [866.15.201]; Netherlands Earth System Science Centre (NESSC); FLF [MR/S017232/1] Funding Source: UKRI; NERC [NE/R014574/1] Funding Source: UKRI</t>
  </si>
  <si>
    <t>University Post Graduate Research Committee (UPGRC) Scholarship from the University of Sheffield; NERC independent research fellowship(UK Research &amp; Innovation (UKRI)Natural Environment Research Council (NERC)); UKRI Future Leaders Fellowship(UK Research &amp; Innovation (UKRI)); Netherlands Organisation for Scientific Research(Netherlands Organization for Scientific Research (NWO)); Netherlands Earth System Science Centre (NESSC); FLF; NERC(UK Research &amp; Innovation (UKRI)Natural Environment Research Council (NERC))</t>
  </si>
  <si>
    <t>Peter A. Tuckett has been supported by a University Post Graduate Research Committee (UPGRC) Scholarship from the University of Sheffield. Jeremy C. Ely has been supported by a NERC independent research fellowship (grant no. NE/R014574/1). James M. Lea has been supported by a UKRI Future Leaders Fellowship (grant no. MR/S017232/1). J. Melchior van Wessem has been supported by financial contributions made by the Netherlands Organisation for Scientific Research (grant no. 866.15.201) and the Netherlands Earth System Science Centre (NESSC).</t>
  </si>
  <si>
    <t>10.5194/tc-15-5785-2021</t>
  </si>
  <si>
    <t>XS8CM</t>
  </si>
  <si>
    <t>WOS:000733129700001</t>
  </si>
  <si>
    <t>Qin, QL; Wang, ZB; Cha, QQ; Liu, SS; Ren, XB; Fu, HH; Sun, ML; Zhao, DL; McMinn, A; Chen, Y; Chen, XL; Zhang, YZ; Li, PY</t>
  </si>
  <si>
    <t>Qin, Qi-Long; Wang, Zhi-Bin; Cha, Qian-Qian; Liu, Sha-Sha; Ren, Xue-Bing; Fu, Hui-Hui; Sun, Mei-Ling; Zhao, Dian-Li; McMinn, Andrew; Chen, Yin; Chen, Xiu-Lan; Zhang, Yu-Zhong; Li, Ping-Yi</t>
  </si>
  <si>
    <t>Biogeography of culturable marine bacteria from both poles reveals that 'everything is not everywhere' at the genomic level</t>
  </si>
  <si>
    <t>DIVERSITY; COLD</t>
  </si>
  <si>
    <t>Based on 16S rRNA gene analyses, the same bacterial operational taxonomic units (OTUs) are common to both the Arctic and Antarctic oceans, supporting the concept 'everything is everywhere'. However, whether the same OTUs from both poles have identical genomes, i.e. whether 'everything is still everywhere' at the genomic level has not yet been examined systematically. Here, we isolated, sequenced and compared the genomes of 45 culturable marine bacteria belonging to three genera of Salinibacterium, Psychrobacter and Pseudoalteromonas from both polar oceans. The bacterial strains with identical 16S rRNA genes were common to both poles in every genus, and four identical genomes were detected in the genus Salinibacterium from the Arctic region. However, no identical genomes were observed from opposite poles in this study. Our data, therefore, suggest that 'everything is not everywhere' at the genomic level. The divergence time between bacteria is hypothesized to exert a strong impact on the bacterial biogeography at the genomic level. The geographical isolation between poles was observed for recently diverged, highly similar genomes, but not for moderately similar genomes. This study thus improves our understanding of the factors affecting the genomic-level biogeography of marine microorganisms isolated from distant locations.</t>
  </si>
  <si>
    <t>[Qin, Qi-Long; Wang, Zhi-Bin; Cha, Qian-Qian; Liu, Sha-Sha; Ren, Xue-Bing; Chen, Xiu-Lan; Li, Ping-Yi] Shandong Univ, Sch Environm Sci &amp; Engn, State Key Lab Microbial Technol, Qingdao, Peoples R China; [Qin, Qi-Long; Fu, Hui-Hui; Sun, Mei-Ling; McMinn, Andrew; Chen, Yin; Zhang, Yu-Zhong] Ocean Univ China, Coll Marine Life Sci, Qingdao, Peoples R China; [Qin, Qi-Long; Fu, Hui-Hui; Sun, Mei-Ling; McMinn, Andrew; Chen, Yin; Zhang, Yu-Zhong] Ocean Univ China, Frontiers Sci Ctr Deep Ocean Multispheres &amp; Earth, Qingdao, Peoples R China; [Qin, Qi-Long; Zhao, Dian-Li; Zhang, Yu-Zhong] Pilot Natl Lab Marine Sci &amp; Technol Qingdao, Lab Marine Biol &amp; Biotechnol, Qingdao, Peoples R China; [McMinn, Andrew] Univ Tasmania, Inst Marine &amp; Antarctic Studies, Hobart, Tas, Australia; [Chen, Yin] Univ Warwick, Sch Life Sci, Coventry, W Midlands, England; [Zhang, Yu-Zhong] Shandong Univ, State Key Lab Microbial Technol, Marine Biotechnol Res Ctr, Qingdao, Peoples R China</t>
  </si>
  <si>
    <t>Shandong University; Ocean University of China; Ocean University of China; Laoshan Laboratory; University of Tasmania; University of Warwick; Shandong University</t>
  </si>
  <si>
    <t>Li, PY (corresponding author), Shandong Univ, Sch Environm Sci &amp; Engn, State Key Lab Microbial Technol, Qingdao, Peoples R China.;Zhang, YZ (corresponding author), Ocean Univ China, Coll Marine Life Sci, Qingdao, Peoples R China.;Zhang, YZ (corresponding author), Ocean Univ China, Frontiers Sci Ctr Deep Ocean Multispheres &amp; Earth, Qingdao, Peoples R China.;Zhang, YZ (corresponding author), Pilot Natl Lab Marine Sci &amp; Technol Qingdao, Lab Marine Biol &amp; Biotechnol, Qingdao, Peoples R China.;Zhang, YZ (corresponding author), Shandong Univ, State Key Lab Microbial Technol, Marine Biotechnol Res Ctr, Qingdao, Peoples R China.</t>
  </si>
  <si>
    <t>zhangyz@sdu.edu.cn; lipingyipeace@sdu.edu</t>
  </si>
  <si>
    <t>wang, zhibin/GLQ-7995-2022; Wang, Zhibin/AAD-5283-2021; lu, kai/KBB-4008-2024; Lin, Fan/JZT-1441-2024; wang, qi/ITT-9652-2023</t>
  </si>
  <si>
    <t>wang, zhibin/0000-0001-9805-0310; Wang, Zhibin/0000-0001-9805-0310; Lin, Fan/0000-0002-7330-3833; Chen, Yin/0000-0002-0367-4276</t>
  </si>
  <si>
    <t>National Key Research and Development Program of China [2018YFC1406700, 2018YFC1406702]; National Science Foundation of China [31630012, U1706207, 91851205, 42176229, 91751101, 31870101]; Major Scientific and Technological Innovation Project (MSTIP) of Shandong Province [2019JZZY010817]; Program of Shandong for Taishan Scholars [tspd20181203]; SDU</t>
  </si>
  <si>
    <t>National Key Research and Development Program of China; National Science Foundation of China(National Natural Science Foundation of China (NSFC)); Major Scientific and Technological Innovation Project (MSTIP) of Shandong Province; Program of Shandong for Taishan Scholars; SDU(Suleyman Demirel University)</t>
  </si>
  <si>
    <t>This work was supported by the National Key Research and Development Program of China (2018YFC1406700, 2018YFC1406702), the National Science Foundation of China (31630012, U1706207, 91851205, 42176229, 91751101 and 31870101), Major Scientific and Technological Innovation Project (MSTIP) of Shandong Province (2019JZZY010817), and the Program of Shandong for Taishan Scholars (tspd20181203), Qilu Youth Scholar Startup Funding of SDU (to Qi-Long Qin).</t>
  </si>
  <si>
    <t>10.1111/1462-2920.15870</t>
  </si>
  <si>
    <t>ZD5QW</t>
  </si>
  <si>
    <t>WOS:000732933400001</t>
  </si>
  <si>
    <t>Tracey, SR; Lyle, JM; Stark, KE; Gray, S; Moore, A; Twiname, S; Wotherspoon, S</t>
  </si>
  <si>
    <t>Tracey, Sean R.; Lyle, Jeremy M.; Stark, Kate E.; Gray, Scott; Moore, Anthony; Twiname, Samantha; Wotherspoon, Simon</t>
  </si>
  <si>
    <t>Estimating the national fishing mortality of Southern Bluefin Tuna Thunnus maccoyii from Australia's recreational fishing sector</t>
  </si>
  <si>
    <t>FISHERIES MANAGEMENT AND ECOLOGY</t>
  </si>
  <si>
    <t>charter sector; Commission for the Conservation of Southern Bluefin Tuna; depredation; fisheries management</t>
  </si>
  <si>
    <t>CATCH-AND-RELEASE; POSTRELEASE MORTALITY; MANAGEMENT; DYNAMICS; CONTEXT</t>
  </si>
  <si>
    <t>Southern Bluefin Tuna (SBT) Thunnus maccoyii (Castelnau) comprises a single, highly migratory stock that is managed internationally by the Commission for the Conservation of Southern Bluefin Tuna (CCSBT). CCSBT members are expected to provide estimates of all sources of fishing mortality within their allocation, including commercial and recreational catch and any additional mortality associated with discarded or released catch. In the absence of a national registration system for the SBT recreational fishery, which would provide a comprehensive sampling frame, an ensemble of off-site and on-site survey methods was used across five state jurisdictions to provide the first species-specific national assessment of a recreational fishery in Australia. The national harvest of SBT for the 12 months from December 2018 to November 2019 by the recreational sector was 270 t (239-301 t: 95% CL). This survey has resulted in the first official recognition of a catch set aside to the recreational sector for an Australian Commonwealth managed fishery with 5% per cent of the CCSBT allocation to Australia now set aside for the sector.</t>
  </si>
  <si>
    <t>[Tracey, Sean R.; Lyle, Jeremy M.; Stark, Kate E.; Gray, Scott; Twiname, Samantha; Wotherspoon, Simon] Univ Tasmania, Inst Marine &amp; Antarctic Studies, Hobart, Tas, Australia; [Moore, Anthony] Australian Bur Agr &amp; Resource Econ &amp; Sci, Dept Agr Water &amp; Environm, Canberra, ACT, Australia</t>
  </si>
  <si>
    <t>Tracey, SR (corresponding author), Univ Tasmania, Inst Marine &amp; Antarctic Studies, Hobart, Tas, Australia.</t>
  </si>
  <si>
    <t>sean.tracey@utas.edu.au</t>
  </si>
  <si>
    <t>Lyle, Jeremy M/J-7170-2014; Twiname, Samantha/E-2714-2015; Tracey, Sean/J-7446-2014</t>
  </si>
  <si>
    <t>Twiname, Samantha/0000-0002-3355-0856; Tracey, Sean/0000-0002-6735-5899</t>
  </si>
  <si>
    <t>Australian Government Department of Agriculture, Water and the Environment</t>
  </si>
  <si>
    <t>0969-997X</t>
  </si>
  <si>
    <t>1365-2400</t>
  </si>
  <si>
    <t>FISHERIES MANAG ECOL</t>
  </si>
  <si>
    <t>Fisheries Manag. Ecol.</t>
  </si>
  <si>
    <t>10.1111/fme.12528</t>
  </si>
  <si>
    <t>0X8AJ</t>
  </si>
  <si>
    <t>WOS:000732714000001</t>
  </si>
  <si>
    <t>Guo, CS; Sun, PC; Wei, DP</t>
  </si>
  <si>
    <t>Guo, Changsheng; Sun, Pengchao; Wei, Dongping</t>
  </si>
  <si>
    <t>Numerical Simulation of the Effects of Wedge Subduction on the Lithospheric Thermal Structure and the Seismogenic Zone South of Chile Triple Junction</t>
  </si>
  <si>
    <t>Chile Triple Junction; wedge subduction; seismogenic zone; plate age; thermal structure; numerical simulation</t>
  </si>
  <si>
    <t>HEAT-FLOW; SEISMIC-REFRACTION; RIDGE; MODELS; MANTLE; INTERFACE; THICKNESS; GEOMETRY; AMERICA; MARGIN</t>
  </si>
  <si>
    <t>In contrast to common subduction, the young and thin part of the Antarctic Plate subducts first to the south of the Chile Triple Junction (CTJ), followed by the old and thick part, corresponding to wedge subduction. A finite element model was used to simulate the wedge subduction of the Antarctic Plate and to compare it with the slab subduction of the Nazca Plate. The results show that the CTJ is not only a wedge subduction boundary but also an important factor controlling the lithospheric thermal structure of the overriding plate. The computed heat flow curves are consistent with the data observed near the trench of the two selected profiles. The different slab dips to the north and south of the CTJ are considered to be caused by wedge subduction. When the slabs are young and at the same age, the deep dip of the Antarctic slab is 22 degrees smaller than the Nazca slab. Southward from the CTJ, the slab age of the wedge subduction increases, which leads to a larger slab dip, a colder slab, and a wider seismogenic zone. The effect of the slab age of wedge subduction on the focal depth is smaller than that of the convergence rate. A 4.8-cm/year difference in convergence rate of the wedge subduction results in an 11-km difference in the width of the seismogenic zone and a 10-km difference in the depth of the downdip limit. Among these controlling factors, the convergence rate plays a major role in the different focal depths south and north of the CTJ.</t>
  </si>
  <si>
    <t>[Guo, Changsheng; Sun, Pengchao; Wei, Dongping] Univ Chinese Acad Sci, Coll Earth &amp; Planetary Sci, Beijing, Peoples R China; [Guo, Changsheng; Sun, Pengchao; Wei, Dongping] Chinese Acad Sci, Key Lab Computat Geodynam, Beijing, Peoples R China</t>
  </si>
  <si>
    <t>Wei, DP (corresponding author), Univ Chinese Acad Sci, Coll Earth &amp; Planetary Sci, Beijing, Peoples R China.;Wei, DP (corresponding author), Chinese Acad Sci, Key Lab Computat Geodynam, Beijing, Peoples R China.</t>
  </si>
  <si>
    <t>dongping@ucas.ac.cn</t>
  </si>
  <si>
    <t>guo, changs/HGT-8851-2022; WEI, Dongping/J-3297-2012; Guo, Changsheng/IWV-0734-2023</t>
  </si>
  <si>
    <t>sun, pengchao/0000-0001-7242-1777; Guo, Changsheng/0000-0002-4909-5931</t>
  </si>
  <si>
    <t>DEC 21</t>
  </si>
  <si>
    <t>10.3389/feart.2021.782458</t>
  </si>
  <si>
    <t>YB5PM</t>
  </si>
  <si>
    <t>WOS:000739064100001</t>
  </si>
  <si>
    <t>Bascur, M; Morley, SA; Meredith, MP; Muñoz-Ramírez, CP; Barnes, DKA; Schloss, IR; Sands, CJ; Schofield, O; Román-Gonzaléz, A; Cárdenas, L; Venables, H; Brante, A; Urzúa, A</t>
  </si>
  <si>
    <t>Bascur, Miguel; Morley, Simon A.; Meredith, Michael P.; Munoz-Ramirez, Carlos P.; Barnes, David K. A.; Schloss, Irene R.; Sands, Chester J.; Schofield, Oscar; Roman-Gonzalez, Alejandro; Cardenas, Leyla; Venables, Hugh; Brante, Antonio; Urzua, Angel</t>
  </si>
  <si>
    <t>Interpopulational differences in the nutritional condition of Aequiyoldia eightsii (Protobranchia: Nuculanidae) from the Western Antarctic Peninsula during austral summer</t>
  </si>
  <si>
    <t>PEERJ</t>
  </si>
  <si>
    <t>Bivalve; Infaunal; Invertebrate; Fatty acid; Physiology</t>
  </si>
  <si>
    <t>BIVALVE YOLDIA-EIGHTSI; FATTY-ACID-COMPOSITION; CHEMICAL DEFENSE; SIGNY ISLAND; BIOCHEMICAL-COMPOSITION; ENERGETIC COMPOSITION; LATERNULA-ELLIPTICA; TROPHIC ECOLOGY; CLIMATE-CHANGE; GROWTH</t>
  </si>
  <si>
    <t>The Western Antarctic Peninsula (WAP) is a hotspot for environmental change and has a strong environmental gradient from North to South. Here, for the first time we used adult individuals of the bivalve Aequiyoldia eightsii to evaluate large-scale spatial variation in the biochemical composition (measured as lipid, protein and fatty acids) and energy content, as a proxy for nutritional condition, of three populations along the WAP: O'Higgins Research Station in the north (63.3 degrees S), Yelcho Research Station in mid-WAP (64.9 degrees S) and Rothera Research Station further south (67.6 degrees S). The results reveal significantly higher quantities of lipids (L), proteins (P), energy (E) and total fatty acids (FA) in the northern population (O'Higgins) (L: 8.33 +/- 1.32%; P: 22.34 +/- 3.16%; E: 171.53 +/- 17.70 Joules; FA: 16.33 +/- 0.98 mg g) than in the mid-WAP population (Yelcho) (L: 6.23 +/- 0.84%; P: 18.63 +/- 1.17%; E: 136.67 +/- 7.08 Joules; FA: 10.93 +/- 0.63 mg g) and southern population (Rothera) (L: 4.60 +/- 0.51%; P: 13.11 +/- 0.98%; E: 98.37 +/- 5.67 Joules; FA: 7.58 +/- 0.48 mg g). We hypothesize these differences in the nutritional condition could be related to a number of biological and environmental characteristics. Our results can be interpreted as a consequence of differences in phenology at each location; differences in somatic and gametogenic growth rhythms. Contrasting environmental conditions throughout the WAP such as seawater temperature, quantity and quality of food from both planktonic and sediment sources, likely have an effect on the metabolism and nutritional intake of this species.</t>
  </si>
  <si>
    <t>[Bascur, Miguel; Brante, Antonio; Urzua, Angel] Univ Catolica Santisima Concepcion, Fac Ciencias, Dept Ecol, Concepcion, Chile; [Bascur, Miguel] Univ Catolica Santisima Concepcion, Programa Magister Ecol Marina, Concepcion, Chile; [Morley, Simon A.; Meredith, Michael P.; Barnes, David K. A.; Sands, Chester J.; Venables, Hugh] NERC, British Antarctic Survey, Cambridge, England; [Munoz-Ramirez, Carlos P.] Univ Metropolitana Ciencias Educ, Inst Entomol, Santiago, Chile; [Schloss, Irene R.] Inst Antartico Argentino, Buenos Aires, DF, Argentina; [Schloss, Irene R.] Ctr Austral Invest Cient Cad CONICET, Ushuaia, Argentina; [Schloss, Irene R.] Univ Nacl Tierra Fuego, Ushuaia, Argentina; [Schofield, Oscar] Rutgers State Univ, Ctr Ocean Observing Leadership, Sch Environm &amp; Biol Sci, Dept Marine &amp; Coastal Sci, New Brunswick, NJ USA; [Roman-Gonzalez, Alejandro] Univ Exeter, Coll Life &amp; Environm Sci, Penryn, Cornwall, England; [Cardenas, Leyla] Ctr FONDAP Invest Dinam Ecosistemas Marinos Altas, Valdivia, Chile; [Cardenas, Leyla] Univ Austral Chile, Fac Ciencias, Inst Ciencias Ambientales &amp; Evolut, Valdivia, Chile; [Brante, Antonio; Urzua, Angel] Univ Catolica Santisima Concepcion, Ctr Invest Biodiversidad &amp; Ambientes Sustentables, Concepcion, Chile</t>
  </si>
  <si>
    <t>Universidad Catolica de la Santisima Concepcion; Universidad Catolica de la Santisima Concepcion; UK Research &amp; Innovation (UKRI); Natural Environment Research Council (NERC); NERC British Antarctic Survey; Universidad Metropolitana de Ciencias de la Educacion (UMCE); Instituto Antartico Argentino; Rutgers University System; Rutgers University New Brunswick; University of Exeter; Universidad Austral de Chile; Universidad Catolica de la Santisima Concepcion</t>
  </si>
  <si>
    <t>Bascur, M (corresponding author), Univ Catolica Santisima Concepcion, Fac Ciencias, Dept Ecol, Concepcion, Chile.;Bascur, M (corresponding author), Univ Catolica Santisima Concepcion, Programa Magister Ecol Marina, Concepcion, Chile.</t>
  </si>
  <si>
    <t>mbascur@magister.ucsc.cl</t>
  </si>
  <si>
    <t>Cardenas, Leyla/AAY-5671-2020; Muñoz-Ramirez, Carlos/F-8969-2012; Bascur, Miguel/AAJ-4426-2021; Schloss, Irene/U-5411-2018; Schofield, Oscar/H-4169-2018</t>
  </si>
  <si>
    <t>Cardenas, Leyla/0000-0003-0676-6704; Muñoz-Ramirez, Carlos/0000-0003-1348-5476; Schloss, Irene/0000-0002-5917-8925; Schofield, Oscar/0000-0003-2359-4131; Bascur, Miguel Angel/0000-0002-4076-4262; Sands, Chester/0000-0003-1028-0328; Brante, Antonio/0000-0002-2699-9700; Urzua Osorio, Angel Gabriel/0000-0001-7706-5126; Morley, Simon/0000-0002-7761-660X</t>
  </si>
  <si>
    <t>Comision Nacional de Investigacion Cientifica y Tecnologica (CONICYT)-Natural Environment Research Council (NERC) [PII20150078]; Fondo Nacional de Desarrollo Cientifico y Tecnologico (CONICYT-FONDECYT) [3180331]; NERC [bas0100033, bas0100036, NE/P003060/1] Funding Source: UKRI</t>
  </si>
  <si>
    <t>Comision Nacional de Investigacion Cientifica y Tecnologica (CONICYT)-Natural Environment Research Council (NERC); Fondo Nacional de Desarrollo Cientifico y Tecnologico (CONICYT-FONDECYT); NERC(UK Research &amp; Innovation (UKRI)Natural Environment Research Council (NERC))</t>
  </si>
  <si>
    <t>Financial support was provided by the Comision Nacional de Investigacion Cientifica y Tecnologica (CONICYT)-Natural Environment Research Council (NERC) to Antonio Brante, Angel Urzua, Alejandro Roman-Gonzalez, Michael P Meredith, David KA Barnes (ICEBERGS project No PII20150078) and Fondo Nacional de Desarrollo Cientifico y Tecnologico (CONICYT-FONDECYT) to Carlos Munoz-Ramirez (project No 3180331). Miguel Bascur thanks the fellowships granted by the Magister en Ecologia Marina and Direccion de Postgrados UCSC. There was no additional external funding received for this study. The funders had no role in study design, data collection and analysis, decision to publish, or preparation of the manuscript.</t>
  </si>
  <si>
    <t>PEERJ INC</t>
  </si>
  <si>
    <t>341-345 OLD ST, THIRD FLR, LONDON, EC1V 9LL, ENGLAND</t>
  </si>
  <si>
    <t>2167-8359</t>
  </si>
  <si>
    <t>PeerJ</t>
  </si>
  <si>
    <t>e12679</t>
  </si>
  <si>
    <t>10.7717/peerj.12679</t>
  </si>
  <si>
    <t>XY4YW</t>
  </si>
  <si>
    <t>WOS:000736980900001</t>
  </si>
  <si>
    <t>Hamm, T; Barkhau, J; Gabriel, AL; Gottschalck, LL; Greulich, M; Houiller, D; Kawata, U; Tump, LN; Leon, AS; Vasconcelos, P; Yap, V; Almeida, C; Chase, Z; Hurd, CL; Lavers, JL; Nakaoka, M; Rilov, G; Thiel, M; Wright, JT; Lenz, M</t>
  </si>
  <si>
    <t>Hamm, Thea; Barkhau, Jonas; Gabriel, Anna-Louise; Gottschalck, Leo L.; Greulich, Maria; Houiller, Daphne; Kawata, Uki; Tump, Lukas Novaes; Leon, Abril Sanchez; Vasconcelos, Paulo; Yap, Vincent; Almeida, Corrine; Chase, Zanna; Hurd, Catriona L.; Lavers, Jennifer L.; Nakaoka, Masahiro; Rilov, Gil; Thiel, Martin; Wright, Jeffrey T.; Lenz, Mark</t>
  </si>
  <si>
    <t>Plastic and natural inorganic microparticles do not differ in their effects on adult mussels (Mytilidae) from different geographic regions</t>
  </si>
  <si>
    <t>Mytilidae; Microplastics; Effects; Seston; Natural microparticles</t>
  </si>
  <si>
    <t>MYTILUS-EDULIS; BLUE MUSSEL; ARENICOLA-MARINA; FILTRATION-RATE; MICROPLASTICS; EXPOSURE; PARTICLES; SESTON; GALLOPROVINCIALIS; ABSORPTION</t>
  </si>
  <si>
    <t>Microplastics are ubiquitous in the marine environment and studies on their effects on benthic filter feeders at least partly revealed a negative influence. However, it is still unclear whether the effects of microplastics differ from those of natural suspended microparticles, which constitute a common stressor in many coastal environments. We present a series of experiments that compared the effects of six-week exposures of marine mussels to two types of nat-ural particles (red clay and diatom shells) to two types of plastic particles (Polymethyl Methacrylate and Polyvinyl Chloride). Mussels of the family Mytilidae from temperate regions (Japan, Chile, Tasmania) through subtropical (Israel) to tropical environments (Cabo Verde) were exposed to concentrations of 1.5 mg/L, 15 mg/L and 150 mg/L of the respective microparticles. At the end of this period, we found significant effects of suspended particles on respiration rate, byssus production and condition index of the animals. There was no significant effect on clearance rate and survival. Surprisingly, we observed only small differences between the effects of the different types of particles, which suggests that the mussels were generally equally robust towards exposure to variable concentrations of suspended solids regardless of whether they were natural or plastic. We conclude, that microplastics and suspended solids elicit similar effects on the tested response variables, and that both types of microparticles mainly cause acute responses rather than more persistent carry-over effects.</t>
  </si>
  <si>
    <t>[Hamm, Thea; Lenz, Mark] GEOMAR Helmholtz Ctr Ocean Res Kiel, Wischhofstr 1-3, D-24138 Kiel, Germany; [Barkhau, Jonas; Gottschalck, Leo L.] Univ Rostock, Fac Biol Sci, Dept Marine Biol, Albert Einstein Str 3, D-18059 Rostock, Germany; [Gabriel, Anna-Louise; Tump, Lukas Novaes] Carl von Ossietzky Univ Oldenburg, Inst Chem &amp; Biol Marine Environm ICBM, Carl von Ossietzky Str 9-11, D-26111 Oldenburg, Germany; [Greulich, Maria] Univ Kiel, D-24118 Kiel, Germany; [Houiller, Daphne] Goethe Univ Frankfurt, Fac Biol Sci, Max von Laue Str 13, D-60438 Frankfurt, Germany; [Kawata, Uki] Hokkaido Univ, Sch Sci, Aikappu 1, Akkeshi, Hokkaido 0881113, Japan; [Leon, Abril Sanchez; Thiel, Martin] Univ Catolica Norte, Fac Ciencias Mar, Dept Biol Marina, Coquimbo, Chile; [Vasconcelos, Paulo; Almeida, Corrine] Univ Cabo Verde, Mindelo, Cape Verde; [Yap, Vincent; Chase, Zanna; Hurd, Catriona L.; Lavers, Jennifer L.; Wright, Jeffrey T.] Univ Tasmania, Inst Marine &amp; Antarctic Studies, 20 Castray Esplanade, Battery Point, Tas 7004, Australia; [Nakaoka, Masahiro] Hokkaido Univ, Field Sci Ctr Northern Biosphere, Akkeshi Marine Stn, Aikappu 1, Akkeshi, Hokkaido 0881113, Japan; [Rilov, Gil] Natl Inst Oceanog, Israel Oceanog &amp; Limnol Res, POB 8030, IL-31080 Haifa, Israel; [Thiel, Martin] Millennium Nucleus Ecol &amp; Sustainable Management, Coquimbo, Chile; [Thiel, Martin] Ctr Estudios Avanzados Zonas Aridas CEAZA, Ave Ossandon 877, Coquimbo, Chile</t>
  </si>
  <si>
    <t>Helmholtz Association; GEOMAR Helmholtz Center for Ocean Research Kiel; University of Rostock; Carl von Ossietzky Universitat Oldenburg; University of Kiel; Goethe University Frankfurt; Hokkaido University; Universidad Catolica del Norte; University of Tasmania; Hokkaido University; Israel Oceanographic &amp; Limnological Research Institute</t>
  </si>
  <si>
    <t>Hamm, T (corresponding author), GEOMAR Helmholtz Ctr Ocean Res Kiel, Wischhofstr 1-3, D-24138 Kiel, Germany.</t>
  </si>
  <si>
    <t>thamm@geomar.de</t>
  </si>
  <si>
    <t>Lavers, Jennifer/IWM-5417-2023; Lavers, Jennifer/O-4831-2017; Chase, Zanna/E-9232-2013; Yap, Vincent/GXV-4340-2022; Hurd, Catriona/J-2411-2013</t>
  </si>
  <si>
    <t>Lavers, Jennifer/0000-0001-7596-6588; Yap, Vincent/0000-0003-2381-1896; Rilov, Gil/0000-0002-1334-4887; Hurd, Catriona/0000-0001-9965-4917</t>
  </si>
  <si>
    <t>MAR 10</t>
  </si>
  <si>
    <t>10.1016/j.scitotenv.2021.151740</t>
  </si>
  <si>
    <t>YD2RB</t>
  </si>
  <si>
    <t>WOS:000740222800020</t>
  </si>
  <si>
    <t>Barnes, DKA; Kuhn, G; Hillenbrand, CD; Gromig, R; Koglin, N; Biskaborn, BK; Frinault, BAV; Klages, JP; Gutt, J</t>
  </si>
  <si>
    <t>Barnes, David K. A.; Kuhn, Gerhard; Hillenbrand, Claus-Dieter; Gromig, Raphael; Koglin, Nikola; Biskaborn, Boris K.; Frinault, Betina A. V.; Klages, Johann P.; Gutt, Julian</t>
  </si>
  <si>
    <t>Richness, growth, and persistence of life under an Antarctic ice shelf</t>
  </si>
  <si>
    <t>CURRENT BIOLOGY</t>
  </si>
  <si>
    <t>[Barnes, David K. A.; Hillenbrand, Claus-Dieter] NERC, British Antarctic Survey, Cambridge, England; [Kuhn, Gerhard; Gromig, Raphael; Klages, Johann P.; Gutt, Julian] Helmholtz Zentrum Polar &amp; Meeresforsch AWI, Alfred Wegener Inst, Bremerhaven, Germany; [Koglin, Nikola] Bundesanstalt Geowissensch &amp; Rohstoffe BGR, Hannover, Germany; [Biskaborn, Boris K.] Helmholtz Zentrum Polar &amp; Meeresforsch AWI, Alfred Wegener Inst, Potsdam, Germany; [Frinault, Betina A. V.] Univ Oxford, Oxford, England</t>
  </si>
  <si>
    <t>UK Research &amp; Innovation (UKRI); Natural Environment Research Council (NERC); NERC British Antarctic Survey; Helmholtz Association; Alfred Wegener Institute, Helmholtz Centre for Polar &amp; Marine Research; Helmholtz Association; Alfred Wegener Institute, Helmholtz Centre for Polar &amp; Marine Research; University of Oxford</t>
  </si>
  <si>
    <t>Barnes, DKA (corresponding author), NERC, British Antarctic Survey, Cambridge, England.</t>
  </si>
  <si>
    <t>dkab@bas.ac.uk</t>
  </si>
  <si>
    <t>Koglin, Nikola/IYJ-7940-2023</t>
  </si>
  <si>
    <t>NERC [bas0100036] Funding Source: UKRI</t>
  </si>
  <si>
    <t>0960-9822</t>
  </si>
  <si>
    <t>1879-0445</t>
  </si>
  <si>
    <t>CURR BIOL</t>
  </si>
  <si>
    <t>Curr. Biol.</t>
  </si>
  <si>
    <t>DEC 20</t>
  </si>
  <si>
    <t>R1566</t>
  </si>
  <si>
    <t>R1567</t>
  </si>
  <si>
    <t>10.1016/j.cub.2021.11.015</t>
  </si>
  <si>
    <t>Biochemistry &amp; Molecular Biology; Biology; Cell Biology</t>
  </si>
  <si>
    <t>Biochemistry &amp; Molecular Biology; Life Sciences &amp; Biomedicine - Other Topics; Cell Biology</t>
  </si>
  <si>
    <t>XU5JX</t>
  </si>
  <si>
    <t>WOS:000734302000003</t>
  </si>
  <si>
    <t>Irazoqui, F; Hospitaleche, CA</t>
  </si>
  <si>
    <t>Irazoqui, F.; Hospitaleche, C. Acosta</t>
  </si>
  <si>
    <t>Bioerosive traces in fossil penguin bones (Aves, Sphenisciformes) from the Eocene of Marambio/Seymour Island (West Antarctica)</t>
  </si>
  <si>
    <t>HISTORICAL BIOLOGY</t>
  </si>
  <si>
    <t>Pascichnia; Praedichnia; Domichnia; Fixichnia; Fodinichnia; Palaeogene; James Ross Basin; Antarctic Peninsula</t>
  </si>
  <si>
    <t>LA-MESETA FORMATION; SEYMOUR ISLAND; PALEOECOLOGY; MIOCENE; OSEDAX; WORMS</t>
  </si>
  <si>
    <t>We examined a set of penguin bones from different Eocene levels of the Submeseta Formation in Marambio/Seymour Island (James Ross Basin, Antarctic Peninsula) and found the bioerosive traces fossils presented here. Traces were assigned to ?Machichnus bohemicus, Machichnus indeterminate, Nihilichnus nihilicus, Centrichnidae indeterminate, and other ambiguous structures grouped into morphologic descriptive categories such as 'shallow pits with radial scratches', 'indeterminate tunnels', 'rounded to sub-rounded shallow holes', 'oval deep traces'. According to the possible interpretations of these trace fossils, the taphonomic history of the remains, although different in all the cases, would include the primary deposition in a marine environment, transportation and subaerial exposure.</t>
  </si>
  <si>
    <t>[Irazoqui, F.; Hospitaleche, C. Acosta] Univ Nacl La Plata, CONICET, Fac Ciencias Nat &amp; Museo, Div Leontol Vertebrados,Museo La Plata, Paseo Bosque S-N,B1900FWA, La Plata, Argentina</t>
  </si>
  <si>
    <t>National University of La Plata; Museo La Plata; Consejo Nacional de Investigaciones Cientificas y Tecnicas (CONICET)</t>
  </si>
  <si>
    <t>Irazoqui, F (corresponding author), Univ Nacl La Plata, CONICET, Fac Ciencias Nat &amp; Museo, Div Leontol Vertebrados,Museo La Plata, Paseo Bosque S-N,B1900FWA, La Plata, Argentina.</t>
  </si>
  <si>
    <t>facundopaleo@gmail.com</t>
  </si>
  <si>
    <t>Acosta Hospitaleche, Carolina/E-5740-2017</t>
  </si>
  <si>
    <t>Acosta Hospitaleche, Carolina/0000-0002-2614-1448; Irazoqui, Facundo/0000-0002-4798-5842</t>
  </si>
  <si>
    <t>La Plata National University [N955]</t>
  </si>
  <si>
    <t>La Plata National University(National University of La Plata)</t>
  </si>
  <si>
    <t>La Plata National University [N955].</t>
  </si>
  <si>
    <t>0891-2963</t>
  </si>
  <si>
    <t>1029-2381</t>
  </si>
  <si>
    <t>HIST BIOL</t>
  </si>
  <si>
    <t>Hist. Biol.</t>
  </si>
  <si>
    <t>DEC 2</t>
  </si>
  <si>
    <t>10.1080/08912963.2021.2017915</t>
  </si>
  <si>
    <t>Biology; Paleontology</t>
  </si>
  <si>
    <t>Life Sciences &amp; Biomedicine - Other Topics; Paleontology</t>
  </si>
  <si>
    <t>6D7GJ</t>
  </si>
  <si>
    <t>WOS:000733804000001</t>
  </si>
  <si>
    <t>Georgievsky, M; Golovanov, O; Balonishnikova, Z; Timofeeva, L</t>
  </si>
  <si>
    <t>Georgievsky, Mikhail; Golovanov, Oleg; Balonishnikova, Zhanna; Timofeeva, Larisa</t>
  </si>
  <si>
    <t>Changes in river water resources of the Russian Federation's economic regions forecasted based on the CMIP5 runoff data</t>
  </si>
  <si>
    <t>ECOHYDROLOGY &amp; HYDROBIOLOGY</t>
  </si>
  <si>
    <t>Predictive modeling; climate change; CMIP5; economic regions of the Russian Federation; river water resources</t>
  </si>
  <si>
    <t>MODEL DEVELOPMENT; CLIMATE</t>
  </si>
  <si>
    <t>The article presents predictive estimates of changes in river water resources in eleven economic regions of the Russian Federation for the period of 2030 and 2050 based on the use of river runoff data of the atmospheric and ocean general circulation models (AOGCM) of the CMIP5 project. An overview of the design schemes of the AOGCM river runoff used in the research is made. The methodology uses an ensemble approach. The predictive estimates were carried out for two forecast periods 2021-2040 and 2041-2060 in relation to the period 1981-20 0 0, which was chosen as the base one. The calculations were made on the basis of an ensemble of 24 selected models for both the moderately aggressive RCP4.5 scenario and the hard RCP8.5 scenario. The results obtained were averaged over 20-year periods and compared with the corresponding values for the period 1981-20 0 0. According to the results obtained, in the coming decades there is no reason to expect any significant changes in river flow as a result of climate change. For most of the country's territory, a slight increase in annual runoff is most likely, which is within the limits of its natural variability. The most abundant river water resources will be the Asian part of the Russian Federation and the adjacent eastern part of the European territory of Russia. The most problematic from the point of view of water resources provision will be the Central Black Earth, North Caucasus and Volga economic regions. There will be more water in those regions where it is sufficient, and less where it is most needed. It should be noted that the technique presented in this article is considered by the authors primarily as one of the alternative forecasting methods that must be used in conjunction with other accepted methods. However, given the continuous process of improving the AOGCMs, as well as the quality of the information they provide, this approach should be considered as one of the most promising. (c) 2021 European Regional Centre for Ecohydrology of the Polish Academy of Sciences. Published by Elsevier B.V. All rights reserved.</t>
  </si>
  <si>
    <t>[Georgievsky, Mikhail; Balonishnikova, Zhanna] State Hydrol Inst, St Petersburg, Russia; [Golovanov, Oleg] State Res Ctr Arctic &amp; Antarctic Res Inst, St Petersburg, Russia; [Timofeeva, Larisa] Russian State Hydrometeorol Univ, Inst Hydrol &amp; Oceanol, St Petersburg, Russia</t>
  </si>
  <si>
    <t>Russian State Hydrometeorological University</t>
  </si>
  <si>
    <t>Georgievsky, M (corresponding author), State Hydrol Inst, St Petersburg, Russia.</t>
  </si>
  <si>
    <t>mgeorgievsky@hotmail.com</t>
  </si>
  <si>
    <t>EUROPEAN REGIONAL CENTRE ECOHYDROLOGY POLISH ACAD SCIENCES</t>
  </si>
  <si>
    <t>LODZ</t>
  </si>
  <si>
    <t>3 TYLNA STR, LODZ, PORTUGAL</t>
  </si>
  <si>
    <t>1642-3593</t>
  </si>
  <si>
    <t>2080-3397</t>
  </si>
  <si>
    <t>ECOHYDROL HYDROBIOL</t>
  </si>
  <si>
    <t>Ecohydrol. Hydrobiol.</t>
  </si>
  <si>
    <t>10.1016/j.ecohyd.2021.06.004</t>
  </si>
  <si>
    <t>Ecology; Water Resources</t>
  </si>
  <si>
    <t>YP7JW</t>
  </si>
  <si>
    <t>WOS:000748798800010</t>
  </si>
  <si>
    <t>da Silva, RR; Kochhann, KGD; Guerra, RM; Fauth, G; Carvalho, MD; Ramos, RRC</t>
  </si>
  <si>
    <t>da Silva, Rafael R.; Kochhann, Karlos G. D.; Guerra, Rodrigo M.; Fauth, Gerson; Carvalho, Marcelo de A.; Ramos, Renato Rodriguez C.</t>
  </si>
  <si>
    <t>Why do calcareous microfossils preferentially occur in tuffaceous sandstones of the Santa Marta formation (James Ross Island, Antarctica)?</t>
  </si>
  <si>
    <t>Alpha member; Larsen basin; Geochemistry; Microfossils taphonomy; Micropaleontology</t>
  </si>
  <si>
    <t>BACK-ARC BASIN; PALEOENVIRONMENTAL CHANGES; CRETACEOUS STRATIGRAPHY; PLANKTONIC-FORAMINIFERA; SULFATE REDUCTION; NANNOFOSSILS; GEOCHEMISTRY; PRODUCTIVITY; INDICATORS; DIAGENESIS</t>
  </si>
  <si>
    <t>The Santa Marta Formation (James Ross Island, Antarctica) presents one of the most complete SantonianCampanian high-latitude marine records in the Southern Hemisphere. Recent micropaleontological studies pointed to an unusual preferential preservation of calcareous micmfossils, such as foraminifera and nannofossils, in tuffaceous sandstone levels of the Santa Marta Formation. Here we aim to characterize depositional and early diagenetic conditions that influenced preservation of calcareous microfossils within the succession of the Santa Marta Formation (Alpha Member). We used X-ray fluorescence (FRX)-derived elemental ratios, as well as carbonate (CaCO3), total organic carbon (TOC), and total sulfur (TS) contents to characterize sediment properties, as well as X-ray diffraction (XRD)-derived mineralogical analysis. Elemental ratios suggest hydrothermal influence during diagenesis throughout the stratigraphic succession, as indicated by (Fe + Mn)/Ti values &gt; 20. This interpretation is supported by the occurrence of typical low-temperature hydrothermal minerals, such as garrotte and heulandite. Contribution of volcanic ashes in the tuffaceous sandstone levels is evidenced by high values of the log (Zr/Ti) ratio, and the presence of volcanogenic minerals. Since stratigraphic levels characterized by the highest abundances and richnesses of calcareous micmfossils also present high log (Zr/Ti) values and CaCO3 contents, we hypothesize that the input and subsequent alteration of volcanogenic material (e.g., ashes) acted as a buffer, increasing porewater alkalinity during early diagenesis. Such a chemical mechanism was already described for modern marine sediments deposited under the influence of significant input of volcanogenic materials, and can explain the preferential preservation of calcareous microfossils in tuffaceous sandstones of the Upper Cretaceous Santa Marta Formation.</t>
  </si>
  <si>
    <t>[da Silva, Rafael R.; Kochhann, Karlos G. D.; Fauth, Gerson] Unisinos Univ, Geol Grad Program, Av Unisinos 950, BR-93022750 Sao Leopoldo, RS, Brazil; [Kochhann, Karlos G. D.; Guerra, Rodrigo M.; Fauth, Gerson] Unisinos Univ, Technol Inst Micropaleontol, ITT Fossil, Av Unisinos 950, BR-93022750 Sao Leopoldo, RS, Brazil; [Carvalho, Marcelo de A.; Ramos, Renato Rodriguez C.] Univ Fed Rio de Janeiro, Dept Geol &amp; Paleontol, Natl Museum, Quinta da Boa Vista S-N, BR-20940040 Sao Cristovao, RJ, Brazil</t>
  </si>
  <si>
    <t>da Silva, RR (corresponding author), Unisinos Univ, Geol Grad Program, Av Unisinos 950, BR-93022750 Sao Leopoldo, RS, Brazil.</t>
  </si>
  <si>
    <t>s.ribeirorafa@gmail.com; kkochhann@unisinos.br; rmguerra@unisinos.br; gersonf@unisinos.br; mcarvalho@mn.ufrj.br; rramos@mn.ufrj.br</t>
  </si>
  <si>
    <t>Fauth, Gerson/AAE-3353-2021</t>
  </si>
  <si>
    <t>DE ARAUJO CARVALHO, MARCELO/0000-0001-6088-5718; Silva, Rafael Ribeiro/0000-0002-7400-8991; Rodriguez Cabral Ramos, Renato/0000-0003-4023-6301</t>
  </si>
  <si>
    <t>Coordination for the Improvement of Higher Education Personnel (CAPES); Brazilian National Council for Scientific and Technological Development (CNPq), as part of the project Paleocene-Miocene climate evolution: Connections between the Southern Ocean and the Antarctic Peninsula [CNPq/PROANTAR] [88887.314454/2019-00]</t>
  </si>
  <si>
    <t>Coordination for the Improvement of Higher Education Personnel (CAPES)(Coordenacao de Aperfeicoamento de Pessoal de Nivel Superior (CAPES)); Brazilian National Council for Scientific and Technological Development (CNPq), as part of the project Paleocene-Miocene climate evolution: Connections between the Southern Ocean and the Antarctic Peninsula [CNPq/PROANTAR](Conselho Nacional de Desenvolvimento Cientifico e Tecnologico (CNPQ)Fundacao de Apoio a Pesquisa do Distrito Federal (FAPDF))</t>
  </si>
  <si>
    <t>We wish to thank the staff of the Technological Institute of Micropaleontology (itt Fossil -UNISINOS) for help during analyses and the Laboratorio de Palinofacies &amp; Facies Organica -Federal University of Rio de Janeiro (IGEO/UFRJ) for TOC analyses. We also thank Petro, S.M. and Marquez, L.M. for support with preparing figures. We would like to thank A. Concheyro and E.B. Olivero for constructive comments, which allowed us to improve the first version of the manuscript. R.R.S thanks the Coordination for the Improvement of Higher Education Personnel (CAPES) for the granted scholarship. This research was funded by the Brazilian National Council for Scientific and Technological Development (CNPq), as part of the project Paleocene-Miocene climate evolution: Connections between the Southern Ocean and the Antarctic Peninsula [CNPq/PROANTAR: 88887.314454/2019-00].</t>
  </si>
  <si>
    <t>10.1016/j.jsames.2021.103682</t>
  </si>
  <si>
    <t>XU6HW</t>
  </si>
  <si>
    <t>WOS:000734364300003</t>
  </si>
  <si>
    <t>Cavan, EL; Hill, SL</t>
  </si>
  <si>
    <t>Cavan, Emma L.; Hill, Simeon L.</t>
  </si>
  <si>
    <t>Commercial fishery disturbance of the global ocean biological carbon sink</t>
  </si>
  <si>
    <t>carbon store; ecosystem services; fisheries; ocean carbon sink</t>
  </si>
  <si>
    <t>ZOOPLANKTON FECAL PELLETS; EXPORT PRODUCTION; CLIMATE-CHANGE; MARINE; ECOSYSTEM; SATELLITE; TEMPERATURE; DYNAMICS; COASTAL; IMPACT</t>
  </si>
  <si>
    <t>Plankton drive a major sink of carbon across the global oceans. Dead plankton, their faeces and the faeces of plankton feeders, form a huge rain of carbon sinking to the seabed and deep ocean, reducing atmospheric CO2 levels and thus helping to regulate the climate. Any change in plankton communities, ecosystems or habitats will perturb this carbon sink, potentially increasing atmospheric CO2. Fishing is a major cause of ocean ecosystem disturbance affecting all trophic levels including plankton, but its potential impact on the carbon sink is unknown. As both fisheries and the carbon sink depend on plankton, there is spatial overlap of these fundamental ecosystem services. Here, we provide the first global maps of this spatial overlap. Using an upper quartile analysis, we show that 21% of the total upper ocean carbon sink (export) and 39% of fishing effort globally are concentrated in zones of intensive overlap, representing 9% of the ocean surface area. This overlap is particularly evident in the Northeast Atlantic suggesting this region should be prioritized in terms of research and conservation measures to preserve the high levels of sinking carbon. Small pelagic fish dominate catches here and globally, and their exploitation could reduce important faecal pellet carbon sinks and cause trophic cascades affecting plankton communities. There is an urgent need to recognize that, alongside climate change, fishing might be a critical influence on the ability of the ocean to sequester atmospheric CO2. Improved understanding of this influence, and how it will change with the climate, will be important for realizing a sustainable balance of the twin needs for productive fisheries and strong carbon sinks.</t>
  </si>
  <si>
    <t>[Cavan, Emma L.] Imperial Coll London, Dept Life Sci, Silwood Pk Campus, Ascot SL5 7PY, Berks, England; [Hill, Simeon L.] Britlsh Antarctic Survey, Nat Environm Res Council, Cambridge, England</t>
  </si>
  <si>
    <t>Imperial College London; UK Research &amp; Innovation (UKRI); Natural Environment Research Council (NERC); NERC British Antarctic Survey</t>
  </si>
  <si>
    <t>Cavan, EL (corresponding author), Imperial Coll London, Dept Life Sci, Silwood Pk Campus, Ascot SL5 7PY, Berks, England.</t>
  </si>
  <si>
    <t>e.cavan@imperial.ac.uk</t>
  </si>
  <si>
    <t>Cavan, Emma/AFY-2671-2022; Simeon, Hill L/B-2307-2008</t>
  </si>
  <si>
    <t>Hill, Simeon/0000-0003-1441-8769; cavan, emma/0000-0003-1099-6705</t>
  </si>
  <si>
    <t>Imperial College London; British Antarctic Survey; Natural Environment Research Council; NERC [bas0100035] Funding Source: UKRI</t>
  </si>
  <si>
    <t>Imperial College London; British Antarctic Survey; Natural Environment Research Council(UK Research &amp; Innovation (UKRI)Natural Environment Research Council (NERC)); NERC(UK Research &amp; Innovation (UKRI)Natural Environment Research Council (NERC))</t>
  </si>
  <si>
    <t>Imperial College London; British Antarctic Survey, Grant/Award Number: Core funding; Natural Environment Research Council</t>
  </si>
  <si>
    <t>10.1111/gcb.16019</t>
  </si>
  <si>
    <t>YH0MZ</t>
  </si>
  <si>
    <t>WOS:000731293100001</t>
  </si>
  <si>
    <t>Atkinson, A; Hill, SL; Reiss, CS; Pakhomov, EA; Beaugrand, G; Tarling, GA; Yang, G; Steinberg, DK; Schmidt, K; Edwards, M; Rombolá, E; Perry, FA</t>
  </si>
  <si>
    <t>Atkinson, Angus; Hill, Simeon L.; Reiss, Christian S.; Pakhomov, Evgeny A.; Beaugrand, Gregory; Tarling, Geraint A.; Yang, Guang; Steinberg, Deborah K.; Schmidt, Katrin; Edwards, Martin; Rombola, Emilce; Perry, Frances A.</t>
  </si>
  <si>
    <t>Stepping stones towards Antarctica: Switch to southern spawning grounds explains an abrupt range shift in krill</t>
  </si>
  <si>
    <t>abrupt community shift; Antarctic krill; ecosystem shift; euphausiid; management; marine protected areas; range shift; recruitment; spawning</t>
  </si>
  <si>
    <t>CLIMATE-CHANGE; EUPHAUSIA-SUPERBA; SEA-ICE; OCEAN; MARINE; VARIABILITY; RESPONSES; DISTRIBUTIONS; COMMUNITIES; TEMPERATURE</t>
  </si>
  <si>
    <t>Poleward range shifts are a global-scale response to warming, but these vary greatly among taxa and are hard to predict for individual species, localized regions or over shorter (years to decadal) timescales. Moving poleward might be easier in the Arctic than in the Southern Ocean, where evidence for range shifts is sparse and contradictory. Here, we compiled a database of larval Antarctic krill, Euphausia superba and, together with an adult database, it showed how their range shift is out of step with the pace of warming. During a 70-year period of rapid warming (1920s-1990s), distribution centres of both larvae and adults in the SW Atlantic sector remained fixed, despite warming by 0.5-1.0 degrees C and losing sea ice. This was followed by a hiatus in surface warming and ice loss, yet during this period the distributions of krill life stages shifted greatly, by similar to 1000 km, to the south-west. Understanding the mechanism of such step changes is essential, since they herald system reorganizations that are hard to predict with current modelling approaches. We propose that the abrupt shift was driven by climatic controls acting on localized recruitment hotspots, superimposed on thermal niche conservatism. During the warming hiatus, the Southern Annular Mode index continued to become increasingly positive and, likely through reduced feeding success for larvae, this led to a precipitous decline in recruitment from the main reproduction hotspot along the southern Scotia Arc. This cut replenishment to the northern portion of the krill stock, as evidenced by declining density and swarm frequency. Concomitantly, a new, southern reproduction area developed after the 1990s, reinforcing the range shift despite the lack of surface warming. New spawning hotspots may provide the stepping stones needed for range shifts into polar regions, so planning of climate-ready marine protected areas should include these key areas of future habitat.</t>
  </si>
  <si>
    <t>[Atkinson, Angus; Edwards, Martin] Plymouth Marine Lab, Prospect Pl, Plymouth PL1 3DH, Devon, England; [Hill, Simeon L.; Tarling, Geraint A.] British Antarctic Survey, Cambridge, England; [Reiss, Christian S.] NOAA Fisheries, South West Fisheries Sci Ctr, La Jolla, CA USA; [Pakhomov, Evgeny A.] Univ British Columbia, Dept Earth Ocean &amp; Atmospher Sci, Vancouver, BC, Canada; [Pakhomov, Evgeny A.] Univ British Columbia, Inst Oceans &amp; Fisheries, Vancouver, BC, Canada; [Pakhomov, Evgeny A.] Hakai Inst, Heriot Bay, BC, Canada; [Beaugrand, Gregory] Univ Littoral Cote dOpale, Univ Lille, Stn Marine Wimereux, Ctr Natl Rech Sci,UMR 8187 LOG,Lab Oceanol &amp; Geos, Wimereux, France; [Yang, Guang] Chinese Acad Sci, Inst Oceanol, Key Lab Marine Ecol &amp; Environm Sci, Qingdao, Peoples R China; [Steinberg, Deborah K.] Virginia Inst Marine Sci, Coll William &amp; Mary, Gloucester Point, VA 23062 USA; [Schmidt, Katrin] Univ Plymouth, Sch Geog Earth &amp; Environm Sci, Plymouth, Devon, England; [Rombola, Emilce] Inst Antartico Argentino, Direcc Nacl Antartico, Buenos Aires, DF, Argentina; [Rombola, Emilce] Consejo Nacl Invest Cient &amp; Tecn, Buenos Aires, DF, Argentina; [Perry, Frances A.] Marine Biol Assoc UK, Plymouth, Devon, England</t>
  </si>
  <si>
    <t>Plymouth Marine Laboratory; UK Research &amp; Innovation (UKRI); Natural Environment Research Council (NERC); NERC British Antarctic Survey; National Oceanic Atmospheric Admin (NOAA) - USA; University of British Columbia; University of British Columbia; Hakai Institute; Centre National de la Recherche Scientifique (CNRS); CNRS - National Institute for Earth Sciences &amp; Astronomy (INSU); Universite de Lille; Universite du Littoral-Cote-d'Opale; Chinese Academy of Sciences; Institute of Oceanology, CAS; William &amp; Mary; Virginia Institute of Marine Science; University of Plymouth; Instituto Antartico Argentino; Consejo Nacional de Investigaciones Cientificas y Tecnicas (CONICET); Marine Biological Association United Kingdom</t>
  </si>
  <si>
    <t>Atkinson, A (corresponding author), Plymouth Marine Lab, Prospect Pl, Plymouth PL1 3DH, Devon, England.</t>
  </si>
  <si>
    <t>aat@pml.ac.uk</t>
  </si>
  <si>
    <t>Simeon, Hill L/B-2307-2008; Atkinson, Angus/HOH-3417-2023</t>
  </si>
  <si>
    <t>Yang, Guang/0000-0002-9410-0189; Steinberg, Deborah K./0000-0001-9884-4655; Hill, Simeon/0000-0003-1441-8769; Edwards, Martin/0000-0002-5716-4714; Schmidt, Katrin/0000-0002-6488-623X; Tarling, Geraint/0000-0002-3753-5899</t>
  </si>
  <si>
    <t>World Wildlife Fund; US National Science Foundation's Antarctic Organisms and Ecosystems Program [OPP 2026045]; Natural Environment Research Council -SYM-PEL project [NE/S002502/1]; NERC [NE/S002502/1, bas0100035] Funding Source: UKRI</t>
  </si>
  <si>
    <t>World Wildlife Fund; US National Science Foundation's Antarctic Organisms and Ecosystems Program; Natural Environment Research Council -SYM-PEL project; NERC(UK Research &amp; Innovation (UKRI)Natural Environment Research Council (NERC))</t>
  </si>
  <si>
    <t>World Wildlife Fund; US National Science Foundation's Antarctic Organisms and Ecosystems Program, Grant/Award Number: OPP 2026045; Natural Environment Research Council -SYM-PEL project, Grant/Award Number: NE/S002502/1</t>
  </si>
  <si>
    <t>10.1111/gcb.16009</t>
  </si>
  <si>
    <t>WOS:000731293400001</t>
  </si>
  <si>
    <t>Masello, JF; Ryan, PG; Shepherd, LD; Quillfeldt, P; Cherel, Y; Tennyson, AJD; Alderman, R; Calderón, L; Cole, TL; Cuthbert, RJ; Dilley, B; Massaro, M; Miskelly, CM; Navarro, J; Phillips, RA; Weimerskirch, H; Moodley, Y</t>
  </si>
  <si>
    <t>Masello, Juan F.; Ryan, Peter G.; Shepherd, Lara D.; Quillfeldt, Petra; Cherel, Yves; Tennyson, Alan J. D.; Alderman, Rachael; Calderon, Luciano; Cole, Theresa L.; Cuthbert, Richard J.; Dilley, Ben J.; Massaro, Melanie; Miskelly, Colin M.; Navarro, Joan; Phillips, Richard A.; Weimerskirch, Henri; Moodley, Yoshan</t>
  </si>
  <si>
    <t>Independent evolution of intermediate bill widths in a seabird clade</t>
  </si>
  <si>
    <t>MOLECULAR GENETICS AND GENOMICS</t>
  </si>
  <si>
    <t>Convergent evolution; Gough Island; MacGillivray's prion; Pachyptila; Procellariidae; Procellariiformes</t>
  </si>
  <si>
    <t>PACHYPTILA-VITTATA; BURROWING PETRELS; GOUGH ISLAND; DNA; PRIONS; SOFTWARE; PROCELLARIIFORMES; CONSEQUENCES; SPECIATION; INFERENCE</t>
  </si>
  <si>
    <t>Interspecific introgression can occur between species that evolve rapidly within an adaptive radiation. Pachyptila petrels differ in bill size and are characterised by incomplete reproductive isolation, leading to interspecific gene flow. Salvin's prion (Pachyptila salvini), whose bill width is intermediate between broad-billed (P. vittata) and Antarctic (P. desolata) prions, evolved through homoploid hybrid speciation. MacGillivray's prion (P. macgillivrayi), known from a single population on St Paul (Indian Ocean), has a bill width intermediate between salvini and vittata and could also be the product of interspecies introgression or hybrid speciation. Recently, another prion population phenotypically similar to macgillivrayi was discovered on Gough (Atlantic Ocean), where it breeds 3 months later than vittata. The similarity in bill width between the medium-billed birds on Gough and macgillivrayi suggest that they could be closely related. In this study, we used genetic and morphological data to infer the phylogenetic position and evolutionary history of P. macgillivrayi and the Gough medium-billed prion relative other Pachyptila taxa, to determine whether species with medium bill widths evolved through common ancestry or convergence. We found that Gough medium-billed prions belong to the same evolutionary lineage as macgillivrayi, representing a new population of MacGillivray's prion that originated through a colonisation event from St Paul. We show that macgillivrayi's medium bill width evolved through divergence (genetic drift) and independently from that of salvini, which evolved through hybridisation (gene flow). This represents the independent convergence towards a similarly medium-billed phenotype. The newly discovered MacGillivray's prion population on Gough is of utmost conservation relevance, as the relict macgillivrayi population in the Indian Ocean is very small.</t>
  </si>
  <si>
    <t>[Masello, Juan F.; Quillfeldt, Petra; Calderon, Luciano; Cole, Theresa L.] Justus Liebig Univ Giessen, Dept Anim Ecol &amp; Systemat, Heinrich Buff Ring 26, D-35392 Giessen, Germany; [Ryan, Peter G.; Dilley, Ben J.] Univ Cape Town, DST NRF Ctr Excellence, FitzPatrick Inst African Ornithol, ZA-7701 Rondebosch, South Africa; [Shepherd, Lara D.; Tennyson, Alan J. D.; Miskelly, Colin M.] Museum New Zealand Te Papa Tongarewa, POB 467, Wellington 6140, New Zealand; [Cherel, Yves; Weimerskirch, Henri] La Rochelle Univ, Ctr Etud Biol Chize, UMR 7372 CNRS, F-79360 Villiers En Bois, France; [Alderman, Rachael] Dept Primary Ind Pk Water &amp; Environm, GPO Box 44, Hobart, Tas 7001, Australia; [Calderon, Luciano] CONICET UNCuyo, Inst Biol Agr Mendoza IBAM, Almirante Brown 500,M5528AHB, RA-500 Mendoza, Argentina; [Cole, Theresa L.] Univ Copenhagen, Dept Biol Ecol &amp; Evolut, Univ Pk 15, DK-2100 Copenhagen, Denmark; [Cuthbert, Richard J.] Royal Soc Protect Birds, Sandy SG19 2DL, Beds, England; [Massaro, Melanie] Charles Sturt Univ, Sch Environm Sci, POB 789, Albury, NSW 2640, Australia; [Massaro, Melanie] Charles Sturt Univ, Inst Land Water &amp; Soc, POB 789, Albury, NSW 2640, Australia; [Navarro, Joan] Inst Ciencies Mar ICM CSIC, Passeig Maritim de la Barceloneta 37-49, Barcelona 08003, Spain; [Phillips, Richard A.] NERC, British Antarctic Survey, Madingley Rd, Cambridge CB3 0ET, England; [Moodley, Yoshan] Univ Venda, Dept Zool, Private Bag X5050, ZA-0950 Thohoyandou, South Africa</t>
  </si>
  <si>
    <t>Justus Liebig University Giessen; University of Cape Town; National Research Foundation - South Africa; Centre National de la Recherche Scientifique (CNRS); CNRS - Institute of Ecology &amp; Environment (INEE); University of Copenhagen; Royal Society for Protection of Birds; Charles Sturt University; Charles Sturt University; Consejo Superior de Investigaciones Cientificas (CSIC); CSIC - Centro Mediterraneo de Investigaciones Marinas y Ambientales (CMIMA); CSIC - Instituto de Ciencias del Mar (ICM); UK Research &amp; Innovation (UKRI); Natural Environment Research Council (NERC); NERC British Antarctic Survey; University of Venda</t>
  </si>
  <si>
    <t>Masello, JF (corresponding author), Justus Liebig Univ Giessen, Dept Anim Ecol &amp; Systemat, Heinrich Buff Ring 26, D-35392 Giessen, Germany.</t>
  </si>
  <si>
    <t>juan.f.masello@bio.uni-giessen.de</t>
  </si>
  <si>
    <t>Navarro, Joan/C-2119-2009; Shepherd, Lara D/E-6663-2011; Weimerskirch, Henri/F-5562-2013; Calderon, Luciano/O-7470-2014; Quillfeldt, Petra/A-9549-2009; Masello, Juan Francisco/C-7133-2009; Massaro, Melanie/P-4791-2017</t>
  </si>
  <si>
    <t>Navarro, Joan/0000-0002-5756-9543; Shepherd, Lara/0000-0002-7136-0017; Moodley, Yoshan/0000-0003-4216-2924; Quillfeldt, Petra/0000-0002-4450-8688; Masello, Juan Francisco/0000-0002-6826-4016; Massaro, Melanie/0000-0001-9039-1268; Calderon, Luciano/0000-0003-4223-0149</t>
  </si>
  <si>
    <t>Projekt DEAL; Deutsche Forschungsgemeinschaft (Germany) [Qu 148-5]; South African Department of Environmental Affairs, through the South African National Antarctic Programme; Royal Society of New Zealand; NERC [bas0100035] Funding Source: UKRI</t>
  </si>
  <si>
    <t>Projekt DEAL; Deutsche Forschungsgemeinschaft (Germany)(German Research Foundation (DFG)); South African Department of Environmental Affairs, through the South African National Antarctic Programme; Royal Society of New Zealand(Royal Society of New Zealand); NERC(UK Research &amp; Innovation (UKRI)Natural Environment Research Council (NERC))</t>
  </si>
  <si>
    <t>Open Access funding enabled and organized by Projekt DEAL. PQ, JFM, TLC and LC were supported by the Deutsche Forschungsgemeinschaft (Germany), Heisenberg program (grant number DFG, Qu 148-5 to P.Q.). Logistical and financial support was obtained from the South African Department of Environmental Affairs, through the South African National Antarctic Programme. LDS was supported by a Rutherford Discovery Fellowship from the Royal Society of New Zealand.</t>
  </si>
  <si>
    <t>1617-4615</t>
  </si>
  <si>
    <t>1617-4623</t>
  </si>
  <si>
    <t>MOL GENET GENOMICS</t>
  </si>
  <si>
    <t>Mol. Genet. Genomics</t>
  </si>
  <si>
    <t>10.1007/s00438-021-01845-3</t>
  </si>
  <si>
    <t>Biochemistry &amp; Molecular Biology; Genetics &amp; Heredity</t>
  </si>
  <si>
    <t>YS2WO</t>
  </si>
  <si>
    <t>WOS:000731365300001</t>
  </si>
  <si>
    <t>Anhaus, P; Katlein, C; Nicolaus, M; Arndt, S; Jutila, A; Haas, C</t>
  </si>
  <si>
    <t>Anhaus, Philipp; Katlein, Christian; Nicolaus, Marcel; Arndt, Stefanie; Jutila, Arttu; Haas, Christian</t>
  </si>
  <si>
    <t>Snow Depth Retrieval on Arctic Sea Ice Using Under-Ice Hyperspectral Radiation Measurements</t>
  </si>
  <si>
    <t>snow depth; retrieval; sea ice; under-ice optics; remotely operated vehicle</t>
  </si>
  <si>
    <t>LIGHT TRANSMISSION; VARIABILITY; THICKNESS; BIOMASS; MODEL; REFLECTION</t>
  </si>
  <si>
    <t>Radiation transmitted through sea ice and snow has an important impact on the energy partitioning at the atmosphere-ice-ocean interface. Snow depth and ice thickness are crucial in determining its temporal and spatial variations. Under-ice surveys using autonomous robotic vehicles to measure transmitted radiation often lack coincident snow depth and ice thickness measurements so that direct relationships cannot be investigated. Snow and ice imprint distinct features on the spectral shape of transmitted radiation. Here, we use those features to retrieve snow depth. Transmitted radiance was measured underneath landfast level first-year ice using a remotely operated vehicle in the Lincoln Sea in spring 2018. Colocated measurements of snow depth and ice thickness were acquired. Constant ice thickness, clear water conditions, and low in-ice biomass allowed us to separate the spectral features of snow. We successfully retrieved snow depth using two inverse methods based on under-ice optical spectra with 1) normalized difference indices and 2) an idealized two-layer radiative transfer model including spectral snow and sea ice extinction coefficients. The retrieved extinction coefficients were in agreement with previous studies. We then applied the methods to continuous time series of transmittance and snow depth from the landfast first-year ice and from drifting, melt-pond covered multiyear ice in the Central Arctic in autumn 2018. Both methods allow snow depth retrieval accuracies of approximately 5 cm. Our results show that atmospheric variations and absolute light levels have an influence on the snow depth retrieval.</t>
  </si>
  <si>
    <t>[Anhaus, Philipp; Katlein, Christian; Nicolaus, Marcel; Arndt, Stefanie; Jutila, Arttu; Haas, Christian] Alfred Wegener Inst Helmholtz Zentrum Polar &amp; Mee, Bremerhaven, Germany; [Haas, Christian] Univ Bremen, Inst Environm Phys, Bremen, Germany</t>
  </si>
  <si>
    <t>Anhaus, P (corresponding author), Alfred Wegener Inst Helmholtz Zentrum Polar &amp; Mee, Bremerhaven, Germany.</t>
  </si>
  <si>
    <t>philipp.anhaus@awi.de</t>
  </si>
  <si>
    <t>Nicolaus, Marcel/A-3658-2013; Arndt, Stefanie/AAA-6178-2021</t>
  </si>
  <si>
    <t>Nicolaus, Marcel/0000-0003-0903-1746; Arndt, Stefanie/0000-0001-9782-3844; Anhaus, Philipp/0000-0002-0671-8545</t>
  </si>
  <si>
    <t>Alfred-Wegener-Institut Helmholtz-Zentrum fur Polar-und Meeresforschung (AWI); UKRI Natural Environment Research Council (NERC) [NE/R012849/1, 03F0810A]; German Federal Ministry of Education and Research (BMBF) [NE/R012849/1, 03F0810A]; German Research Council (DFG) [SPP1158, AR1236/1]; Helmholtz Infrastructure Initiative Frontiers in Arctic marine Monitoring (FRAM); NERC [NE/R012849/1] Funding Source: UKRI</t>
  </si>
  <si>
    <t>Alfred-Wegener-Institut Helmholtz-Zentrum fur Polar-und Meeresforschung (AWI); UKRI Natural Environment Research Council (NERC)(UK Research &amp; Innovation (UKRI)Natural Environment Research Council (NERC)); German Federal Ministry of Education and Research (BMBF)(Federal Ministry of Education &amp; Research (BMBF)); German Research Council (DFG)(German Research Foundation (DFG)); Helmholtz Infrastructure Initiative Frontiers in Arctic marine Monitoring (FRAM); NERC(UK Research &amp; Innovation (UKRI)Natural Environment Research Council (NERC))</t>
  </si>
  <si>
    <t>This work was financed through the research programs PACES II and POF4 from the Alfred-Wegener-Institut Helmholtz-Zentrum fur Polar-und Meeresforschung (AWI). This work represents a contribution to the Diatom-ARCTIC project (NE/R012849/1; 03F0810A), part of the Changing Arctic Ocean program, jointly funded by the UKRI Natural Environment Research Council (NERC) and the German Federal Ministry of Education and Research (BMBF). This work was supported by the German Research Council (DFG) in the framework of the priority program Antarctic Research with comparative investigations in the Arctic ice areas (grant nos. SPP1158 and AR1236/1). The deployment of the radiation station 2018R4 and the Snow Buoy 2018S69 as well as the ROV work were supported by theHelmholtz Infrastructure Initiative Frontiers in Arctic marine Monitoring (FRAM). We also acknowledge financial support by the Open Access Publication Funds of AWI.</t>
  </si>
  <si>
    <t>DEC 17</t>
  </si>
  <si>
    <t>10.3389/feart.2021.711306</t>
  </si>
  <si>
    <t>YB2JA</t>
  </si>
  <si>
    <t>WOS:000738844100001</t>
  </si>
  <si>
    <t>Voosen, P</t>
  </si>
  <si>
    <t>Voosen, Paul</t>
  </si>
  <si>
    <t>Key Antarctic ice shelf is within years of failure Breakup of shelf holding back Thwaites Glacier will ramp up sea level rise</t>
  </si>
  <si>
    <t>SCIENCE</t>
  </si>
  <si>
    <t>0036-8075</t>
  </si>
  <si>
    <t>1095-9203</t>
  </si>
  <si>
    <t>Science</t>
  </si>
  <si>
    <t>XT1UG</t>
  </si>
  <si>
    <t>WOS:000733380100009</t>
  </si>
  <si>
    <t>Jiang, Y; Lu, LG; Liu, ZW; Yang, CM; Guo, JS</t>
  </si>
  <si>
    <t>Jiang, Ying; Lu, Lian-Gang; Liu, Zongwei; Yang, Chunmei; Guo, Jingsong</t>
  </si>
  <si>
    <t>Identification of Antarctic minke and killer whales with passive acoustic monitoring in Prydz Bay, Antarctica</t>
  </si>
  <si>
    <t>JOURNAL OF OCEANOLOGY AND LIMNOLOGY</t>
  </si>
  <si>
    <t>passive acoustic monitoring; inverted u shaped signal; killer whale; Antarctic minke whales; Prydz Bay; type C</t>
  </si>
  <si>
    <t>ORCINUS-ORCA; ECHOLOCATION CLICKS; CALLS; BEHAVIOR; SIGNALS; BLUE; SEA; PATTERNS; WHISTLES; HUMPBACK</t>
  </si>
  <si>
    <t>Although four species of odontocete and four species of baleen whale have been recorded in Prydz Bay, their vocalizations have been rarely investigated. Underwater vocalizations were recorded during March 2017 in Prydz Bay, Antarctica. Bio-duck sounds, downsweeps, inverted u shape signals, whistles, pulsed sounds, and broadband clicks were recorded. Bio-duck sounds and downsweeps were associated with Antarctic minke whales (Balaenoptera bonaerensis) based on visual observations. Similarities between inverted u shape signals, biphonic calls, and clicks with vocalizations previously described for killer whales (Orcinus orca) lead us believe the presence of Antarctic killer whales. According to sound structures, signal characteristics, and recording location, Antarctic type C killer whales were the most probable candidates to produce these detected calls. These represent the first detection of inverted u shape signals in Antarctic waters, and the first report of Antarctic killer whale in Prydz Bay based on passive acoustic monitoring. The co-existence of Antarctic minke and killer whales may imply that minke whales can detect differences between the sounds of mammal-eating and fish-eating killer whales. Our descriptions of these underwater vocalizations contribute to the limited body of information regarding the distribution and acoustic behavior of cetaceans in Prydz Bay.</t>
  </si>
  <si>
    <t>[Jiang, Ying; Lu, Lian-Gang; Liu, Zongwei; Yang, Chunmei; Guo, Jingsong] Minist Nat Resources, Inst Oceanog 1, Qingdao 266061, Peoples R China; [Jiang, Ying; Lu, Lian-Gang; Liu, Zongwei; Yang, Chunmei; Guo, Jingsong] Pilot Natl Lab Marine Sci &amp; Technol Qingdao, Lab Reg Oceanog &amp; Numer Modeling, Qingdao 266237, Peoples R China; [Jiang, Ying; Lu, Lian-Gang; Liu, Zongwei; Yang, Chunmei; Guo, Jingsong] Minist Nat Resources, Key Lab Marine Sci &amp; Numer Modeling, Qingdao 266061, Peoples R China</t>
  </si>
  <si>
    <t>Ministry of Natural Resources of the People's Republic of China; First Institute of Oceanography, Ministry of Natural Resources; Laoshan Laboratory; Ministry of Natural Resources of the People's Republic of China</t>
  </si>
  <si>
    <t>Guo, JS (corresponding author), Minist Nat Resources, Inst Oceanog 1, Qingdao 266061, Peoples R China.;Guo, JS (corresponding author), Pilot Natl Lab Marine Sci &amp; Technol Qingdao, Lab Reg Oceanog &amp; Numer Modeling, Qingdao 266237, Peoples R China.;Guo, JS (corresponding author), Minist Nat Resources, Key Lab Marine Sci &amp; Numer Modeling, Qingdao 266061, Peoples R China.</t>
  </si>
  <si>
    <t>gjings23@fio.org.cn</t>
  </si>
  <si>
    <t>National Natural Science Foundation of China [41906170]; Indian Ocean Ninety-east Ridge Ecosystem and Marine Environment Monitoring and Protection [DY135-E2-4]; Cooperation of Top Predators Observation in the Southern Ocean [QT4519003]; China-ASEAN Maritime Cooperation Fund</t>
  </si>
  <si>
    <t>National Natural Science Foundation of China(National Natural Science Foundation of China (NSFC)); Indian Ocean Ninety-east Ridge Ecosystem and Marine Environment Monitoring and Protection; Cooperation of Top Predators Observation in the Southern Ocean; China-ASEAN Maritime Cooperation Fund</t>
  </si>
  <si>
    <t>Supported by the National Natural Science Foundation of China (No. 41906170), the Indian Ocean Ninety-east Ridge Ecosystem and Marine Environment Monitoring and Protection (No. DY135-E2-4), the Cooperation of Top Predators Observation in the Southern Ocean (No. QT4519003), and the China-ASEAN Maritime Cooperation Fund</t>
  </si>
  <si>
    <t>16 DONGHUANGCHENGGEN NORTH ST, Building 5, Room 411, BEIJING, 100009, PEOPLES R CHINA</t>
  </si>
  <si>
    <t>2096-5508</t>
  </si>
  <si>
    <t>2523-3521</t>
  </si>
  <si>
    <t>J OCEANOL LIMNOL</t>
  </si>
  <si>
    <t>J. Oceanol. Limnol.</t>
  </si>
  <si>
    <t>10.1007/s00343-021-1017-x</t>
  </si>
  <si>
    <t>0G4PC</t>
  </si>
  <si>
    <t>WOS:000731384100002</t>
  </si>
  <si>
    <t>Bromwich, DH; Lazzara, MA; Cayette, AM; Powers, JG; Werner, K; Cassano, JJ; Colwell, SR; Carpentier, S; Zou, X</t>
  </si>
  <si>
    <t>Bromwich, David H.; Lazzara, Matthew A.; Cayette, Arthur M.; Powers, Jordan G.; Werner, Kirstin; Cassano, John J.; Colwell, Steven R.; Carpentier, Scott; Zou, Xun</t>
  </si>
  <si>
    <t>The 16th Workshop on Antarctic Meteorology and Climate and 6th Year of Polar Prediction in the Southern Hemisphere Meeting</t>
  </si>
  <si>
    <t>ADVANCES IN ATMOSPHERIC SCIENCES</t>
  </si>
  <si>
    <t>[Bromwich, David H.; Zou, Xun] Ohio State Univ, Byrd Polar &amp; Climate Res Ctr, Columbus, OH 43210 USA; [Lazzara, Matthew A.] Univ Wisconsin, Antarctic Meteorol Res Ctr, Space Sci &amp; Engn Ctr, Madison, WI 53704 USA; [Lazzara, Matthew A.] Madison Area Tech Coll, Dept Phys Sci, Madison, WI 53706 USA; [Cayette, Arthur M.] Naval Informat Warfare Ctr, Charleston, SC 29406 USA; [Powers, Jordan G.] Natl Ctr Atmospher Res, Boulder, CO 53706 USA; [Werner, Kirstin] Helmholtz Ctr Polar &amp; Marine Res, Alfred Wegener Inst, Year Polar Predict YOPP Int Coordinat Off, D-27570 Bremerhaven, Germany; [Cassano, John J.] Univ Colorado, Natl Snow &amp; Ice Data Ctr, Cooperat Inst Res Environm Sci, Boulder, CO 80309 USA; [Cassano, John J.] Univ Colorado, Dept Atmospher &amp; Ocean Sci, Boulder, CO 80309 USA; [Colwell, Steven R.] British Antarctic Survey, Cambridge CB3 0ET, England; [Carpentier, Scott] Bur Meteorol, Hobart, Tas 7001, Australia</t>
  </si>
  <si>
    <t>University System of Ohio; Ohio State University; University of Wisconsin System; University of Wisconsin Madison; National Center Atmospheric Research (NCAR) - USA; Helmholtz Association; Alfred Wegener Institute, Helmholtz Centre for Polar &amp; Marine Research; University of Colorado System; University of Colorado Boulder; University of Colorado System; University of Colorado Boulder; UK Research &amp; Innovation (UKRI); Natural Environment Research Council (NERC); NERC British Antarctic Survey; Bureau of Meteorology - Australia</t>
  </si>
  <si>
    <t>Lazzara, MA (corresponding author), Univ Wisconsin, Antarctic Meteorol Res Ctr, Space Sci &amp; Engn Ctr, Madison, WI 53704 USA.;Lazzara, MA (corresponding author), Madison Area Tech Coll, Dept Phys Sci, Madison, WI 53706 USA.</t>
  </si>
  <si>
    <t>mattl@ssec.wisc.edu</t>
  </si>
  <si>
    <t>Cassano, John/HKW-8817-2023; Werner, Kirstin/AAG-7386-2020; zou, xun/AAV-1306-2020</t>
  </si>
  <si>
    <t>Werner, Kirstin/0000-0001-5260-0348; Lazzara, Matthew/0000-0002-4343-498X</t>
  </si>
  <si>
    <t>International Association of Meteorology and Atmospheric Science (IAMAS)/International Commission on Polar Meteorology (ICPM), Scientific Committee on Antarctic Research (SCAR); World Meteorological Organization (WMO); Office of Polar Programs, National Science Foundation [NSF 1823135, 1924730, 192473, 1951603]; Directorate For Geosciences; Office of Polar Programs (OPP) [1951603, 1924730] Funding Source: National Science Foundation; NERC [bas0100032] Funding Source: UKRI</t>
  </si>
  <si>
    <t>International Association of Meteorology and Atmospheric Science (IAMAS)/International Commission on Polar Meteorology (ICPM), Scientific Committee on Antarctic Research (SCAR); World Meteorological Organization (WMO); Office of Polar Programs, National Science Foundation(National Science Foundation (NSF)); Directorate For Geosciences; Office of Polar Programs (OPP)(National Science Foundation (NSF)NSF - Directorate for Geosciences (GEO)); NERC(UK Research &amp; Innovation (UKRI)Natural Environment Research Council (NERC))</t>
  </si>
  <si>
    <t>The authors thank the International Association of Meteorology and Atmospheric Science (IAMAS)/International Commission on Polar Meteorology (ICPM), Scientific Committee on Antarctic Research (SCAR), and the World Meteorological Organization (WMO) for supporting these workshops. Thanks also to David BROMWICH and his colleagues from Polar Meteorology Group, Byrd Polar and Climate Research Center for hosting the meetings. Financial Support from the Office of Polar Programs, National Science Foundation (Grant No. NSF 1823135, 1924730, 192473, and 1951603), is greatly appreciated. This is a contribution to the Year of Polar Prediction (YOPP), a flagship activity of the Polar Prediction Project (PPP), initiated by the World Weather Research Programme (WWRP) of the WMO. We acknowledge the WMO WWRP for its role in coordinating this international research activity. The authors also thank the editor for their review helping to improve this report.</t>
  </si>
  <si>
    <t>0256-1530</t>
  </si>
  <si>
    <t>1861-9533</t>
  </si>
  <si>
    <t>ADV ATMOS SCI</t>
  </si>
  <si>
    <t>Adv. Atmos. Sci.</t>
  </si>
  <si>
    <t>10.1007/s00376-021-1384-4</t>
  </si>
  <si>
    <t>YU4HD</t>
  </si>
  <si>
    <t>WOS:000730875800001</t>
  </si>
  <si>
    <t>Han, XB; Han, XX; Li, ZH; Liu, ZY; Zhang, YC; Hu, LM</t>
  </si>
  <si>
    <t>Han, Xibin; Han, Xiaoxiao; Li, Zhihong; Liu, Zhiyong; Zhang, Yongcong; Hu, Liangming</t>
  </si>
  <si>
    <t>Determination and Assessment of Transuranic Isotopes (Pu, Np, Am) Activities and Isotopes Ratios in Antarctic Marine Sediments</t>
  </si>
  <si>
    <t>ACS EARTH AND SPACE CHEMISTRY</t>
  </si>
  <si>
    <t>Plutonium; Neptunium; Americium; Antarctica; Marine sediments</t>
  </si>
  <si>
    <t>PLUTONIUM ISOTOPES; VERTICAL-DISTRIBUTION; ROSS SEA; SETTLING PARTICLES; MASS-SPECTROMETRY; GLOBAL FALLOUT; ATOM RATIOS; AM-241; CS-137; AMERICIUM</t>
  </si>
  <si>
    <t>Due to the nuclear testing in the 20th century, a considerable amount of anthropogenic transuranic isotopes (Np-237, (239,240)pu, and Am-241) was produced, spread, and deposited in the natural environment including Antarctica. Here, activities of (239+240)pu, Np-237, and Am-241 in Antarctic marine sediments are determined by ICP-SFMS, ranging from 0.008 to 0.293 Bq/kg for Pu239+240, from 0.057 to 0.926 mBq/kg for Np-237, and from 0.027 to 0.277 Bq/kg for Am-241. The dominant source of Np-237, 239+240PU, and Am-241 in the study marine sediments is global fallout. Pu-239,Pu-240 atom ratio is measured to be 0.179 +/- 0.010 (n = 17) on average, which is consistent with the global fallout of the nuclear weapons tests. Average Np-237/Pu-239 atom ratio for global fallout is suggested as 0.221 (n = 58), which may be used as a new characteristic index to indicate the current source of Np in a certain region. Due to the different fractionations of Pu and Am by seawater and the enrichment efficiency of marine particles, (241)AM/Pu239+240 activity ratios in these samples (mean, 2.037 +/- 0.040; n = 17) are much higher than global fallout. In addition, Np-237/Pu-239 atom ratio and Am-241/Pu239+240 activity ratio are found to be positively correlated with the sampling depth. Furthermore, the correlation between organic matter and eight heavy metals with transuranic activities is revealed. The cold climate, latitude, and sediment properties have an important influence on the distributions of Np, Pu, and Am in these marine sediments of Antarctic.</t>
  </si>
  <si>
    <t>[Han, Xibin; Zhang, Yongcong; Hu, Liangming] Minist Nat Resources, Key Lab Submarine Geosci, Hangzhou 310012, Peoples R China; [Han, Xibin; Zhang, Yongcong; Hu, Liangming] Minist Nat Resources, Inst Oceanog 2, Hangzhou 310012, Peoples R China; [Han, Xiaoxiao; Li, Zhihong; Liu, Zhiyong] Soochow Univ, Sch Radiol &amp; Interdisciplinary Sci RAD X, Suzhou 215123, Peoples R China; [Han, Xiaoxiao; Li, Zhihong; Liu, Zhiyong] Soochow Univ, Collaborat Innovat Ctr Radiat Med Jiangsu Higher, Suzhou 215123, Peoples R China</t>
  </si>
  <si>
    <t>Ministry of Natural Resources of the People's Republic of China; Ministry of Natural Resources of the People's Republic of China; Soochow University - China; Soochow University - China</t>
  </si>
  <si>
    <t>Liu, ZY (corresponding author), Soochow Univ, Sch Radiol &amp; Interdisciplinary Sci RAD X, Suzhou 215123, Peoples R China.;Liu, ZY (corresponding author), Soochow Univ, Collaborat Innovat Ctr Radiat Med Jiangsu Higher, Suzhou 215123, Peoples R China.</t>
  </si>
  <si>
    <t>liuzy@suda.edu.cn</t>
  </si>
  <si>
    <t>Liu, Zhiyong/KGL-0050-2024; Li, Zhihong/O-7432-2018</t>
  </si>
  <si>
    <t>Liu, Zhiyong/0000-0002-7665-2166; Li, Zhihong/0000-0003-0655-0567</t>
  </si>
  <si>
    <t>National Science Foundation of China [41773004]; Jiangsu Provincial Key Laboratory of Radiation Medicine and Protection; Priority Academic Program Development of Jiangsu Higher Education Institutions (PAPD); Impact and Response of Antarctic Seas to Climate Change [IRASCC20202022]; Scientific Research Fund of the Second Institute of Oceanography; MNR [SZ21012, JJC2001, YJJC2003]</t>
  </si>
  <si>
    <t>National Science Foundation of China(National Natural Science Foundation of China (NSFC)); Jiangsu Provincial Key Laboratory of Radiation Medicine and Protection; Priority Academic Program Development of Jiangsu Higher Education Institutions (PAPD); Impact and Response of Antarctic Seas to Climate Change; Scientific Research Fund of the Second Institute of Oceanography; MNR</t>
  </si>
  <si>
    <t>The samples of this work were obtained by China's 29th, 30th, 31th, and 36th Antarctic Expedition Teams. We are very grateful to all of the scientific expedition staff, especially the teachers and students of the Marine Geology and the Geophysics Working Group, and all of the crew of the XUELONG and XUELONG2 icebreaker for their hard work in collecting sediment samples. We sincerely thank the Chinese Arctic and Antarctic Administration and Polar Research Institute of China for their great help in this research. This study was supported by grants from the National Science Foundation of China (41773004), the Jiangsu Provincial Key Laboratory of Radiation Medicine and Protection, the Priority Academic Program Development of Jiangsu Higher Education Institutions (PAPD), the Impact and Response of Antarctic Seas to Climate Change (IRASCC20202022), the Scientific Research Fund of the Second Institute of Oceanography, and MNR (SZ21012, JJC2001, and YJJC2003).</t>
  </si>
  <si>
    <t>2472-3452</t>
  </si>
  <si>
    <t>ACS EARTH SPACE CHEM</t>
  </si>
  <si>
    <t>ACS Earth Space Chem.</t>
  </si>
  <si>
    <t>DEC 16</t>
  </si>
  <si>
    <t>10.1021/acsearthspacechem.1c00314</t>
  </si>
  <si>
    <t>Chemistry, Multidisciplinary; Geochemistry &amp; Geophysics</t>
  </si>
  <si>
    <t>Chemistry; Geochemistry &amp; Geophysics</t>
  </si>
  <si>
    <t>ZB7IV</t>
  </si>
  <si>
    <t>WOS:000757012400018</t>
  </si>
  <si>
    <t>Gruber, N; Boyd, PW; Frölicher, TL; Vogt, M</t>
  </si>
  <si>
    <t>Gruber, Nicolas; Boyd, Philip W.; Froelicher, Thomas L.; Vogt, Meike</t>
  </si>
  <si>
    <t>Biogeochemical extremes and compound events in the ocean</t>
  </si>
  <si>
    <t>MARINE HEATWAVES; CLIMATE-CHANGE; PHYSIOLOGICAL-RESPONSES; BIOLOGICAL RESPONSES; MULTIPLE STRESSORS; DEAD-ZONE; ACIDIFICATION; TEMPERATURE; IMPACTS; OXYGEN</t>
  </si>
  <si>
    <t>The ocean is warming, losing oxygen and being acidified, primarily as a result of anthropogenic carbon emissions. With ocean warming, acidification and deoxygenation projected to increase for decades, extreme events, such as marine heatwaves, will intensify, occur more often, persist for longer periods of time and extend over larger regions. Nevertheless, our understanding of oceanic extreme events that are associated with warming, low oxygen concentrations or high acidity, as well as their impacts on marine ecosystems, remains limited. Compound eventsthat is, multiple extreme events that occur simultaneously or in close sequence-are of particular concern, as their individual effects may interact synergistically. Here we assess patterns and trends in open ocean extremes based on the existing literature as well as global and regional model simulations. Furthermore, we discuss the potential impacts of individual and compound extremes on marine organisms and ecosystems. We propose a pathway to improve the understanding of extreme events and the capacity of marine life to respond to them. The conditions exhibited by present extreme events may be a harbinger of what may become normal in the future. As a consequence, pursuing this research effort may also help us to better understand the responses of marine organisms and ecosystems to future climate change.</t>
  </si>
  <si>
    <t>[Gruber, Nicolas; Vogt, Meike] Swiss Fed Inst Technol, Inst Biogeochem &amp; Pollutant Dynam, Zurich, Switzerland; [Boyd, Philip W.] Univ Tasmania, Inst Marine &amp; Antarctic Studies, Hobart, Tas, Australia; [Froelicher, Thomas L.] Univ Bern, Climate &amp; Environm Phys, Bern, Switzerland; [Froelicher, Thomas L.] Univ Bern, Oeschger Ctr Climate Change Res, Bern, Switzerland</t>
  </si>
  <si>
    <t>Swiss Federal Institutes of Technology Domain; ETH Zurich; University of Tasmania; University of Bern; University of Bern</t>
  </si>
  <si>
    <t>Gruber, N (corresponding author), Swiss Fed Inst Technol, Inst Biogeochem &amp; Pollutant Dynam, Zurich, Switzerland.</t>
  </si>
  <si>
    <t>nicolas.gruber@env.ethz.ch</t>
  </si>
  <si>
    <t>Froelicher, Thomas/AAG-9598-2019; Gruber, Nicolas/B-7013-2009; Boyd, Philip/J-7624-2014</t>
  </si>
  <si>
    <t>Froelicher, Thomas/0000-0003-2348-7854; Gruber, Nicolas/0000-0002-2085-2310; Boyd, Philip/0000-0001-7850-1911</t>
  </si>
  <si>
    <t>Swiss National Science Foundation [PP00P2-198897]; European Union [820989]; Australian Research Council [FL160100131]; NSF; Swiss National Science Foundation (SNF) [PP00P2_198897] Funding Source: Swiss National Science Foundation (SNF)</t>
  </si>
  <si>
    <t>Swiss National Science Foundation(Swiss National Science Foundation (SNSF)); European Union(European Union (EU)); Australian Research Council(Australian Research Council); NSF(National Science Foundation (NSF)); Swiss National Science Foundation (SNF)</t>
  </si>
  <si>
    <t>N.G., M.V. and T.L.F. acknowledge support from the Swiss National Science Foundation (project XEBUS and PP00P2-198897), and from the European Union's Horizon 2020 research and innovation programme under grant agreement no. 820989 (project COMFORT). The work reflects only the authors' views; the European Commission and their executive agency are not responsible for any use that may be made of the information the work contains. P.W.B. was primarily supported by the Australian Research Council through a Laureate (FL160100131). P.W.B. also acknowledges support from NSF to the SCOR infrastructure project COBS (Changing Ocean Biological Systems). N.G. thanks F. Desmet, E. Kohn and J. Perreten for evaluating and analysing the regional ocean biogeochemical model simulations for the northeast Pacific Blob event. The GFDL ESM2M simulations were conducted by Friedrich Burger on the Swiss National Supercomputing Centre. We thank K. Fennel and A. Sen Gupta for their constructive reviews and inputs.</t>
  </si>
  <si>
    <t>10.1038/s41586-021-03981-7</t>
  </si>
  <si>
    <t>XP3FN</t>
  </si>
  <si>
    <t>WOS:000730754700020</t>
  </si>
  <si>
    <t>Ejaz, T; Rahaman, W; Laluraj, CM; Mahalinganathan, K; Thamban, M</t>
  </si>
  <si>
    <t>Ejaz, Tariq; Rahaman, Waliur; Laluraj, C. M.; Mahalinganathan, K.; Thamban, Meloth</t>
  </si>
  <si>
    <t>Sea Ice Variability and Trends in the Western Indian Ocean Sector of Antarctica During the Past Two Centuries and Its Response to Climatic Modes</t>
  </si>
  <si>
    <t>STABLE-ISOTOPE RECORDS; DRONNING MAUD LAND; SOUTHERN-OCEAN; ATMOSPHERIC CIRCULATION; SURFACE-TEMPERATURE; MOISTURE TRANSPORT; VOLCANIC-ERUPTIONS; EAST ANTARCTICA; OZONE HOLE; CORE</t>
  </si>
  <si>
    <t>Antarctic sea ice is a critical component of the ocean-climate system. Sea ice concentration (SIC) records of various oceanic sectors of Antarctica available since 1979 reveal dramatic changes in recent years; however, there is no consensus yet on drivers of sea ice variability, changes and their future projections. The lack of long-term SIC records has impeded the quantification of sea ice variability, trends and various forcing factors and mechanisms. Here, we present a long-term SIC record (1809-1993 CE) for the Western Indian Ocean Sector (WIOS) of Antarctica derived from a new ice core oxygen isotope (delta O-18) record together with three available records from Dronning Maud Land (DML), East Antarctica. This long-term SIC record at annual resolution reveals a significant decline during 1830-1884 CE with a rate of 0.58% +/- 0.12% decade(-1) followed by moderate increase during 1927-1993 CE with a rate of 0.24% +/- 0.11% decade(-1). Current satellite-derived SIC records reveal an increase of 2.59 +/- 0.86% decade(-1 )during 1994-2014 CE, which is unprecedented over the last two centuries as determined by the ice core-derived SIC record. The satellite and ice core combined SIC record (1809-2019 CE) also reveals a significant increase in interannual variability at El Nino Southern Oscillation band and decadal variability at 16-32 years band in the last few decades. Our investigation suggests that wind-driven sea-ice dynamics associated with switching phases of Southern Annular Mode and remote teleconnections of Pacific oscillations largely control the interannual to decadal sea ice variability in this region. Plain Language Summary Antarctic sea ice plays a vital role in modulating the global climate. Antarctic sea ice observation from satellites available since 1979 shows rapid changes in various oceanic sectors. However, to understand the long-term annual sea ice variations, we have to rely on proxy records. In this study, annual sea ice concentrations (SIC) are reconstructed for the Western Indian Ocean Sector (WIOS) of Antarctica based on a new coastal ice core oxygen isotope (delta O-18) record together with previously available records. We provide the first long-term SIC record of the past two centuries (1809-1993 CE) at annual resolution, which shows a significant decline during 1830-1884 CE followed by a moderate increase during 1927-1993 CE. Our record (1809-1993 CE) combined with satellite record (1994-2019 CE) shows a dramatic increase in recent decades (1994-2014 CE), which is mainly influenced by the wind-driven sea-ice dynamics related to the positive shifting of Southern Annular Mode (SAM) and increasing El Nino Southern Oscillation (ENSO) events. Our study suggests a larger role of SAM-ENSO teleconnections in modulating interannual to decadal sea-ice variability over the WIOS during the past two centuries.</t>
  </si>
  <si>
    <t>[Ejaz, Tariq; Rahaman, Waliur; Laluraj, C. M.; Mahalinganathan, K.; Thamban, Meloth] Minist Earth Sci, Natl Ctr Polar &amp; Ocean Res, Vasco Da Gama, Goa, India; [Ejaz, Tariq] Goa Univ, Sch Earth Ocean &amp; Atmospher Sci, Taleigao, Goa, India</t>
  </si>
  <si>
    <t>Ministry of Earth Sciences (MoES) - India; National Centre for Polar and Ocean Research (NCPOR); Goa University</t>
  </si>
  <si>
    <t>Ejaz, T (corresponding author), Minist Earth Sci, Natl Ctr Polar &amp; Ocean Res, Vasco Da Gama, Goa, India.;Ejaz, T (corresponding author), Goa Univ, Sch Earth Ocean &amp; Atmospher Sci, Taleigao, Goa, India.</t>
  </si>
  <si>
    <t>tariq@ncpor.res.in</t>
  </si>
  <si>
    <t>Thamban, Meloth/0000-0003-3379-8189; Kanthanathan, Mahalinganathan/0000-0003-3407-3972; ejaz, Tariq/0000-0003-3926-5447; , Dr Laluraj C M/0000-0001-6826-0608</t>
  </si>
  <si>
    <t>Ministry of Earth Sciences (Government of India); HRDGCSIR</t>
  </si>
  <si>
    <t>Ministry of Earth Sciences (Government of India)(Ministry of Earth Science (MoES), Government of India); HRDGCSIR</t>
  </si>
  <si>
    <t>Acknowledgments We thank the Director of National Centre for Polar and Ocean Research for encouragement and the Ministry of Earth Sciences (Government of India) for the financial support for the project Cryosphere and Climate. We acknowledge BL Redkar for ice core drilling and laboratory support and A.H Paiguinkar for laboratory support. We acknowledge Ashutosh Acharya for support in plotting Figure 7a. We gratefully acknowledge Dr. Sudhir Kumar from National Institute of Hydrology, Roorkee for tritium analysis. PAGES 2k for ice core data, C Torrence, GP Compo, A Grinsted, JC Moore, and S Jevrejeva, for Wavelet software, Norwegian Polar Institute for Quantarctica software package and Climate ReanalyzerT software (https://ClimateReanalyzer.org), Climate Change Institute, University of Maine, USA. TE acknowledges HRDGCSIR for a research fellowship grant and Prof. Kotha Mahender (Goa University) for guidance. We thank anonymous reviewers for their useful comments and suggestions. This is NCPOR contribution No. J-63/2021-22.</t>
  </si>
  <si>
    <t>2020JD033943</t>
  </si>
  <si>
    <t>10.1029/2020JD033943</t>
  </si>
  <si>
    <t>XO2BI</t>
  </si>
  <si>
    <t>WOS:000729996000023</t>
  </si>
  <si>
    <t>Fyffe, CL; Potter, E; Fugger, S; Orr, A; Fatichi, S; Loarte, E; Medina, K; Hellström, RA; Bernat, M; Aubry-Wake, C; Gurgiser, W; Perry, LB; Suarez, W; Quincey, DJ; Pellicciotti, F</t>
  </si>
  <si>
    <t>Fyffe, Catriona L.; Potter, Emily; Fugger, Stefan; Orr, Andrew; Fatichi, Simone; Loarte, Edwin; Medina, Katy; Hellstroem, Robert A.; Bernat, Maud; Aubry-Wake, Caroline; Gurgiser, Wolfgang; Baker Perry, L.; Suarez, Wilson; Quincey, Duncan J.; Pellicciotti, Francesca</t>
  </si>
  <si>
    <t>The Energy and Mass Balance of Peruvian Glaciers</t>
  </si>
  <si>
    <t>energy balance; Peruvian glaciers; mass balance; climate change; Cordillera Blanca; Cordillera Vilcanota</t>
  </si>
  <si>
    <t>TROPICAL CORDILLERA-BLANCA; LAND-SURFACE SCHEME; MELTWATER CONTRIBUTION; STREAM DISCHARGE; ANDEAN GLACIERS; SHALLAP GLACIER; CLIMATE-CHANGE; PRECIPITATION; RADIATION; MODEL</t>
  </si>
  <si>
    <t>Peruvian glaciers are important contributors to dry season runoff for agriculture and hydropower, but they are at risk of disappearing due to climate change. We applied a physically based, energy balance melt model at five on-glacier sites within the Peruvian Cordilleras Blanca and Vilcanota. Net shortwave radiation dominates the energy balance, and despite this flux being higher in the dry season, melt rates are lower due to losses from net longwave radiation and the latent heat flux. The sensible heat flux is a relatively small contributor to melt energy. At three of the sites the wet season snowpack was discontinuous, forming and melting within a daily to weekly timescale, and resulting in highly variable melt rates closely related to precipitation dynamics. Cold air temperatures due to a strong La Nina year at Shallap Glacier (Cordillera Blanca) resulted in a continuous wet season snowpack, significantly reducing wet season ablation. Sublimation was most important at the highest site in the accumulation zone of the Quelccaya Ice Cap (Cordillera Vilcanota), accounting for 81% of ablation, compared to 2%-4% for the other sites. Air temperature and precipitation inputs were perturbed to investigate the climate sensitivity of the five glaciers. At the lower sites warmer air temperatures resulted in a switch from snowfall to rain, so that ablation was increased via the decrease in albedo and increase in net shortwave radiation. At the top of Quelccaya Ice Cap warming caused melting to replace sublimation so that ablation increased nonlinearly with air temperature.</t>
  </si>
  <si>
    <t>[Fyffe, Catriona L.; Pellicciotti, Francesca] Northumbria Univ, Engn &amp; Environm, Newcastle Upon Tyne, Tyne &amp; Wear, England; [Potter, Emily; Quincey, Duncan J.] Univ Leeds, Sch Geog, Leeds, W Yorkshire, England; [Fugger, Stefan; Bernat, Maud; Pellicciotti, Francesca] Swiss Fed Inst Forest Snow &amp; Landscape Res, Zurich, Switzerland; [Fugger, Stefan] Swiss Fed Inst Technol, Inst Environm Engn, Zurich, Switzerland; [Orr, Andrew] British Antarctic Survey, Cambridge, England; [Fatichi, Simone] Natl Univ Singapore, Dept Civil &amp; Environm Engn, Singapore, Singapore; [Loarte, Edwin; Medina, Katy] Inst Nacl Invest Glaciares &amp; Ecosistemas Montana, Huaraz, Peru; [Hellstroem, Robert A.] Bridgewater State Univ, Bridgewater, MA USA; [Bernat, Maud] Mines Paris Tech, Earth Sci &amp; Environm, Paris, France; [Aubry-Wake, Caroline] Univ Saskatchewan, Canmore, AB, Canada; [Gurgiser, Wolfgang] Univ Innsbruck, Dept Atmospher &amp; Cryospher Sci, Innsbruck, Austria; [Baker Perry, L.] Appalachian State Univ, Boone, NC 28608 USA; [Suarez, Wilson] Serv Nacl Meteorol &amp; Hidrol Peru, Lima, Peru</t>
  </si>
  <si>
    <t>Northumbria University; University of Leeds; Swiss Federal Institutes of Technology Domain; Swiss Federal Institute for Forest, Snow &amp; Landscape Research; Swiss Federal Institutes of Technology Domain; ETH Zurich; UK Research &amp; Innovation (UKRI); Natural Environment Research Council (NERC); NERC British Antarctic Survey; National University of Singapore; Massachusetts System of Public Higher Education; Bridgewater State University; Universite PSL; MINES ParisTech; University of Saskatchewan; University of Innsbruck; University of North Carolina; Appalachian State University; Servicio Nacional de Meteorologia Hidrologia del Peru (SENAMHI)</t>
  </si>
  <si>
    <t>Fyffe, CL (corresponding author), Northumbria Univ, Engn &amp; Environm, Newcastle Upon Tyne, Tyne &amp; Wear, England.</t>
  </si>
  <si>
    <t>catriona.fyffe@northumbria.ac.uk</t>
  </si>
  <si>
    <t>Loarte, Edwin/GZB-0539-2022; Suarez, Wilson/JPY-4299-2023; Loarte, Edwin/JAC-6819-2023</t>
  </si>
  <si>
    <t>Suarez, Wilson/0000-0002-3409-790X; Potter, Emily/0000-0001-5273-1292; Medina Marcos, Katy Damacia/0000-0002-2910-6808; Fatichi, Simone/0000-0003-1361-6659; Hellstrom, Robert/0000-0002-6004-5177; LOARTE CADENAS, EDWIN ANIBAL/0000-0003-3123-1904; Gurgiser, Wolfgang/0000-0003-1150-344X; Fyffe, Catriona/0000-0001-6950-3501; Quincey, Duncan/0000-0002-7602-7926</t>
  </si>
  <si>
    <t>NERC [NE/S013296/1, NE/S013318/1]; CONCYTEC through the Newton-Paulet Fund; FONDECYT [08-2019-FONDECYT, E031-2018-01-NERC]; NERC [NE/S013296/1, NE/S013318/1, bas0100032] Funding Source: UKRI</t>
  </si>
  <si>
    <t>NERC(UK Research &amp; Innovation (UKRI)Natural Environment Research Council (NERC)); CONCYTEC through the Newton-Paulet Fund; FONDECYT(Comision Nacional de Investigacion Cientifica y Tecnologica (CONICYT)CONICYT FONDECYT); NERC(UK Research &amp; Innovation (UKRI)Natural Environment Research Council (NERC))</t>
  </si>
  <si>
    <t>This work was conducted under the Peru GROWS and PEGASUS projects, which were both funded by NERC (grants NE/S013296/1 and NE/S013318/1, respectively) and CONCYTEC through the Newton-Paulet Fund. The Peruvian part of the Peru GROWS project was conducted within the framework of the call E031-2018-01-NERC Glacier Research Circles, through its executing unit FONDECYT (Contract N degrees 08-2019-FONDECYT). We thank Alejo Cochachin and Autoridad Nacional del Agua (ANA), Peru for providing stake data for the Shallap and Artesonraju Glaciers. We also thank Nilton Montoya and Sandro Arias (SENAMHI) for their management of the Quisoquipina Glacier and Quelccaya Ice Cap meteorological stations, and to SENAMHI for allowing the use of the Quisoquipina data. In addition, we thank Victor Raul Rojas Pozo and Gladis Celmi Henostroza for providing the shapefiles used to analyze the WRF data. We are grateful to Evan Miles for supporting the derivation of the snowline elevations for both catchments. Esteban Sagredo kindly provided the data on South American glaciers used within Figure 9 and we thank Alvaro Ayala for providing meteorological data for the Guanaco, Yeso, and Juncal Norte Glaciers given in Table S12 in Supporting Information S1 and Figure 9.</t>
  </si>
  <si>
    <t>e2021JD034911</t>
  </si>
  <si>
    <t>10.1029/2021JD034911</t>
  </si>
  <si>
    <t>WOS:000729996000008</t>
  </si>
  <si>
    <t>Hines, KM; Bromwich, DH; Silber, I; Russell, LM; Bai, LS</t>
  </si>
  <si>
    <t>Hines, Keith M.; Bromwich, David H.; Silber, Israel; Russell, Lynn M.; Bai, Lesheng</t>
  </si>
  <si>
    <t>Predicting Frigid Mixed-Phase Clouds for Pristine Coastal Antarctica</t>
  </si>
  <si>
    <t>supercooled liquid; clouds; Antarctica; Polar WRF; microphysics; data assimilation</t>
  </si>
  <si>
    <t>POLAR WEATHER RESEARCH; SECONDARY ICE PRODUCTION; FORECASTING WRF MODEL; SOUTHERN-OCEAN; PART I; ARCTIC CLOUDS; SUMMER CLOUDS; ROSS ISLAND; MICROPHYSICS; CLIMATE</t>
  </si>
  <si>
    <t>Supercooled water is common in the clouds near coastal Antarctica and occasionally occurs at temperatures at or below -30 degrees C. Yet the ice physics in most regional and global numerical models will glaciate out these clouds. This presents a challenge for the simulation of highly supercooled clouds that were observed at McMurdo, Antarctica during the Atmospheric Radiation Measurement (ARM) West Antarctic Radiation Experiment (AWARE) project during 2015-2017. The polar optimized version of the Weather Research and Forecasting model (Polar WRF) with the recently developed two-moment P3 microphysics scheme was used to simulate observed supercooled liquid water cases during March and November 2016. Nudging of the simulations to observed rawinsonde profiles and Antarctic automatic weather station observations provided increased realism and much greater cloud water amounts. Sensitivity tests that adjust the ice physics for extremely low ice nucleating particle (INP) concentrations decrease cloud ice and increases the cloud liquid water closer to observed amounts. In these tests, a liquid layer near cloud top is simulated, in agreement with observations. Accurate representation of INP concentrations appears to be critical for the simulation of coastal Antarctic clouds.</t>
  </si>
  <si>
    <t>[Hines, Keith M.; Bromwich, David H.; Bai, Lesheng] Ohio State Univ, Byrd Polar &amp; Amp Climate Res Ctr, Polar Meteorol Grp, Columbus, OH 43210 USA; [Bromwich, David H.] Ohio State Univ, Dept Geog, Atmospher Sci Program, Columbus, OH 43210 USA; [Silber, Israel] Penn State Univ, Dept Meterol &amp; Atmospher Sci, University Pk, PA 16802 USA; [Russell, Lynn M.] Univ Calif San Diego, Scripps Inst Oceanog, La Jolla, CA 92093 USA</t>
  </si>
  <si>
    <t>University System of Ohio; Ohio State University; University System of Ohio; Ohio State University; Pennsylvania Commonwealth System of Higher Education (PCSHE); Pennsylvania State University; Pennsylvania State University - University Park; University of California System; University of California San Diego; Scripps Institution of Oceanography</t>
  </si>
  <si>
    <t>Hines, KM (corresponding author), Ohio State Univ, Byrd Polar &amp; Amp Climate Res Ctr, Polar Meteorol Grp, Columbus, OH 43210 USA.</t>
  </si>
  <si>
    <t>hines.91@osu.edu</t>
  </si>
  <si>
    <t>Silber, Israel/0000-0001-6588-2145; Hines, Keith/0000-0003-2901-621X; Russell, Lynn/0000-0002-6108-2375</t>
  </si>
  <si>
    <t>DOE [DE-SC0017981, DE-SC0018046]; NSF Office of Polar Programs [PLR-1443443]; State of Ohio; U.S. Department of Energy (DOE) [DE-SC0018046] Funding Source: U.S. Department of Energy (DOE)</t>
  </si>
  <si>
    <t>DOE(United States Department of Energy (DOE)); NSF Office of Polar Programs(National Science Foundation (NSF)); State of Ohio; U.S. Department of Energy (DOE)(United States Department of Energy (DOE))</t>
  </si>
  <si>
    <t>This research is supported by the DOE grant DE-SC0017981 and NSF Office of Polar Programs grant PLR-1443443. Numerical simulations were performed at the Ohio Supercomputer Center, which is supported by the State of Ohio. The authors thank Matthew Lazarra for assisting with Antarctic data. I. Silber was supported by DOE grants DE-SC0017981 and DE-SC0018046. This is Contribution 1606 of the Byrd Polar &amp; Climate Research Center.</t>
  </si>
  <si>
    <t>e2021JD035112</t>
  </si>
  <si>
    <t>10.1029/2021JD035112</t>
  </si>
  <si>
    <t>WOS:000729996000024</t>
  </si>
  <si>
    <t>Kino, K; Okazaki, A; Cauquoin, A; Yoshimura, K</t>
  </si>
  <si>
    <t>Kino, Kanon; Okazaki, Atsushi; Cauquoin, Alexandre; Yoshimura, Kei</t>
  </si>
  <si>
    <t>Contribution of the Southern Annular Mode to Variations in Water Isotopes of Daily Precipitation at Dome Fuji, East Antarctica</t>
  </si>
  <si>
    <t>stable water isotopes; Antarctica; Southern Annular Mode; GCM; ice core; proxy</t>
  </si>
  <si>
    <t>GENERAL-CIRCULATION MODEL; TURBULENCE CLOSURE-MODEL; WESTERLY WIND CHANGES; STABLE-ISOTOPES; ICE CORES; CLIMATE VARIABILITY; DEUTERIUM EXCESS; SYNOPTIC REGIME; SURFACE SNOW; TEMPERATURE</t>
  </si>
  <si>
    <t>Water isotopes measured in Antarctic ice cores enable reconstruction at the first order of the past temperature variations. However, the seasonality of the precipitation and episodic events, including synoptic-scale disturbances, influence the isotopic signals recorded in ice cores. In this study, we adopted an isotope-enabled atmospheric general circulation model from 1981 to 2010 to investigate variations in climatic factors in delta O-18 of precipitation (delta O-18(p)) at Dome Fuji, East Antarctica. The Southern Annular Mode (SAM), the primary mode of atmospheric circulation in the southern midhigh latitudes, significantly contributes to the isotope signals. Positive delta O-18(p) anomalies, especially in the austral winter, are linked to the negative polarity of the SAM, which weakens westerly winds and increases the southward inflow of water vapor flux. Daily variations in temperature and delta O-18(p) in Dome Fuji are significantly small in the austral summer, and their contribution to the annual signals is limited. The isotope signals driven by the SAM are a locational feature of Dome Fuji, related to the asymmetric component of the large-scale atmospheric pattern.</t>
  </si>
  <si>
    <t>[Kino, Kanon; Cauquoin, Alexandre] Univ Tokyo, Atmosphere &amp; Ocean Res Inst, Kashiwa, Chiba, Japan; [Kino, Kanon; Cauquoin, Alexandre; Yoshimura, Kei] Univ Tokyo, Inst Ind Sci, Kashiwa, Chiba, Japan; [Okazaki, Atsushi] Hirosaki Univ, Hirosaki, Aomori, Japan</t>
  </si>
  <si>
    <t>University of Tokyo; University of Tokyo; Hirosaki University</t>
  </si>
  <si>
    <t>Kino, K (corresponding author), Univ Tokyo, Atmosphere &amp; Ocean Res Inst, Kashiwa, Chiba, Japan.;Kino, K (corresponding author), Univ Tokyo, Inst Ind Sci, Kashiwa, Chiba, Japan.</t>
  </si>
  <si>
    <t>kanon@aori.u-tokyo.ac.jp</t>
  </si>
  <si>
    <t>Cauquoin, Alexandre/HCH-9930-2022; Kino, Kanon/AAD-7999-2022; Yoshimura, Kei/F-2041-2010</t>
  </si>
  <si>
    <t>Cauquoin, Alexandre/0000-0002-4620-4696; Kino, Kanon/0000-0003-1853-2948; Okazaki, Atushi/0000-0002-4598-0589</t>
  </si>
  <si>
    <t>Japan Society for the Promotion of Science (JSPS) [17K14397, 19J14488, 19F19024, 21H05002]; DFG; Ministry of Education, Culture, Sports, Science and Technology (MEXT), Japan [JPMXD0716808979, JPMXD1420318865, JPMXD0717935457]; Environment Research and Technology Development Fund S-20 from the Environmental Restoration and Conservation Agency of Japan [JPMEERF21S12020]; Grants-in-Aid for Scientific Research [21H05002, 19F19024, 19J14488, 17K14397] Funding Source: KAKEN</t>
  </si>
  <si>
    <t>Japan Society for the Promotion of Science (JSPS)(Ministry of Education, Culture, Sports, Science and Technology, Japan (MEXT)Japan Society for the Promotion of Science); DFG(German Research Foundation (DFG)); Ministry of Education, Culture, Sports, Science and Technology (MEXT), Japan(Ministry of Education, Culture, Sports, Science and Technology, Japan (MEXT)); Environment Research and Technology Development Fund S-20 from the Environmental Restoration and Conservation Agency of Japan; Grants-in-Aid for Scientific Research(Ministry of Education, Culture, Sports, Science and Technology, Japan (MEXT)Japan Society for the Promotion of ScienceGrants-in-Aid for Scientific Research (KAKENHI))</t>
  </si>
  <si>
    <t>The first author was supported by the Japan Society for the Promotion of Science (JSPS) via a Grant-in-Aid for JSPS Fellows. This work was supported by the Japan Society for the Promotion of Science (JSPS) via Grants-in-Aid 17K14397, 19J14488, 19F19024, 21H05002, and JRPs-LEAD with DFG, and the Integrated Research Program for Advancing Climate Models (TOUGOU) Grant Number JPMXD0717935457, ArCS II (Program Grant Number JPMXD1420318865), DIAS (Grant Number JPMXD0716808979) from the Ministry of Education, Culture, Sports, Science and Technology (MEXT), Japan, and the Environment Research and Technology Development Fund S-20 (Grant Number JPMEERF21S12020) from the Environmental Restoration and Conservation Agency of Japan. We also thank Ayako Abe-Ouchi, Koji Fujita, Masahide Kimoto, and two anonymous reviewers for their constructive comments.</t>
  </si>
  <si>
    <t>e2021JD035397</t>
  </si>
  <si>
    <t>10.1029/2021JD035397</t>
  </si>
  <si>
    <t>WOS:000729996000037</t>
  </si>
  <si>
    <t>Qin, YS; Gu, SY; Dou, XK</t>
  </si>
  <si>
    <t>Qin, Yusong; Gu, Sheng-Yang; Dou, Xiankang</t>
  </si>
  <si>
    <t>A New Mechanism for the Generation of Quasi-6-Day and Quasi-10-Day Waves During the 2019 Antarctic Sudden Stratospheric Warming</t>
  </si>
  <si>
    <t>Antarctic SSW; Q6DW; Q10DW; nonlinear interaction</t>
  </si>
  <si>
    <t>PLANETARY WAVE; MIDDLE ATMOSPHERE; MESOSPHERE; CLIMATOLOGY; VARIABILITY; STATIONARY; PERIOD; OSCILLATIONS; PROPAGATION; TIMED/SABER</t>
  </si>
  <si>
    <t>Using the Modern-Era Retrospective analysis for Research and Applications version 2 reanalysis and Aura Microwave Limb Sounder geopotential height and temperature observations, two unusual planetary waves (PWs) with westward zonal wavenumber 1 (W1) and periods of similar to 6.0 and similar to 9.6 days are identified during a rare Antarctic sudden stratospheric warming (SSW) event in September 2019, which follow a strong W1 PW with period of similar to 7.4 days. It is found that the W1 similar to 7.4-day wave is actually the representation of the climatological W1 quasi-6-day wave before the September equinox, which peaks on September 10, 2019. Meanwhile, a strong zonally symmetric wave with period of similar to 32.2 days occurs in the Southern Hemisphere with a maximum zonal wind amplitude of similar to 27 m/s at 65 degrees S and 48 km. Interestingly, the frequencies and zonal wavenumbers of the W1 similar to 7.4-day, similar to 6.0-day, similar to 9.6-day and zonally symmetric similar to 32.2-day waves exactly satisfy the nonlinear interaction theory between PWs. We thus proposed for the first time the occurrence of nonlinear interaction between a W1 similar to 7.4-day wave and a zonally symmetric similar to 32.2-day wave, which generates two W1 PWs with periods of similar to 6.0 and similar to 9.6 days. The Eliassen-Palm flux diagnostics suggest that the zonally symmetric similar to 32.2-day wave also contributes to the wind deceleration during this SSW. Moreover, the baroclinic/barotropic instabilities related to the vertical shear in the zonal wind during the SSW considerably enhance the PW activities in the Antarctic stratosphere. The climatological variations of the instabilities and critical layers in the mesosphere can also influence the propagation of these three W1 PWs.</t>
  </si>
  <si>
    <t>[Qin, Yusong; Gu, Sheng-Yang; Dou, Xiankang] Wuhan Univ, Elect Informat Sch, Wuhan, Peoples R China</t>
  </si>
  <si>
    <t>Gu, SY (corresponding author), Wuhan Univ, Elect Informat Sch, Wuhan, Peoples R China.</t>
  </si>
  <si>
    <t>gushengyang@whu.edu.cn</t>
  </si>
  <si>
    <t>Qin, Yusong/P-2229-2018; Dou, xiankang/M-9106-2013</t>
  </si>
  <si>
    <t>Qin, Yusong/0000-0002-9627-2996;</t>
  </si>
  <si>
    <t>National Natural Science Foundation of China [41874181, 41831071]</t>
  </si>
  <si>
    <t>This work is funded by the National Natural Science Foundation of China (41874181 and 41831071).</t>
  </si>
  <si>
    <t>e2021JD035568</t>
  </si>
  <si>
    <t>10.1029/2021JD035568</t>
  </si>
  <si>
    <t>WOS:000729996000009</t>
  </si>
  <si>
    <t>Tetzner, DR; Thomas, ER; Allen, CS; Piermattei, A</t>
  </si>
  <si>
    <t>Tetzner, Dieter R.; Thomas, Elizabeth R.; Allen, Claire S.; Piermattei, Alma</t>
  </si>
  <si>
    <t>Evidence of Recent Active Volcanism in the Balleny Islands (Antarctica) From Ice Core Records</t>
  </si>
  <si>
    <t>ice cores; Antarctic Peninsula; West Antarctica; volcanic eruption; tephra; sub-Antarctic Island</t>
  </si>
  <si>
    <t>EAST ANTARCTICA; WEST ANTARCTICA; EXPLOSIVE VOLCANISM; TEPHRA LAYERS; AMUNDSEN SEA; ROSS SEA; DOME; VARIABILITY; SULFATE; SNOW</t>
  </si>
  <si>
    <t>Volcanism can play a key role in modulating climate; however, a lack of historical records has limited our comprehension of Antarctic volcanism and its role on the cryosphere. Remote sensing can provide insight into active volcanism in Antarctica during the satellite era, although the evidence is often inconclusive. Here, we use independent evidence from ice cores to validate one such potential volcanic eruption from the sub-Antarctic Balleny Islands in 2001 CE. Multiple ice cores from downwind of the eruption site, record elevated input of sulfate, microparticles, and the presence of tephra, coincident with the eruption. In-phase deposition of volcanic products confirmed a rapid tropospheric transport of volcanic emissions from a small-to-moderate, local eruption during 2001. Air mass trajectories demonstrated some air parcels were transported over the West Antarctic ice sheet from the Balleny Islands to ice core sites at the time of the potential eruption, establishing a route for transport and deposition of volcanic products over the ice sheet. The data presented here validate previous remote sensing observations and confirms a volcanic event in the Balleny Islands during 2001 CE. This newly identified eruption provides a case study of recent Antarctic volcanism.</t>
  </si>
  <si>
    <t>[Tetzner, Dieter R.; Thomas, Elizabeth R.; Allen, Claire S.] British Antarctic Survey, Cambridge, England; [Tetzner, Dieter R.] Univ Cambridge, Dept Earth Sci, Cambridge, England; [Piermattei, Alma] Univ Cambridge, Dept Geog, Cambridge, England</t>
  </si>
  <si>
    <t>UK Research &amp; Innovation (UKRI); Natural Environment Research Council (NERC); NERC British Antarctic Survey; University of Cambridge; University of Cambridge</t>
  </si>
  <si>
    <t>Tetzner, DR (corresponding author), British Antarctic Survey, Cambridge, England.;Tetzner, DR (corresponding author), Univ Cambridge, Dept Earth Sci, Cambridge, England.</t>
  </si>
  <si>
    <t>dietet95@bas.ac.uk</t>
  </si>
  <si>
    <t>Piermattei, Alma/AAQ-7143-2020; Thomas, Elizabeth Ruth/ADF-3660-2022</t>
  </si>
  <si>
    <t>Piermattei, Alma/0000-0002-7704-8382; Thomas, Elizabeth Ruth/0000-0002-3010-6493</t>
  </si>
  <si>
    <t>CONICYT-Becas Chile [72180432]; Cambridge Trust [72180432]</t>
  </si>
  <si>
    <t>CONICYT-Becas Chile(Comision Nacional de Investigacion Cientifica y Tecnologica (CONICYT)); Cambridge Trust</t>
  </si>
  <si>
    <t>The authors would like to thank Professor Christine Lane from the Geography Department, University of Cambridge, for her help with cryptotephra shard identification. The authors would like to thank Jorge Romero from the University of Manchester for his help with initial cryptotephra shard identification. The authors would like to thank Professor Eric Wolff from the Earth Sciences Department, University of Cambridge, for his comments and suggestions during the final reviewing and editing of the submitted manuscript. The authors would like to thank the Ice core Lab staff from the British Antarctic Survey, for their help while processing the Jurassic ice core. The authors highly appreciate the time and consideration of three reviewers, Professor John Smellie and two anonymous reviewers, who provided constructive comments and observations that helped improve this manuscript. The authors are also grateful to Professor John Smellie for providing the description of the geology of Sturge Island. This research was funded by CONICYT-Becas Chile and Cambridge Trust funding program for Ph.D. studies. Grant number 72180432.</t>
  </si>
  <si>
    <t>e2021JD035095</t>
  </si>
  <si>
    <t>10.1029/2021JD035095</t>
  </si>
  <si>
    <t>WOS:000729996000014</t>
  </si>
  <si>
    <t>Schroeder, DM; Broome, AL; Conger, A; Lynch, A; Mackie, EJ; Tarzona, A</t>
  </si>
  <si>
    <t>Schroeder, Dustin M.; Broome, Anna L.; Conger, Annabel; Lynch, Acacia; Mackie, Emma J.; Tarzona, Angelo</t>
  </si>
  <si>
    <t>Radiometric analysis of digitized Z-scope records in archival radar sounding film</t>
  </si>
  <si>
    <t>Aerogeophysical measurements; ice shelves; ice thickness measurements; radio-echo sounding; subglacial lakes</t>
  </si>
  <si>
    <t>ICE-SHEET; THWAITES GLACIER; BASAL CONDITIONS; OCEAN ACCESS; BENEATH; ANTARCTICA; ATTENUATION; VOSTOK; STREAM; DEPTH</t>
  </si>
  <si>
    <t>The earliest airborne geophysical campaigns over Antarctica and Greenland in the 1960s and 1970s collected ice penetrating radar data on 35 mm optical film. Early subglacial topographic and englacial stratigraphic analyses of these data were foundational to the field of radioglaciology. Recent efforts to digitize and release these data have resulted in geometric and ice-thickness analysis that constrain subsurface change over multiple decades but stop short of radiometric interpretation. The primary challenge for radiometric analysis is the poorly-characterized compression applied to Z-scope records and the sparse sampling of A-scope records. Here, we demonstrate the information richness and radiometric interpretability of Z-scope records. Z-scope pixels have uncalibrated fast-time, slow-time, and intensity scales. We develop approaches for mapping each of these scales to physical units (microseconds, seconds, and signal to noise ratio). We then demonstrate the application of this calibration and analysis approach to a flight in the interior of East Antarctica with subglacial lakes and to a reflight of an East Antarctic ice shelf that was observed by both archival and modern radar. These results demonstrate the potential use of Z-scope signals to extend the baseline of radiometric observations of the subsurface by decades.</t>
  </si>
  <si>
    <t>[Schroeder, Dustin M.; Conger, Annabel; Lynch, Acacia; Mackie, Emma J.; Tarzona, Angelo] Stanford Univ, Dept Geophys, Stanford, CA 94305 USA; [Schroeder, Dustin M.; Broome, Anna L.] Stanford Univ, Dept Elect Engn, Stanford, CA 94305 USA; [Tarzona, Angelo] Georgia Inst Technol, Sch Earth &amp; Atmospher Sci, Atlanta, GA USA</t>
  </si>
  <si>
    <t>Stanford University; Stanford University; University System of Georgia; Georgia Institute of Technology</t>
  </si>
  <si>
    <t>Schroeder, DM (corresponding author), Stanford Univ, Dept Geophys, Stanford, CA 94305 USA.;Schroeder, DM (corresponding author), Stanford Univ, Dept Elect Engn, Stanford, CA 94305 USA.</t>
  </si>
  <si>
    <t>dustin.m.schroeder@stanford.edu</t>
  </si>
  <si>
    <t>Schroeder, Dustin/0000-0003-1916-3929; MacKie, Emma/0000-0002-6303-5249; Broome, Anna/0000-0001-6803-2883</t>
  </si>
  <si>
    <t>NSF [1745137]; Heising-Simons Foudation [2020-1771]; Stanford Summer Undergraduate Research in Geoscience and Engineering Program; Stanford Earth Summer Undergraduate Research Program; National Defense Science and Engineering Graduate Fellowship Program; Office of Polar Programs (OPP); Directorate For Geosciences [1745137] Funding Source: National Science Foundation</t>
  </si>
  <si>
    <t>NSF(National Science Foundation (NSF)); Heising-Simons Foudation; Stanford Summer Undergraduate Research in Geoscience and Engineering Program; Stanford Earth Summer Undergraduate Research Program; National Defense Science and Engineering Graduate Fellowship Program; Office of Polar Programs (OPP); Directorate For Geosciences(National Science Foundation (NSF)NSF - Directorate for Geosciences (GEO))</t>
  </si>
  <si>
    <t>We thank N. Holschuh and M. Siegert for their thorough, thoughtful, and constructive reviews. This work was supported, in part, by NSF award 1745137, Heising-Simons Foudation Grant 2020-1771, the Stanford Summer Undergraduate Research in Geoscience and Engineering Program, the Stanford Earth Summer Undergraduate Research Program, and the National Defense Science and Engineering Graduate Fellowship Program. The authors would also like to acknowledge Julian Dowdeswell, Lucy Martin and Naomi Boneham of the Scott Polar Research Institute at the University of Cambridge for their partnership in scanning the radar film archive.</t>
  </si>
  <si>
    <t>PII S0022143021001301</t>
  </si>
  <si>
    <t>10.1017/jog.2021.130</t>
  </si>
  <si>
    <t>WOS:000736129300001</t>
  </si>
  <si>
    <t>Sanders, T; Fiencke, C; Fuchs, M; Haugk, C; Juhls, B; Mollenhauer, G; Ogneva, O; Overduin, P; Palmtag, J; Povazhniy, V; Strauss, J; Tuerena, R; Zell, N; Dähnke, K</t>
  </si>
  <si>
    <t>Sanders, Tina; Fiencke, Claudia; Fuchs, Matthias; Haugk, Charlotte; Juhls, Bennet; Mollenhauer, Gesine; Ogneva, Olga; Overduin, Paul; Palmtag, Juri; Povazhniy, Vasily; Strauss, Jens; Tuerena, Robyn; Zell, Nadine; Dahnke, Kirstin</t>
  </si>
  <si>
    <t>Seasonal nitrogen fluxes of the Lena River Delta</t>
  </si>
  <si>
    <t>AMBIO</t>
  </si>
  <si>
    <t>Arctic Ocean; Lena Delta; Nitrogen; Nitrous oxide</t>
  </si>
  <si>
    <t>LAPTEV SEA; ARCTIC-OCEAN; FRESH-WATER; PERMAFROST; CARBON; SOIL; TUNDRA; STOCKS; ICE; ECOSYSTEM</t>
  </si>
  <si>
    <t>The Arctic is nutrient limited, particularly by nitrogen, and is impacted by anthropogenic global warming which occurs approximately twice as fast compared to the global average. Arctic warming intensifies thawing of permafrost-affected soils releasing their large organic nitrogen reservoir. This organic nitrogen reaches hydrological systems, is remineralized to reactive inorganic nitrogen, and is transported to the Arctic Ocean via large rivers. We estimate the load of nitrogen supplied from terrestrial sources into the Arctic Ocean by sampling in the Lena River and its Delta. We took water samples along one of the major deltaic channels in winter and summer in 2019 and sampling station in the central delta over a one-year cycle. Additionally, we investigate the potential release of reactive nitrogen, including nitrous oxide from soils in the Delta. We found that the Lena transported nitrogen as dissolved organic nitrogen to the coastal Arctic Ocean and that eroded soils are sources of reactive inorganic nitrogen such as ammonium and nitrate. The Lena and the Deltaic region apparently are considerable sources of nitrogen to nearshore coastal zone. The potential higher availability of inorganic nitrogen might be a source to enhance nitrous oxide emissions from terrestrial and aquatic sources to the atmosphere.</t>
  </si>
  <si>
    <t>[Sanders, Tina; Dahnke, Kirstin] Helmholtz Zentrum Hereon, Inst Carbon Cycles, Geesthacht, Germany; [Fiencke, Claudia; Zell, Nadine] Univ Hamburg, Ctr Earth Syst Res &amp; Sustainabil, Allende Pl 2, D-20146 Hamburg, Germany; [Fuchs, Matthias; Juhls, Bennet; Overduin, Paul; Strauss, Jens] Helmholtz Ctr Polar &amp; Marine Res, Alfred Wegener Inst, Permafrost Res Sect, Telegrafenberg A 45, Potsdam, Germany; [Haugk, Charlotte] Stockholm Univ, Dept Environm Sci &amp; Analyt Chem, Svante Arrhenius Vag 8, S-11418 Stockholm, Sweden; [Mollenhauer, Gesine; Ogneva, Olga] Helmholtz Ctr Polar &amp; Marine Res, Marine Geochem Sect, Alfred Wegener Inst, Handelshafen 12, D-27570 Bremerhaven, Germany; [Palmtag, Juri] Northumbria Univ, Dept Geog &amp; Environm Sci, Newcastle Upon Tyne NE1 8ST, Tyne &amp; Wear, England; [Povazhniy, Vasily] Arctic &amp; Antarctic Res Inst, Otto Schmidt Lab Polar &amp; Marine Res, Beringa 38, St Petersburg 199397, Russia; [Tuerena, Robyn] Scottish Assoc Marine Sci, Oban PA37 1QA, Argyll, Scotland</t>
  </si>
  <si>
    <t>Helmholtz Association; Helmholtz-Zentrum Hereon; University of Hamburg; Helmholtz Association; Alfred Wegener Institute, Helmholtz Centre for Polar &amp; Marine Research; Stockholm University; Helmholtz Association; Alfred Wegener Institute, Helmholtz Centre for Polar &amp; Marine Research; Northumbria University; Arctic &amp; Antarctic Research Institute; UHI Millennium Institute</t>
  </si>
  <si>
    <t>Sanders, T (corresponding author), Helmholtz Zentrum Hereon, Inst Carbon Cycles, Geesthacht, Germany.</t>
  </si>
  <si>
    <t>tina.sanders@hereon.de; Claudia.Fiencke@uni-hamburg.de; matthias.fuchs@awi.de; charlotte.haugk@aces.su.se; bjuhls@awi.de; Gesine.mollenhauer@awi.de; Olga.Ogneva@awi.de; Paul.Overduin@awi.de; juri.palmtag@northumbria.ac.uk; povazhny@aari.ru; ens.strauss@awi.de; robyn.tuerena@sams.ac.uk; Nadine.zell@uni-hamburg.de; kirstin.daehnke@hereon.de</t>
  </si>
  <si>
    <t>Overduin, Paul P/B-3258-2017; Tuerena, Robyn E/A-8289-2016; Fuchs, Matthias/JKI-2484-2023; Palmtag, Juri/AAE-4075-2022; Strauss, Jens/P-6544-2014; Mollenhauer, Gesine/AAD-8167-2019</t>
  </si>
  <si>
    <t>Overduin, Paul P/0000-0001-9849-4712; Fuchs, Matthias/0000-0003-3529-8284; Palmtag, Juri/0000-0002-6921-5697; Strauss, Jens/0000-0003-4678-4982; Mollenhauer, Gesine/0000-0001-5138-564X</t>
  </si>
  <si>
    <t>NERC-BMBF Project EISPAC [03F0809A]; CACOON project [03F0806A]; ARISE CAO project; European Space Agency (ESA), Climate Change Initiative (CCI) fellowship (ESA ESRIN) [4000l3376l/2l/I-NB]</t>
  </si>
  <si>
    <t>NERC-BMBF Project EISPAC; CACOON project; ARISE CAO project; European Space Agency (ESA), Climate Change Initiative (CCI) fellowship (ESA ESRIN)</t>
  </si>
  <si>
    <t>This work is embedded into the Changing Arctic Ocean (CAO) program (lead by the NERC-BMBF Project EISPAC [#03F0809A] and supported by the CACOON [#03F0806A] and ARISE CAO projects. BJ was funded by the European Space Agency (ESA) as part of the Climate Change Initiative (CCI) fellowship (ESA ESRIN/Contract No. 4000l3376l/2l/I-NB). We thank the Trofimuk Institute of Petroleum Geology and Geophysics, Siberian Branch of the Russian Academy of Sciences (IPGG SB RAS), Novosibirsk, Russia, for their efforts to run the Research Station Samoylov Island. We thank the captain and crew of the Anatoliy Zhilinskiy and the Merzlotoved for hosting us.</t>
  </si>
  <si>
    <t>0044-7447</t>
  </si>
  <si>
    <t>1654-7209</t>
  </si>
  <si>
    <t>Ambio</t>
  </si>
  <si>
    <t>10.1007/s13280-021-01665-0</t>
  </si>
  <si>
    <t>XS0DZ</t>
  </si>
  <si>
    <t>WOS:000730895100001</t>
  </si>
  <si>
    <t>Holovan, V; Andriichuk, O; Budzanivska, I; Zelena, P; Kondratiuk, T; Shevchenko, O</t>
  </si>
  <si>
    <t>Holovan, Viktoriia; Andriichuk, Olena; Budzanivska, Irena; Zelena, Pavlina; Kondratiuk, Tetiana; Shevchenko, Oleksiy</t>
  </si>
  <si>
    <t>Bacteriophages and their microbial hosts in terrestrial biotopes of Antarctica</t>
  </si>
  <si>
    <t>bacteria; electron microscopy; soil; virus particles</t>
  </si>
  <si>
    <t>METAGENOMIC ANALYSIS; VIRAL COMMUNITY; DIVERSITY; VIRUSES; BACTERIA; SOIL; MICROORGANISMS; IDENTIFICATION; ECOLOGY; GROWTH</t>
  </si>
  <si>
    <t>Virus diversity in Antarctic biotopes remains understudied. Here, we describe bacteriophages isolated from terrestrial environments, provide data on their natural bacterial hosts and study phage-host systems. Six bacterial isolates (FCKU 539, FCKU 533, FCKU 534, FCKU 538, FCKU 542 and FCKU 540) were recovered and characterized. Isolated bacteria belonged to Pseudomonas genus (Pseudomonas sp., Pseudomonas fluorescens, Pseudomonas putida) with optimal cultivation temperatures of 16-28 degrees C. These bacteria and previously described Bacillus subtilis FCKU 537 were used for analysing virus-host interactions. Six lytic phages were isolated and named P. fluorescens Antarctic virus 1 (PFAV1), P. fluorescens Antarctic virus 2 (PFAV2), P. fluorescens Antarctic virus 3 (PFAV3), P. putida Antarctic virus 4 (PPAV4), Pseudomonas sp. Antarctic virus 5 (PSAV5) and B. subtilis Antarctic virus 6 (BSAV6) in relation to their natural hosts. According to electron microscopy data, these phages belonged to Caudovirales order. Cross-inoculation demonstrated high specificity of all Antarctic phages, which infected only their initial hosts at moderate temperatures. PFAV2 and PFAV3 phages also infected laboratory Pseudomonas savastanoi and P. fluorescens isolates. This paper adds new data on the occurrence and diversity of viruses and their respective bacterial hosts in soil biotopes of Antarctica.</t>
  </si>
  <si>
    <t>[Holovan, Viktoriia; Andriichuk, Olena; Budzanivska, Irena; Zelena, Pavlina; Kondratiuk, Tetiana; Shevchenko, Oleksiy] Taras Shevchenko Natl Univ Kyiv, Educ &amp; Sci Ctr, Inst Biol &amp; Med, Volodymyrska Str 64-13, UA-01601 Kiev, Ukraine</t>
  </si>
  <si>
    <t>Ministry of Education &amp; Science of Ukraine; Taras Shevchenko National University of Kyiv</t>
  </si>
  <si>
    <t>Holovan, V (corresponding author), Taras Shevchenko Natl Univ Kyiv, Educ &amp; Sci Ctr, Inst Biol &amp; Med, Volodymyrska Str 64-13, UA-01601 Kiev, Ukraine.</t>
  </si>
  <si>
    <t>holovanviktoria@gmail.com</t>
  </si>
  <si>
    <t>Andriichuk, Olena/ISS-4874-2023; Шевченко, Олексій/JHU-2863-2023</t>
  </si>
  <si>
    <t>Andriichuk, Olena/0000-0001-6219-2149; Шевченко, Олексій/0000-0002-4947-8959; Budzanivska, Iryna/0000-0003-2538-7312; Holovan, Viktoriia/0000-0002-2591-8665</t>
  </si>
  <si>
    <t>National Antarctic Scientific Center (NASC) of the Ministry of Education and Science of Ukraine [17DF036-10]</t>
  </si>
  <si>
    <t>National Antarctic Scientific Center (NASC) of the Ministry of Education and Science of Ukraine</t>
  </si>
  <si>
    <t>This work was in part supported by the National Antarctic Scientific Center (NASC) of the Ministry of Education and Science of Ukraine (grant no. 17DF036-10).</t>
  </si>
  <si>
    <t>PII S0954102021000572</t>
  </si>
  <si>
    <t>10.1017/S0954102021000572</t>
  </si>
  <si>
    <t>WOS:000730851600001</t>
  </si>
  <si>
    <t>Marschalek, JW; Zurli, L; Talarico, F; van de Flierdt, T; Vermeesch, P; Carter, A; Beny, F; Bout-Roumazeilles, V; Sangiorgi, F; Hemming, SR; Pérez, LF; Colleoni, F; Prebble, JG; van Peer, TE; Perotti, M; Shevenell, AE; Browne, I; Kulhanek, DK; Levy, R; Harwood, D; Sullivan, NB; Meyers, SR; Griffith, EM; Hillenbrand, CD; Gasson, E; Siegert, MJ; Keisling, B; Licht, KJ; Kuhn, G; Dodd, JP; Boshuis, C; De Santis, L; McKay, RM</t>
  </si>
  <si>
    <t>Marschalek, J. W.; Zurli, L.; Talarico, F.; van de Flierdt, T.; Vermeesch, P.; Carter, A.; Beny, F.; Bout-Roumazeilles, V; Sangiorgi, F.; Hemming, S. R.; Perez, L. F.; Colleoni, F.; Prebble, J. G.; van Peer, T. E.; Perotti, M.; Shevenell, A. E.; Browne, I; Kulhanek, D. K.; Levy, R.; Harwood, D.; Sullivan, N. B.; Meyers, S. R.; Griffith, E. M.; Hillenbrand, C-D; Gasson, E.; Siegert, M. J.; Keisling, B.; Licht, K. J.; Kuhn, G.; Dodd, J. P.; Boshuis, C.; De Santis, L.; McKay, R. M.</t>
  </si>
  <si>
    <t>IODP Expedition 374</t>
  </si>
  <si>
    <t>A large West Antarctic Ice Sheet explains early Neogene sea-level amplitude</t>
  </si>
  <si>
    <t>MARIE-BYRD-LAND; CENTRAL TRANSANTARCTIC MOUNTAINS; SOUTHERN VICTORIA LAND; WALLED DINOFLAGELLATE CYSTS; LARGE IGNEOUS PROVINCE; MAGNETIZATION LOCK-IN; U-PB GEOCHRONOLOGY; ROSS SEA; CONTINENTAL-SHELF; DETRITAL ZIRCONS</t>
  </si>
  <si>
    <t>Early to Middle Miocene sea-level oscillations of approximately 40-60 m estimated from far-field records(1-3) are interpreted to reflect the loss of virtually all East Antarctic ice during peak warmth(2). This contrasts with ice-sheet model experiments suggesting most terrestrial ice in East Antarctica was retained even during the warmest intervals of the Middle Miocene(4,5). Data and model outputs can be reconciled if a large West Antarctic Ice Sheet (WAIS) existed and expanded across most of the outer continental shelf during the Early Miocene, accounting for maximum ice-sheet volumes. Here weprovide the earliest geological evidence proving large WAIS expansions occurred during the Early Miocene (similar to 17.72-17.40 Ma). Geochemical and petrographic data show glacimarine sediments recovered at International Ocean Discovery Program (IODP) Site U1521 in the central Ross Sea derive from West Antarctica, requiring the presence of a WAIS covering most of the Ross Sea continental shelf. Seismic, lithological and palynological data reveal the intermittent proximity of grounded ice to Site U1521. The erosion rate calculated from this sediment package greatly exceeds the long-term mean, implying rapid erosion of West Antarctica. This interval therefore captures akey step in the genesis of a marine-based WAIS and a tipping point in Antarctic ice-sheet evolution.</t>
  </si>
  <si>
    <t>[Marschalek, J. W.; van de Flierdt, T.; Siegert, M. J.] Imperial Coll London, Dept Earth Sci &amp; Engn, London, England; [Zurli, L.; Talarico, F.; Perotti, M.] Univ Siena, Dept Phys Earth &amp; Environm Sci, Siena, Italy; [Vermeesch, P.; van Peer, T. E.] UCL, Dept Earth Sci, London, England; [Carter, A.] Birkbeck Univ London, Dept Earth &amp; Planetary Sci, London, England; [Beny, F.; Bout-Roumazeilles, V] Univ Lille, ULCO, Lab Oceanol &amp; Geosci, UMR 8187 CNRS, Villeneuve Dascq, France; [Sangiorgi, F.; Boshuis, C.] Univ Utrecht, Dept Earth Sci Marine Palynol &amp; Paleoceanog, Utrecht, Netherlands; [Hemming, S. R.; Keisling, B.] Columbia Univ Palisades, Lamont Doherty Earth Observ, New York, NY USA; [Perez, L. F.; Hillenbrand, C-D] British Antarctic Survey, Cambridge, England; [Perez, L. F.] Geol Survey Denmark &amp; Greenland, Dept Marine Geol, Aarhus, Denmark; [Colleoni, F.; De Santis, L.] Natl Inst Oceanog &amp; Appl Geophys OGS, Trieste, Italy; [Prebble, J. G.; Levy, R.] GNS Sci, Lower Hutt, New Zealand; [van Peer, T. E.] Univ Southampton, Natl Oceanog Ctr Southampton, Waterfront Campus, Southampton, Hants, England; [Shevenell, A. E.; Browne, I] Univ S Florida, Coll Marine Sci, St Petersburg, FL USA; [Kulhanek, D. K.] Texas A&amp;M Univ, Int Ocean Discovery Program, College Stn, TX USA; [Kulhanek, D. K.] Christian Albrechts Univ Kiel, Inst Geosci, Kiel, Germany; [Levy, R.; McKay, R. M.] Victoria Univ Wellington, Antarctic Res Ctr, Wellington, New Zealand; [Harwood, D.] Univ Nebraska, Dept Earth &amp; Atmospher Sci, Lincoln, NE USA; [Sullivan, N. B.; Meyers, S. R.] Univ Wisconsin, Dept Geosci, Madison, WI USA; [Griffith, E. M.] Ohio State Univ, Sch Earth Sci, Columbus, OH 43210 USA; [Gasson, E.] Univ Exeter, Ctr Geog &amp; Environm Sci, Penryn, Cornwall, England; [Siegert, M. J.] Imperial Coll London, Grantham Inst, London, England; [Licht, K. J.] Indiana Univ Purdue Univ, Dept Earth Sci, Indianapolis, IN 46202 USA; [Kuhn, G.] Helmholtz Ctr Polar &amp; Marine Res, Alfred Wegener Inst, Bremerhaven, Germany; [Dodd, J. P.] Northern Illinois Univ, Dept Geol &amp; Environm Geosci, De Kalb, IL 60115 USA</t>
  </si>
  <si>
    <t>Imperial College London; University of Siena; University of London; University College London; University of London; Birkbeck University London; Universite de Lille; Universite du Littoral-Cote-d'Opale; Utrecht University; Columbia University; UK Research &amp; Innovation (UKRI); Natural Environment Research Council (NERC); NERC British Antarctic Survey; Geological Survey Of Denmark &amp; Greenland; Istituto Nazionale di Oceanografia e di Geofisica Sperimentale; GNS Science - New Zealand; NERC National Oceanography Centre; University of Southampton; State University System of Florida; University of South Florida; Texas A&amp;M University System; Texas A&amp;M University College Station; University of Kiel; Victoria University Wellington; University of Nebraska System; University of Nebraska Lincoln; University of Wisconsin System; University of Wisconsin Madison; University System of Ohio; Ohio State University; University of Exeter; Imperial College London; Indiana University System; Indiana University-Purdue University Indianapolis; Helmholtz Association; Alfred Wegener Institute, Helmholtz Centre for Polar &amp; Marine Research; Northern Illinois University</t>
  </si>
  <si>
    <t>Marschalek, JW (corresponding author), Imperial Coll London, Dept Earth Sci &amp; Engn, London, England.</t>
  </si>
  <si>
    <t>j.marschalek18@imperial.ac.uk</t>
  </si>
  <si>
    <t>Pérez, Lara F./H-3572-2015; Carter, Andrew/C-1371-2008; Roumazeilles, Viviane Bout/A-8278-2008; Siegert, Martin/M-9939-2019; Kim, Sookwan/JJD-3241-2023; Vermeesch, Pieter/IAN-8896-2023; Shevenell, Amelia E/C-2757-2015; Colleoni, Florence/JMQ-7847-2023; Griffith, Elizabeth/KBB-3072-2024; Kim, Sunghan/CAG-2289-2022; Zurli, Luca/AGQ-5087-2022; Keisling, Benjamin/HDN-5682-2022</t>
  </si>
  <si>
    <t>Pérez, Lara F./0000-0002-6229-4564; Carter, Andrew/0000-0002-0090-5868; Siegert, Martin/0000-0002-0090-4806; Kim, Sookwan/0000-0001-9960-2295; Vermeesch, Pieter/0000-0003-3404-1209; Colleoni, Florence/0000-0003-4582-812X; Zurli, Luca/0000-0002-7669-7305; Keisling, Benjamin/0000-0002-2182-2025; Gales, Jenny/0000-0003-4402-5800; McKay, Robert/0000-0002-5602-6985; Bout-Roumazeilles, Viviane/0000-0001-6917-818X; Marschalek, James/0000-0003-2057-4012; van de Flierdt, Tina/0000-0001-7176-9755; Meyers, Stephen/0000-0003-4422-720X; Sangiorgi, Francesca/0000-0003-4233-6154; Sullivan, Nicholas/0000-0003-2009-8992; Beny, Francois/0000-0002-2322-4299; Licht, Kathy/0000-0002-2233-2853; Hemming, Sidney/0000-0001-8117-2303</t>
  </si>
  <si>
    <t>US National Science Foundation (NSF); NERC DTP studentship [NE/L002515/1]; NERC UK IODP grant [NE/R018219/1]; Italian National Antarctic Research Program (PNRA, Programma Nazionale Ricerche in Antartide) [PNRA18-00233, PNRA16-00016, PNRA18-00002]; Royal Society Te Aparangi Marsden Fund [18-VUW-089]; New Zealand Ministry for Business Innovation and Employment grant [ANTA1801]; NERC Standard Grant [NE/T001518/1]; European Union's Horizon 2020 research and innovation programme under the Marie Sklodowska-Curie grant [792773 WAMSISE]; NERC [NE/R018235/1, NE/T012285/1]; IODP JOIDES Resolution Science Operator; National Science Foundation [OCE-1326927, OPP-2000995, OPP-1643713]; US Science Support Program; Grants-in-Aid for Scientific Research [20H00626] Funding Source: KAKEN; New Zealand Ministry of Business, Innovation &amp; Employment (MBIE) [ANTA1801] Funding Source: New Zealand Ministry of Business, Innovation &amp; Employment (MBIE); NERC [NE/T001518/1, NE/T012285/1, NE/R018219/1] Funding Source: UKRI</t>
  </si>
  <si>
    <t>US National Science Foundation (NSF)(National Science Foundation (NSF)); NERC DTP studentship(UK Research &amp; Innovation (UKRI)Natural Environment Research Council (NERC)); NERC UK IODP grant; Italian National Antarctic Research Program (PNRA, Programma Nazionale Ricerche in Antartide); Royal Society Te Aparangi Marsden Fund(Royal Society of New Zealand); New Zealand Ministry for Business Innovation and Employment grant; NERC Standard Grant(UK Research &amp; Innovation (UKRI)Natural Environment Research Council (NERC)); European Union's Horizon 2020 research and innovation programme under the Marie Sklodowska-Curie grant(Marie Curie Actions); NERC(UK Research &amp; Innovation (UKRI)Natural Environment Research Council (NERC)); IODP JOIDES Resolution Science Operator; National Science Foundation(National Science Foundation (NSF)); US Science Support Program; Grants-in-Aid for Scientific Research(Ministry of Education, Culture, Sports, Science and Technology, Japan (MEXT)Japan Society for the Promotion of ScienceGrants-in-Aid for Scientific Research (KAKENHI)); New Zealand Ministry of Business, Innovation &amp; Employment (MBIE)(New Zealand Ministry of Business, Innovation and Employment (MBIE)); NERC(UK Research &amp; Innovation (UKRI)Natural Environment Research Council (NERC))</t>
  </si>
  <si>
    <t>This research used data and samples provided by the International Ocean Discovery Program (IODP), which is sponsored by the US National Science Foundation (NSF) and participating countries under the management of Joint Oceanographic Institutions. J.W.M. was supported by a NERC DTP studentship (grant number NE/L002515/1). Neodymium and Sr isotope analysis and U-Pb dating of detrital zircons was funded through NERC UK IODP grant NE/R018219/1. Clast counts performed by L.Z., F.T. and M.P. and the participation of L.D. and F.C. was funded by the Italian National Antarctic Research Program (PNRA, Programma Nazionale Ricerche in Antartide), grant numbers PNRA18-00233, PNRA16-00016 and PNRA18-00002. R.M.M. was supported by Royal Society Te Aparangi Marsden Fund (18-VUW-089). R.M.M., J.G.P. and R.L. were supported by the New Zealand Ministry for Business Innovation and Employment grant ANTA1801. P.V. was partially funded by NERC Standard Grant NE/T001518/1. L.F.P. has been funded by the European Union's Horizon 2020 research and innovation programme under the Marie Sklodowska-Curie grant agreement no. 792773 WAMSISE. T.E.v.P. has been funded by NERC grants NE/R018235/1 and NE/T012285/1. D.K.K. was supported by the IODP JOIDES Resolution Science Operator and National Science Foundation (grant numbers OCE-1326927 and OPP-2000995). A.E.S. and I.B. were supported by the US Science Support Program. Southern Transantarctic Mountain rock samples for Nd and Sr isotope analysis were provided by the Polar Rock Repository with support from the National Science Foundation, under Cooperative Agreement OPP-1643713. We thank B. Coles, K. Kreissig and P. Simoes Pereira for technical support. We also thank the numerous scientists who collected invaluable site survey data and developed the proposals and hypotheses that ultimately led to IODP Expedition 374. Expedition 374 was conducted under Antarctic Conservation Act Permit Number: ACA 2018-027 (permit holder: Bradford Clement, JRSO, IODP, TAMU, College Station, TX 77845).</t>
  </si>
  <si>
    <t>10.1038/s41586-021-04148-0</t>
  </si>
  <si>
    <t>WOS:000730754700028</t>
  </si>
  <si>
    <t>Sato, K; Inoue, J</t>
  </si>
  <si>
    <t>Sato, Kazutoshi; Inoue, Jun</t>
  </si>
  <si>
    <t>Seasonal Change in Satellite-Retrieved Lower-Tropospheric Ice-Cloud Fraction Over the Southern Ocean</t>
  </si>
  <si>
    <t>ice cloud; Antarctica; Southern Ocean; chlorophyll; CALIPSO</t>
  </si>
  <si>
    <t>SEA SPRAY AEROSOL; MIXED-PHASE; BOUNDARY-LAYER; LIQUID WATER; PARTICLES; SURFACE; IMPACT</t>
  </si>
  <si>
    <t>This study investigated the temperature and fraction of lower-tropospheric ice cloud over Antarctica and the Southern Ocean (SO) using Cloud-Aerosol Lidar and Infrared Pathfinder Satellite Observation satellite data. Over the SO, the maximum low-level ice-cloud fraction below 2 km is observed at cold temperatures (&lt;-25 degrees C); however, local maxima of low-level ice-cloud fraction are observed at temperatures &gt;-7.5 degrees C (&gt;-17.5 degrees C) during summer (winter). High fractions of low-level ice cloud observed at higher temperatures over near-coastal Antarctic sea ice areas in summer, coincident with the highest chlorophyll-a concentrations, and over coastal Antarctic ice-covered areas in winter, suggest that marine aerosols act as ice-nucleating particles for ice-cloud formation during summer and winter.</t>
  </si>
  <si>
    <t>[Sato, Kazutoshi] Kitami Inst Technol, Kitami, Hokkaido, Japan; [Inoue, Jun] Natl Inst Polar Res, Tachikawa, Tokyo, Japan; [Inoue, Jun] Grad Univ Adv Studies, SOKENDAI, Hayama, Kanagawa, Japan</t>
  </si>
  <si>
    <t>Kitami Institute of Technology; Research Organization of Information &amp; Systems (ROIS); National Institute of Polar Research (NIPR) - Japan; Graduate University for Advanced Studies - Japan</t>
  </si>
  <si>
    <t>Sato, K (corresponding author), Kitami Inst Technol, Kitami, Hokkaido, Japan.</t>
  </si>
  <si>
    <t>satokazu@mail.kitami-it.ac.jp</t>
  </si>
  <si>
    <t>Keyes, Dennis/AAZ-9285-2021</t>
  </si>
  <si>
    <t>Sato, Kazutoshi/0000-0003-0216-8942</t>
  </si>
  <si>
    <t>JSPS KAKENHI [20H04963, 19K14802, 18H05053]; Grants-in-Aid for Scientific Research [20H04963, 19K14802, 18H05053] Funding Source: KAKEN</t>
  </si>
  <si>
    <t>This work was supported by JSPS KAKENHI (grant numbers 20H04963, 19K14802, 18H05053). The authors thank J. Buxton MSc of Edanz (https://jp.edanz.com/ac) for correcting a draft of this manuscript, and we thank the editor, P. Kuma, and the anonymous reviewer for their valuable comments regarding improvement of the manuscript.</t>
  </si>
  <si>
    <t>e2021GL095295</t>
  </si>
  <si>
    <t>10.1029/2021GL095295</t>
  </si>
  <si>
    <t>XO2KL</t>
  </si>
  <si>
    <t>WOS:000730019700036</t>
  </si>
  <si>
    <t>Shen, YY; Chen, LJ; Zhang, XJ; Artemyev, A; Angelopoulos, V; Cully, CM; James, HG; Yau, AW; Howarth, AD; Bortnik, J; Wu, JS; Tian, S; Hartinger, MD; Connors, M; Horne, RB</t>
  </si>
  <si>
    <t>Shen, Yangyang; Chen, Lunjin; Zhang, Xiao-Jia; Artemyev, Anton; Angelopoulos, Vassilis; Cully, Christopher M.; James, H. Gordon; Yau, Andrew W.; Howarth, Andrew D.; Bortnik, Jacob; Wu, Jiashu; Tian, Sheng; Hartinger, Michael D.; Connors, Martin; Horne, Richard B.</t>
  </si>
  <si>
    <t>Conjugate Observation of Magnetospheric Chorus Propagating to the Ionosphere by Ducting</t>
  </si>
  <si>
    <t>chorus waves; magnetospheric physics; wave-particle interaction; energetic electron precipitation; wave propagation; ionosphere</t>
  </si>
  <si>
    <t>WAVE NORMAL-DISTRIBUTION; WHISTLER-MODE WAVES; VAN ALLEN PROBES; PLASMASPHERIC HISS; SCATTERING; GENERATION; ELECTRONS; FREQUENCY; ORIGIN</t>
  </si>
  <si>
    <t>Whistler-mode chorus waves are critical for driving resonant scattering and loss of radiation belt relativistic electrons into the atmosphere. The resonant energies of electrons scattered by chorus waves increase at increasingly higher magnetic latitudes. Propagation of chorus waves to middle and high latitudes is hampered by wave divergence and Landau damping but is promoted otherwise if ducted by density irregularities. Although ducting theories have been proposed since the 1960s, no conjugate observation of ducted chorus propagation from the equatorial magnetosphere to the ionosphere has been observed so far. Here we provide such an observation, for the first time, using conjugate spacecraft measurements. Ducted chorus waves maintain significant wave power upon reaching the ionosphere, which is confirmed by ray-tracing simulations. Our results suggest that ducted chorus waves may be an important driver for relativistic electron precipitation.</t>
  </si>
  <si>
    <t>[Shen, Yangyang; Zhang, Xiao-Jia; Artemyev, Anton; Angelopoulos, Vassilis; Wu, Jiashu; Hartinger, Michael D.] Univ Calif Los Angeles, Dept Earth Planetary &amp; Space Sci, Los Angeles, CA 90095 USA; [Chen, Lunjin] Univ Texas Dallas, Dept Phys, Dallas, TX USA; [Artemyev, Anton] Russian Acad Sci, Space Res Inst, Moscow, Russia; [Cully, Christopher M.; James, H. Gordon; Yau, Andrew W.; Howarth, Andrew D.] Univ Calgary, Dept Phys &amp; Astron, Calgary, AB, Canada; [Bortnik, Jacob] Univ Calif Los Angeles, Dept Atmospher &amp; Ocean Sci, Los Angeles, CA USA; [Tian, Sheng] Univ Minnesota, Sch Phys &amp; Astron, Minneapolis, MN 55455 USA; [Hartinger, Michael D.] Space Sci Inst, Boulder, CO USA; [Connors, Martin] Athabasca Univ, Dept Phys &amp; Astron, Calgary, AB, Canada; [Horne, Richard B.] British Antarctic Survey, Cambridge, England</t>
  </si>
  <si>
    <t>University of California System; University of California Los Angeles; University of Texas System; University of Texas Dallas; Russian Academy of Sciences; Space Research Institute of the Russian Academy of Sciences; University of Calgary; University of California System; University of California Los Angeles; University of Minnesota System; University of Minnesota Twin Cities; Athabasca University; UK Research &amp; Innovation (UKRI); Natural Environment Research Council (NERC); NERC British Antarctic Survey</t>
  </si>
  <si>
    <t>Shen, YY (corresponding author), Univ Calif Los Angeles, Dept Earth Planetary &amp; Space Sci, Los Angeles, CA 90095 USA.</t>
  </si>
  <si>
    <t>yshen@epss.ucla.edu</t>
  </si>
  <si>
    <t>Horne, Richard B/U-3764-2019; Cully, Christopher M/P-2539-2016; Chen, Lunjin/L-1250-2013; Hartinger, Michael/H-9088-2012</t>
  </si>
  <si>
    <t>Horne, Richard B/0000-0002-0412-6407; Zhang, Xiao-Jia/0000-0002-4185-5465; Cully, Christopher/0000-0001-7242-8872; Chen, Lunjin/0000-0003-2489-3571; Angelopoulos, Vassilis/0000-0001-7024-1561; Howarth, Andrew/0000-0003-0960-2617; Shen, Yangyang/0000-0003-1969-5597; Hartinger, Michael/0000-0002-2643-2202</t>
  </si>
  <si>
    <t>NASA [80NSSC19K0282, 80NSSC21K0728, 80NSSC21K0729]; NSF [2026375]; JHU/APL contract [922613]; European Space Agency Third-Party Mission Programme; Canadian Space Agency; NSERC [TGPIN-2014-06069]; Canadian Space Agency's Geospace Observatory program; Directorate For Geosciences; Div Atmospheric &amp; Geospace Sciences [2026375] Funding Source: National Science Foundation</t>
  </si>
  <si>
    <t>NASA(National Aeronautics &amp; Space Administration (NASA)); NSF(National Science Foundation (NSF)); JHU/APL contract; European Space Agency Third-Party Mission Programme; Canadian Space Agency(Canadian Space Agency); NSERC(Natural Sciences and Engineering Research Council of Canada (NSERC)); Canadian Space Agency's Geospace Observatory program; Directorate For Geosciences; Div Atmospheric &amp; Geospace Sciences(National Science Foundation (NSF)NSF - Directorate for Geosciences (GEO))</t>
  </si>
  <si>
    <t>The authors appreciate the Van Allen Probe EMFISIS team for providing wave electric and magnetic field data. In particular, the authors are grateful to George B Hospodarsky and William S. Kurth for verifying our use of EMFISIS data. L. Chen was supported by NASA Grants 80NSSC19K0282 and 80NSSC21K0728. Y. Shen, X.-J. Zhang, and A. Artemyev were supported by NSF Grant 2026375 and NASA Grant 80NSSC21K0729. The work by the EFW team was conducted under JHU/APL contract 922613 (RBSP-EFW). The authors acknowledge the support for the e-POP mission from the European Space Agency Third-Party Mission Programme, the Canadian Space Agency, and the NSERC Discovery Grants Program (TGPIN-2014-06069). ABOVE is a joint Canada Foundation for Innovation and Canadian Space Agency project developed by the University of Calgary. Operations are supported through the Canadian Space Agency's Geospace Observatory program.</t>
  </si>
  <si>
    <t>e2021GL095933</t>
  </si>
  <si>
    <t>10.1029/2021GL095933</t>
  </si>
  <si>
    <t>WOS:000730019700017</t>
  </si>
  <si>
    <t>Zhang, CY; Shum, CK; Bezdek, A; Bevis, M; da Encarnacao, JD; Tapley, BD; Zhang, Y; Su, XL; Shen, Q</t>
  </si>
  <si>
    <t>Zhang, Chaoyang; Shum, C. K.; Bezdek, Ales; Bevis, Michael; da Encarnacao, Joao de Teixeira; Tapley, Byron D.; Zhang, Yu; Su, Xiaoli; Shen, Qiang</t>
  </si>
  <si>
    <t>Rapid Mass Loss in West Antarctica Revealed by Swarm Gravimetry in the Absence of GRACE</t>
  </si>
  <si>
    <t>Swarm; GRACE; GRACE-FO; West Antarctic Ice Sheet; ENSO; PSA; ice mass balance</t>
  </si>
  <si>
    <t>GRAVITY-FIELD; GPS RECEIVER; ICE LOSS; SEA-ICE; CLIMATE; GREENLAND; VARIABILITY; CIRCULATION; BALANCE; ACCELERATION</t>
  </si>
  <si>
    <t>GRACE observations revealed that rapid mass loss in the West Antarctic Ice Sheet (WAIS) abruptly paused in 2015, followed by a much lower rate of mass loss (21.3 +/- 5.7 $21.3\pm 5.7$ Gt yr(-1)) until the decommissioning of GRACE in 2017. The critical 1-year GRACE intermission data gap raises the question of whether the reduced mass loss rate persists. The Swarm gravimetry data, which have a lower resolution, show good agreement with GRACE/GRACE-FO observations during the overlapping period, i.e., high correlation (0.78) and consistent trend estimates. Swarm data efficiently bridge the GRACE/GRACE-FO data gap and reveal that WAIS has returned to the rapid mass loss state (161.5 +/- 48.4 $161.5\pm 48.4$ Gt yr(-1)) that prevailed prior to 2015 during the GRACE intermission data gap. The changes in precipitation patterns, driven by the climate cycles, further explain and confirm the dramatic shifts in the WAIS mass loss regime implied by the Swarm observations.</t>
  </si>
  <si>
    <t>[Zhang, Chaoyang; da Encarnacao, Joao de Teixeira; Tapley, Byron D.] Univ Texas Austin, Ctr Space Res, Austin, TX 78712 USA; [Shum, C. K.; Bevis, Michael; Zhang, Yu] Ohio State Univ, Div Geodet Sci, Sch Earth Sci, Columbus, OH 43210 USA; [Shum, C. K.; Shen, Qiang] Chinese Acad Sci, Innovat Acad Precis Measurement Sci &amp; Technol, Wuhan, Peoples R China; [Bezdek, Ales] Czech Acad Sci, Astron Inst, Ondrejov, Czech Republic; [da Encarnacao, Joao de Teixeira] Delft Univ Technol, Fac Aerosp Engn, Delft, Netherlands; [Su, Xiaoli] Huazhong Univ Sci &amp; Technol, PGMF, Wuhan, Peoples R China; [Su, Xiaoli] Huazhong Univ Sci &amp; Technol, Sch Phys, Wuhan, Peoples R China</t>
  </si>
  <si>
    <t>University of Texas System; University of Texas Austin; University System of Ohio; Ohio State University; Chinese Academy of Sciences; Innovation Academy for Precision Measurement Science &amp; Technology, CAS; Czech Academy of Sciences; Astronomical Institute of the Czech Academy of Sciences; Delft University of Technology; Huazhong University of Science &amp; Technology; Huazhong University of Science &amp; Technology</t>
  </si>
  <si>
    <t>Zhang, CY (corresponding author), Univ Texas Austin, Ctr Space Res, Austin, TX 78712 USA.</t>
  </si>
  <si>
    <t>cy_zhang@austin.utexas.edu</t>
  </si>
  <si>
    <t>Zhang, Chaoyang/JPK-5044-2023; Encarnacao, Joao/O-9921-2017; shen, qiang/IZE-6775-2023; Bezdek, Ales/F-8952-2014; Zhang, Chaoyang/AAB-5336-2022</t>
  </si>
  <si>
    <t>Encarnacao, Joao/0000-0001-6824-2733; shen, qiang/0000-0001-9401-4160; Bezdek, Ales/0000-0003-2790-2664; Zhang, Chaoyang/0000-0001-6297-7034; Zhang, Yu/0000-0001-5706-8290; Tapley, Byron/0000-0003-3689-5750; Su, Xiaoli/0000-0003-0817-1122; Shum, C K/0000-0001-9378-4067</t>
  </si>
  <si>
    <t>Strategic Priority Research Program of the Chinese Academy of Sciences [XDA19070302]; National Key Research &amp; Development Program of China [2017YFA0603103]; Natural Science Foundation of China [41974040]; European Space Agency [SW-CO-DTU-GS-111, SW-CN-DTU-GS-027, 4000109587/13/I-NB]; MSMT Czech Republic [LTT18011]</t>
  </si>
  <si>
    <t>Strategic Priority Research Program of the Chinese Academy of Sciences(Chinese Academy of Sciences); National Key Research &amp; Development Program of China; Natural Science Foundation of China(National Natural Science Foundation of China (NSFC)); European Space Agency(European Space Agency); MSMT Czech Republic(Ministry of Education, Youth &amp; Sports - Czech RepublicCzech Republic Government)</t>
  </si>
  <si>
    <t>This research is partially supported by Strategic Priority Research Program of the Chinese Academy of Sciences (XDA19070302), National Key Research &amp; Development Program of China (2017YFA0603103), the Natural Science Foundation of China (41974040), the European Space Agency (contracts SW-CO-DTU-GS-111 and SW-CN-DTU-GS-027, part of contract 4000109587/13/I-NB) and MSMT Czech Republic (LTT18011). We are grateful to two anonymous reviewers for their comments and suggestions. We would like to acknowledge UT-CSR and NASA for making the GRACE(FO) Level-2 product (https://podaac-tools.jpl.nasa.gov/drive/files/allData/grace/L2/CSR/RL06) and SLR monthly solutions (http://download.csr.utexas.edu/pub/slr/degree_5/) freely accessible, ECMWF for making the ERA5 (https://cds.climate.copernicus.eu/#!/search?text=ERA5&amp;type=dataset) online, UT Graz-ITSG group for providing Swarm kinematic orbit (https://www.tugraz.at/institute/ifg/downloads/satellite-orbit-products/), GFZ and NASA for providing RL06 AOD1B product (https://podaac-tools.jpl.nasa.gov/drive/files/allData/grace/L1B/GFZ/AOD1B).We also thank Melchior van Wessem(J.M.vanWessem@uu.nl) and Michiel van den Broeke for providing the latest RACMO2 model output (http://www.projects.science.uu.nl/iceclimate/publications/data/2018/index.php), Cecile Agosta(cecile.agosta@gmail.com) for providing the MAR3.11 model output (https://zenodo.org/record/2547638#.YYsbup6ZOUk), Wei Feng(fengwei.igg@gmail.com) for making the GRACE postprocessing software GRAMAT (https://www.mathworks.com/matlabcentral/fileexchange/58184-fengweiigg-grace_mat-lab_toolbox) open-source.</t>
  </si>
  <si>
    <t>e2021GL095141</t>
  </si>
  <si>
    <t>10.1029/2021GL095141</t>
  </si>
  <si>
    <t>WOS:000730019700050</t>
  </si>
  <si>
    <t>Harrison, TC; Washington, R; Engelstaedter, S; Jones, RG; Savage, NH</t>
  </si>
  <si>
    <t>Harrison, Thomas Caton; Washington, Richard; Engelstaedter, Sebastian; Jones, Richard G.; Savage, Nick H.</t>
  </si>
  <si>
    <t>Influence of Orography Upon Summertime Low-Level Jet Dust Emission in the Central and Western Sahara</t>
  </si>
  <si>
    <t>mineral dust; aerosols; Sahara; low-level jet; orography; emission mechanisms</t>
  </si>
  <si>
    <t>DESERT DUST; HEAT LOWS; PART I; CONVECTION; SCHEME; CYCLE; PARAMETERIZATION; CIRCULATION; TRANSPORT; DYNAMICS</t>
  </si>
  <si>
    <t>Low-level jets (LLJs) drive frequent emission of mineral dust in the central and western Sahara in boreal summer. A major hotspot for this process is central Algeria, northern Mali and Mauritania, through which blow the dry near-surface northeasterly Harmattan winds, with a peak in dust emission around the low-lying Tidihelt region. North African orography is thought to contribute to the strength of the LLJ over the Bodele dust source in Chad, but its influence on erosivity over summertime source regions remains unquantified. In this paper, the contribution of central Saharan orography to the strength of Harmattan LLJs and associated dust emission frequency is tested. An idealized simulation with flattened Hoggar mountains is compared with a control using the Met Office Unified Model at 12 km horizontal resolution. In the absence of the Hoggar mountains, dust emission frequency estimated using an empirical relationship with surface wind speeds is found to decline across the entire northeasterly LLJ alley, including by 31% in the Tidihelt where composited jet surface winds drop from 9.0 to 7.3 m s(-1) under a more easterly regime. The mountains are linked to a low-level leeward geopotential height perturbation, with a northern limb reinforcing northeasterlies through the Tidihelt. Dome-shaped elevated heating situated over the Hoggar mountains explains the difference between the simulated wind fields in the two experiments. These findings suggest that central Saharan orography plays an important role in sustaining erosive dusty conditions during boreal summer.</t>
  </si>
  <si>
    <t>[Harrison, Thomas Caton; Washington, Richard; Engelstaedter, Sebastian; Jones, Richard G.] Univ Oxford, Ctr Environm, Climate Res Lab, Oxford, England; [Harrison, Thomas Caton] British Antarctic Survey, Cambridge, England; [Jones, Richard G.; Savage, Nick H.] Met Off, Exeter, Devon, England</t>
  </si>
  <si>
    <t>University of Oxford; UK Research &amp; Innovation (UKRI); Natural Environment Research Council (NERC); NERC British Antarctic Survey; Met Office - UK</t>
  </si>
  <si>
    <t>Harrison, TC (corresponding author), Univ Oxford, Ctr Environm, Climate Res Lab, Oxford, England.;Harrison, TC (corresponding author), British Antarctic Survey, Cambridge, England.</t>
  </si>
  <si>
    <t>thoton@bas.ac.uk</t>
  </si>
  <si>
    <t>Engelstaedter, Sebastian/A-9599-2009</t>
  </si>
  <si>
    <t>Engelstaedter, Sebastian/0000-0001-9315-580X; Jones, Richard/0000-0002-0904-3141; Savage, Nicholas/0000-0001-9391-5100; Caton Harrison, Thomas/0000-0001-7870-7039</t>
  </si>
  <si>
    <t>NERC [NE/L002612/1]; NERC-Department for International Development (DFID) [NE/M017206/1]; UK Met Office; CASE studentship; NERC [bas0100032, NE/M017206/1] Funding Source: UKRI</t>
  </si>
  <si>
    <t>NERC(UK Research &amp; Innovation (UKRI)Natural Environment Research Council (NERC)); NERC-Department for International Development (DFID); UK Met Office; CASE studentship; NERC(UK Research &amp; Innovation (UKRI)Natural Environment Research Council (NERC))</t>
  </si>
  <si>
    <t>T. Caton Harrison is funded through the NERC doctoral training partnership (NE/L002612/1) and by a CASE studentship with the UK Met Office. R. Washington was partly supported by the NERC-Department for International Development (DFID)-funded Improving Model Processes for African Climate (IMPALA) project (Grant NE/M017206/1), as part of the Future Climate for Africa (FCFA) program (http://futureclimateafrica.org/project/impala/).The authors are grateful to Callum Munday, Ian Ashpole and Ron Miller for useful discussions about experiment design and interpretation of the results. The authors would also like to thank three anonymous reviewers for their comments which improved the manuscript.</t>
  </si>
  <si>
    <t>e2021JD035025</t>
  </si>
  <si>
    <t>10.1029/2021JD035025</t>
  </si>
  <si>
    <t>XO2DB</t>
  </si>
  <si>
    <t>WOS:000730000500001</t>
  </si>
  <si>
    <t>Osma, N; Vargas, CA; Algueró-Muñíz, M; Bach, LT; Gómez, M; Horn, HG; Ludwig, A; Packard, TT; Riebesell, U; Romero-Kutzner, V; Taucher, J; Fernández-Urruzola, I</t>
  </si>
  <si>
    <t>Osma, Natalia; Vargas, Cristian A.; Alguero-Muniz, Maria; Bach, Lennart T.; Gomez, May; Horn, Henriette G.; Ludwig, Andrea; Packard, Theodore T.; Riebesell, Ulf; Romero-Kutzner, Vanesa; Taucher, Jan; Fernandez-Urruzola, Igor</t>
  </si>
  <si>
    <t>Ocean acidification induces distinct metabolic responses in subtropical zooplankton under oligotrophic conditions and after simulated upwelling</t>
  </si>
  <si>
    <t>High CO2; Mesocosms; Zooplankton community; Metabolism; Enzymatic rates</t>
  </si>
  <si>
    <t>ELECTRON-TRANSPORT-SYSTEM; AMMONIUM EXCRETION; OXYGEN-CONSUMPTION; GDH ACTIVITY; PLANKTON; CARBON; RESPIRATION; VARIABILITY; SEAWATER; CO2</t>
  </si>
  <si>
    <t>Ocean acidification (OA) is one of the most critical anthropogenic threats to marine ecosystems. While significant ecological responses of plankton communities to OA have been revealed mainly by small-scale laboratory approaches, the interactive effect of OA-related changes on zooplankton metabolism and their biogeochemical implications in the natural environment still remains less well understood. Here, we explore the responses of zooplankton respiration and ammonium excretion, two key processes in the nutrient cycling, to high pCO(2) levels in a 9-week in situ mesocosm experiment conducted during the autumn oligotrophic season in the subtropical northeast Atlantic. By simulating an upwelling event halfway through the study, we further evaluated the combined effects of OA and nutrient availability on the physiology of micro-and mesozooplankton. OA conditions generally resulted in a reduction in the biomass-specific metabolic and enzymatic rates, particularly in the mesozooplankton community. The situation reversed after the nutrient-rich deep-water addition, which initially promoted a diatom bloom and increased heterotrophic activities in all mesocosms. Under high pCO(2) conditions (&gt;800 mu atm), however, the nutrient fertilization triggered the proliferation of the harmful alga Vicicitus globosus, with important consequences for the metabolic performance of the two zooplankton size classes. Here, the zooplankton contribution to the remineralization of organic matter and nitrogen regeneration dropped by 30% and 24%, respectively, during the oligotrophic period, and by 40% and 70% during simulated upwelling. Overall, our results indicate a potential reduction in the biogeochemical role of zooplankton under future ocean conditions, with more evident effects on the large mesozooplankton and during high productivity events.</t>
  </si>
  <si>
    <t>[Osma, Natalia; Vargas, Cristian A.; Fernandez-Urruzola, Igor] Univ Concepcion, Millennium Inst Oceanog IMO, Concepcion, Chile; [Osma, Natalia; Vargas, Cristian A.] Univ Concepcion, Fac Environm Sci, Dept Aquat Syst, Concepcion, Chile; [Vargas, Cristian A.] Univ Concepcion, Coastal Socioecol Millennium Inst SECOS, Concepcion, Chile; [Alguero-Muniz, Maria] Univ Glasgow, Inst Biodivers Anim Hlth &amp; Comparat Med, Glasgow, Lanark, Scotland; [Bach, Lennart T.] Univ Tasmania, Inst Marine &amp; Antarctic Studies, Hobart, Tas, Australia; [Gomez, May; Packard, Theodore T.; Romero-Kutzner, Vanesa] Univ Las Palmas Gran Canaria, IU ECOAQUA, Marine Ecophysiol Grp EOMAR, Las Palmas Gran Canaria, Spain; [Horn, Henriette G.] Univ Agder, Ctr Coastal Res, Dept Nat Sci, Kristiansand, Norway; [Ludwig, Andrea; Riebesell, Ulf; Taucher, Jan] GEOMAR Helmholtz Ctr Ocean Res Kiel, Kiel, Germany</t>
  </si>
  <si>
    <t>Universidad de Concepcion; Universidad de Concepcion; Universidad de Concepcion; University of Glasgow; University of Tasmania; Universidad de Las Palmas de Gran Canaria; University of Agder; Helmholtz Association; GEOMAR Helmholtz Center for Ocean Research Kiel</t>
  </si>
  <si>
    <t>Osma, N; Fernández-Urruzola, I (corresponding author), Univ Concepcion, Millennium Inst Oceanog IMO, Concepcion, Chile.;Osma, N (corresponding author), Univ Concepcion, Fac Environm Sci, Dept Aquat Syst, Concepcion, Chile.</t>
  </si>
  <si>
    <t>natalia.osma@imo-chile.cl; igor.fernandez@imo-chile.cl</t>
  </si>
  <si>
    <t>Gómez, May/L-9561-2014; Horn, Henriette G./R-7667-2016; Romero Kutzner, Vanesa/K-8750-2018</t>
  </si>
  <si>
    <t>Horn, Henriette G./0000-0002-4020-5559; Taucher, Jan/0000-0001-9944-0775; Vargas, Cristian A./0000-0002-1486-3611; Bach, Lennart/0000-0003-0202-3671; Fernandez-Urruzola, Igor/0000-0001-7287-3503; Romero Kutzner, Vanesa/0000-0001-7167-2662</t>
  </si>
  <si>
    <t>Plataforma Oceanica de Canarias (PLOCAN); Gran Canaria KOSMOS Consortium; Millennium Science Initiative from Chile's Ministry of Economy, Development and Tourism through the Millennium Institute of Oceanography (IMO) [MINECON IC120019]; German Federal Ministry of Education and Research (BMBF) [FKZ 03F06550]; FONDECYT (ANID) research programs [3190365, 3180352, 1170065]; Leibniz Award 2012 by the German Research Foundation (DFG)</t>
  </si>
  <si>
    <t>Plataforma Oceanica de Canarias (PLOCAN); Gran Canaria KOSMOS Consortium; Millennium Science Initiative from Chile's Ministry of Economy, Development and Tourism through the Millennium Institute of Oceanography (IMO); German Federal Ministry of Education and Research (BMBF)(Federal Ministry of Education &amp; Research (BMBF)); FONDECYT (ANID) research programs; Leibniz Award 2012 by the German Research Foundation (DFG)(German Research Foundation (DFG))</t>
  </si>
  <si>
    <t>We thank the Plataforma Oceanica de Canarias (PLOCAN) for hosting and supporting us during these experiments. We are also grateful to the captain and crew of RV Hesperides for deploying and recovering the mesocosms (cruise 29HE20140924), as well as RV Poseidon for transporting the mesocosms and the support in testing the deep-water collector (cruise POS463). We are grateful to The Gran Canaria KOSMOS Consortium for all the help and support received during on-site work. N.O., I. F.-U. and C.A.V. also acknowledge support fromtheMillennium Science Initiative from Chile's Ministry of Economy, Development and Tourism through the Millennium Institute of Oceanography (IMO), MINECON IC120019.; The German Federal Ministry of Education and Research (BMBF) funded this project in the framework of the coordinated project BIOACIDBiological Impacts of Ocean Acidification, phase 2 (FKZ 03F06550). N.O., I. F.-U. and C.A.V. received financial support from FONDECYT (ANID) research programs 3190365, 3180352 and 1170065, respectively, during the writing process. U.R. received additional funding from the Leibniz Award 2012 by the German Research Foundation (DFG).</t>
  </si>
  <si>
    <t>10.1016/j.scitotenv.2021.152252</t>
  </si>
  <si>
    <t>YD2RZ</t>
  </si>
  <si>
    <t>WOS:000740225200011</t>
  </si>
  <si>
    <t>Wang, Y; Wang, HM; Hu, LH; Chen, LB</t>
  </si>
  <si>
    <t>Wang, Ying; Wang, Huamin; Hu, Linghong; Chen, Liangbiao</t>
  </si>
  <si>
    <t>Leptin Gene Protects Against Cold Stress in Antarctic Toothfish</t>
  </si>
  <si>
    <t>FRONTIERS IN PHYSIOLOGY</t>
  </si>
  <si>
    <t>leptin-a; positive selection; polar fish; STAT3 signaling; p53; Dissostichus mawsoni</t>
  </si>
  <si>
    <t>FOOD-INTAKE; PHYLOGENETIC ANALYSIS; CELL-SURVIVAL; BODY-WEIGHT; IN-VIVO; EXPRESSION; CANCER; STAT3; RECEPTOR; CLONING</t>
  </si>
  <si>
    <t>Leptin is a cytokine-like peptide, predominantly biosynthesized in adipose tissue, which plays an important role in regulating food intake, energy balance and reproduction in mammals. However, how it may have been modified to enable life in the chronic cold is unclear. Here, we identified a leptin-a gene (lepa) in the cold-adapted and neutrally buoyant Antarctic toothfish Dissostichus mawsoni that encodes a polypeptide carrying four alpha-helices and two cysteine residues forming in-chain disulfide bonds, structures shared by most vertebrate leptins. Quantitative RT-PCR confirmed that mRNA levels of the leptin-a gene of D. mawsoni (DM-lepa) were highest in muscle, followed by kidney and liver; detection levels were low in the gill, brain, intestine, and ovary tissues. Compared with leptin-a genes of fishes living in warmer waters, DM-lepa underwent rapid evolution and was subjected to positive selection. Over-expression of DM-lepa in the zebrafish cell line ZFL resulted in signal accumulation in the cytoplasm and significantly increased cell proliferation both at the normal culture temperature and under cold treatment. DM-lepa over-expression also reduced apoptosis under low-temperature stress and activated the STAT3 signaling pathway, in turn upregulating the anti-apoptotic proteins bcl2l1, bcl2a, myca and mdm2 while downregulating the pro-apoptotic baxa, p53 and caspase-3. These results demonstrate that DM-lepa, through STAT3 signaling, plays a protective role in cold stress by preventing apoptotic damage. Our study reveals a new role of lepa in polar fish.</t>
  </si>
  <si>
    <t>[Wang, Ying; Wang, Huamin; Hu, Linghong; Chen, Liangbiao] Shanghai Ocean Univ, Minist Sci &amp; Technol, Int Res Ctr Marine Biosci, Shanghai, Peoples R China; [Wang, Ying; Wang, Huamin; Hu, Linghong; Chen, Liangbiao] Shanghai Ocean Univ, Minist Educ, Key Lab Explorat &amp; Utilizat Aquat Genet Resources, Shanghai, Peoples R China; [Wang, Ying; Wang, Huamin; Hu, Linghong; Chen, Liangbiao] Shanghai Ocean Univ, Shanghai Collaborat Innovat Aquat Anim Genet &amp; Br, Shanghai, Peoples R China</t>
  </si>
  <si>
    <t>Shanghai Ocean University; Shanghai Ocean University; Shanghai Ocean University</t>
  </si>
  <si>
    <t>Chen, LB (corresponding author), Shanghai Ocean Univ, Minist Sci &amp; Technol, Int Res Ctr Marine Biosci, Shanghai, Peoples R China.;Chen, LB (corresponding author), Shanghai Ocean Univ, Minist Educ, Key Lab Explorat &amp; Utilizat Aquat Genet Resources, Shanghai, Peoples R China.;Chen, LB (corresponding author), Shanghai Ocean Univ, Shanghai Collaborat Innovat Aquat Anim Genet &amp; Br, Shanghai, Peoples R China.</t>
  </si>
  <si>
    <t>lbchen@shou.edu.cn</t>
  </si>
  <si>
    <t>Wang, Huamin/J-8701-2012</t>
  </si>
  <si>
    <t>National Key Research and Development Program of China [2018YFD0900601]; Natural Science Foundation of China [41761134050]; Polar Innovation Platform Grant [JDXT-2019-01]; Shanghai Education Committee [2017-01-07-00-10-E00060]</t>
  </si>
  <si>
    <t>National Key Research and Development Program of China; Natural Science Foundation of China(National Natural Science Foundation of China (NSFC)); Polar Innovation Platform Grant; Shanghai Education Committee</t>
  </si>
  <si>
    <t>This work was supported by grants from the National Key Research and Development Program of China (2018YFD0900601), Natural Science Foundation of China (41761134050), the Polar Innovation Platform Grant (JDXT-2019-01) and the Major Science Innovation Grant (2017-01-07-00-10-E00060) from the Shanghai Education Committee (to LC).</t>
  </si>
  <si>
    <t>1664-042X</t>
  </si>
  <si>
    <t>FRONT PHYSIOL</t>
  </si>
  <si>
    <t>Front. Physiol.</t>
  </si>
  <si>
    <t>DEC 15</t>
  </si>
  <si>
    <t>10.3389/fphys.2021.740806</t>
  </si>
  <si>
    <t>Physiology</t>
  </si>
  <si>
    <t>YA9XE</t>
  </si>
  <si>
    <t>WOS:000738676900001</t>
  </si>
  <si>
    <t>Hüner, NPA; Smith, DR; Cvetkovska, M; Zhang, X; Ivanov, AG; Szyszka-Mroz, B; Kalra, I; Morgan-Kiss, R</t>
  </si>
  <si>
    <t>Huner, Norman P. A.; Smith, David R.; Cvetkovska, Marina; Zhang, Xi; Ivanov, Alexander G.; Szyszka-Mroz, Beth; Kalra, Isha; Morgan-Kiss, Rachael</t>
  </si>
  <si>
    <t>Photosynthetic adaptation to polar life: Energy balance, photoprotection and genetic redundancy</t>
  </si>
  <si>
    <t>JOURNAL OF PLANT PHYSIOLOGY</t>
  </si>
  <si>
    <t>Light; Temperature; Photosynthesis; Photoprotection; Photopsychrophily; Photopsychrotolerannce; Genomic redundancy</t>
  </si>
  <si>
    <t>PHOTOCHEMICAL REFLECTANCE INDEX; PLASTID TERMINAL OXIDASE; CYCLIC ELECTRON FLOW; CYANOBACTERIUM PLECTONEMA-BORYANUM; THYLAKOID-PROTEIN-PHOSPHORYLATION; CHLAMYDOMONAS-RAUDENSIS UWO-241; FRESH-WATER ECOSYSTEMS; LOW-TEMPERATURE MIMICS; HARVESTING COMPLEX-II; SP UWO 241</t>
  </si>
  <si>
    <t>The persistent low temperature that characterize polar habitats combined with the requirement for light for all photoautotrophs creates a conundrum. The absorption of too much light at low temperature can cause an energy imbalance that decreases photosynthetic performance that has a negative impact on growth and can affect longterm survival. The goal of this review is to survey the mechanism(s) by which polar photoautotrophs maintain cellular energy balance, that is, photostasis to overcome the potential for cellular energy imbalance in their low temperature environments. Photopsychrophiles are photosynthetic organisms that are obligately adapted to low temperature (0 degrees- 15 degrees C) but usually die at higher temperatures (&gt;20 degrees C). In contrast, photopsychrotolerant species can usually tolerate and survive a broad range of temperatures (5 degrees- 40 degrees C). First, we summarize the basic concepts of excess excitation energy, energy balance, photoprotection and photostasis and their importance to survival in polar habitats. Second, we compare the photoprotective mechanisms that underlie photostasis and survival in aquatic cyanobacteria and green algae as well as terrestrial Antarctic and Arctic plants. We show that polar photopsychrophilic and photopsychrotolerant organisms attain energy balance at low temperature either through a regulated reduction in the efficiency of light absorption or through enhanced capacity to consume photosynthetic electrons by the induction of O2 as an alternative electron acceptor. Finally, we compare the published genomes of three photopsychrophilic and one photopsychrotolerant alga with five mesophilic green algae including the model green alga, Chlamydomonas reinhardtii. We relate our genomic analyses to photoprotective mechanisms that contribute to the potential attainment of photostasis. Finally, we discuss how the observed genomic redundancy in photopsychrophilic genomes may confer energy balance, photoprotection and resilience to their harsh polar environment. Primary production in aquatic, Antarctic and Arctic environments is dependent on diverse algal and cyanobacterial communities. Although mosses and lichens dominate the Antarctic terrestrial landscape, only two extant angiosperms exist in the Antarctic. The identification of a single 'molecular key' to unravel adaptation of photopsychrophily and photopsychrotolerance remains elusive. Since these photoautotrophs represent excellent biomarkers to assess the impact of global warming on polar ecosystems, increased study of these polar photoautotrophs remains essential.</t>
  </si>
  <si>
    <t>[Huner, Norman P. A.; Smith, David R.; Zhang, Xi; Ivanov, Alexander G.; Szyszka-Mroz, Beth] Univ Western Ontario, Dept Biol, London, ON N6A 5B7, Canada; [Huner, Norman P. A.; Ivanov, Alexander G.; Szyszka-Mroz, Beth] Univ Western Ontario, Biotron Ctr Expt Climate Change Res, London, ON N6A 5B7, Canada; [Cvetkovska, Marina] Univ Ottawa, Dept Biol, Ottawa, ON, Canada; [Kalra, Isha; Morgan-Kiss, Rachael] Miami Univ Ohio, Dept Microbiol, Oxford, OH 45056 USA; [Ivanov, Alexander G.] Bulgarian Acad Sci, Inst Biophys &amp; Biomed Engn, Sofia 1113, Bulgaria</t>
  </si>
  <si>
    <t>Western University (University of Western Ontario); Western University (University of Western Ontario); University of Ottawa; University System of Ohio; Miami University; Bulgarian Academy of Sciences</t>
  </si>
  <si>
    <t>Hüner, NPA (corresponding author), Univ Western Ontario, Dept Biol, London, ON N6A 5B7, Canada.;Hüner, NPA (corresponding author), Univ Western Ontario, Biotron Ctr Expt Climate Change Res, London, ON N6A 5B7, Canada.</t>
  </si>
  <si>
    <t>nhuner@uwo.ca; dsmit241@uwo.ca; mcvetkov@uottawa.ca; xzha25@uwo.ca; aivanov@uwo.ca; bszyszkamroz@gmail.co; kalrai@miamioh.edu; morganr2@miamioh.edu</t>
  </si>
  <si>
    <t>Smith, David Roy/L-7910-2015; Zhang, Xi/GLU-4807-2022</t>
  </si>
  <si>
    <t>Smith, David Roy/0000-0001-9560-5210; Zhang, Xi/0000-0003-2821-9066; Huner, Norman/0000-0001-8723-6961; Cvetkovska, Marina/0000-0002-7080-8203</t>
  </si>
  <si>
    <t>NSERC; Canada Foundation for Innovation; Canada Research Chairs Programme; University of Ottawa; NSF [1637708]; DOE [DE-SC0019138]; U.S. Department of Energy (DOE) [DE-SC0019138] Funding Source: U.S. Department of Energy (DOE)</t>
  </si>
  <si>
    <t>NSERC(Natural Sciences and Engineering Research Council of Canada (NSERC)); Canada Foundation for Innovation(Canada Foundation for InnovationCGIARSpanish Government); Canada Research Chairs Programme(Canada Research Chairs); University of Ottawa; NSF(National Science Foundation (NSF)); DOE(United States Department of Energy (DOE)); U.S. Department of Energy (DOE)(United States Department of Energy (DOE))</t>
  </si>
  <si>
    <t>NPAH is grateful for research funds provided through NSERC Dis-covery Grants and past financial support from the Canada Foundation for Innovation and the Canada Research Chairs Programme. The research of DRS was supported by an NSERC Discovery Grant. Research funding for MC was provided by an NSERC Discovery Grant and start-up funds from the University of Ottawa. Funding for RMK was provided by NSF Grant 1637708 and DOE Grant DE-SC0019138.</t>
  </si>
  <si>
    <t>0176-1617</t>
  </si>
  <si>
    <t>1618-1328</t>
  </si>
  <si>
    <t>J PLANT PHYSIOL</t>
  </si>
  <si>
    <t>J. Plant Physiol.</t>
  </si>
  <si>
    <t>10.1016/j.jplph.2021.153557</t>
  </si>
  <si>
    <t>XY3CW</t>
  </si>
  <si>
    <t>WOS:000736855800007</t>
  </si>
  <si>
    <t>Bergstrom, DM</t>
  </si>
  <si>
    <t>Bergstrom, Dana M.</t>
  </si>
  <si>
    <t>Maintaining Antarctica's isolation from non-native species</t>
  </si>
  <si>
    <t>Antarctica's isolation has been breached by various non-native species, including microbes, a grass, and some invertebrates. As yet, no marine species have reportedly established populations. With increasing effects of climate change and human activity, continued concerted action is needed to keep Antarctica protected from the impacts of non-native species establishment.</t>
  </si>
  <si>
    <t>[Bergstrom, Dana M.] Australian Antarctic Div, Dept Agr Water &amp; Environm, Kingston, Tas 7050, Australia; [Bergstrom, Dana M.] Univ Wollongong, Global Challenges Program, Wollongong, NSW, Australia</t>
  </si>
  <si>
    <t>Australian Antarctic Division; University of Wollongong</t>
  </si>
  <si>
    <t>Bergstrom, DM (corresponding author), Australian Antarctic Div, Dept Agr Water &amp; Environm, Kingston, Tas 7050, Australia.;Bergstrom, DM (corresponding author), Univ Wollongong, Global Challenges Program, Wollongong, NSW, Australia.</t>
  </si>
  <si>
    <t>dana.bergstrom@awe.gov.au</t>
  </si>
  <si>
    <t>Bergstrom, Dana/AAC-2837-2022</t>
  </si>
  <si>
    <t>Bergstrom, Dana/0000-0001-8484-8954</t>
  </si>
  <si>
    <t>10.1016/j.tree.2021.10.002</t>
  </si>
  <si>
    <t>XR9EA</t>
  </si>
  <si>
    <t>WOS:000732522300002</t>
  </si>
  <si>
    <t>Sutherland, WJ; Atkinson, PW; Butchart, SHM; Capaja, M; Dicks, LV; Fleishman, E; Gaston, KJ; Hails, RS; Hughes, AC; Le Anstey, B; Le Roux, X; Lickorish, FA; Maggs, L; Noor, N; Oldfield, TEE; Palardy, JE; Peck, LS; Pettorelli, N; Pretty, J; Spalding, MD; Tonneijck, FH; Truelove, G; Watson, JEM; Wentworth, J; Wilson, JD; Thornton, A</t>
  </si>
  <si>
    <t>Sutherland, William J.; Atkinson, Philip W.; Butchart, Stuart H. M.; Capaja, Marcela; Dicks, Lynn, V; Fleishman, Erica; Gaston, Kevin J.; Hails, Rosemary S.; Hughes, Alice C.; Le Anstey, Becky; Le Roux, Xavier; Lickorish, Fiona A.; Maggs, Luke; Noor, Noor; Oldfield, Thomasina E. E.; Palardy, James E.; Peck, Lloyd S.; Pettorelli, Nathalie; Pretty, Jules; Spalding, Mark D.; Tonneijck, Femke H.; Truelove, Gemma; Watson, James E. M.; Wentworth, Jonathan; Wilson, Jeremy D.; Thornton, Ann</t>
  </si>
  <si>
    <t>A horizon scan of global biological conservation issues for 2022</t>
  </si>
  <si>
    <t>PROCAMBARUS-VIRGINALIS LYKO</t>
  </si>
  <si>
    <t>We present the results of our 13th annual horizon scan of issues likely to impact on biodiversity conservation. Issues are either novel within the biological conserva-tion sector or could cause a substantial step-change in impact, either globally or regionally. Our global panel of 26 scientists and practitioners identified 15 issues that we believe to represent the highest priorities for tracking and action. Many of the issues we identified, including the impact of satellite megaconstellations and the use of long-distance wireless energy transfer, have both elements of threats and emerging opportunities. A recent state-sponsored application to com-mence deep-sea mining represents a significant step-change in impact. We hope that this horizon scan will increase research and policy attention on the highlighted issues.</t>
  </si>
  <si>
    <t>[Sutherland, William J.; Butchart, Stuart H. M.; Dicks, Lynn, V; Spalding, Mark D.; Thornton, Ann] Univ Cambridge, Dept Zool, Conservat Sci Grp, David Attenborough Bldg,Pembroke St, Cambridge CB2 3QZ, England; [Sutherland, William J.] Univ Cambridge, Biosecur Res Initiat St Catharines BioRISC, St Catharines Coll, Cambridge CB2 1RL, England; [Atkinson, Philip W.] British Trust Ornithol, Thetford IP24 2PU, England; [Butchart, Stuart H. M.] BirdLife Int, David Attenborough Bldg,Pembroke St, Cambridge C82 3QZ, England; [Capaja, Marcela] Nat England, Shaftesbury Rd, Cambridge CB2 8DR, England; [Dicks, Lynn, V] Univ East Anglia, Sch Biol Sci, Norwich NR4 7TJ, Norfolk, England; [Fleishman, Erica] Oregon State Univ, Coll Earth Ocean &amp; Atmospher Sci, Corvallis, OR 97331 USA; [Gaston, Kevin J.] Univ Exeter, Environm &amp; Sustainabil Inst, Penryn TR10 9FE, Cornwall, England; [Hails, Rosemary S.] Natl Trust, Heelis SN2 2NA, Swindon, England; [Hughes, Alice C.] Chinese Acad Sci, Ctr Integrat Conservat, Xishuangbanna Trop Bot Garden, Xishuangbanna 666303, Yunnan, Peoples R China; [Le Anstey, Becky] Environm Agcy, Horizon House,Deanery Rd, Bristol BS1 5AH, Avon, England; [Le Roux, Xavier] Univ Lyon 1, Microbial Ecol Ctr, UMR5557, INRAE UMR1418,CNRS,Univ Lyon, F-69622 Villeurbanne, France; [Le Roux, Xavier] Fdn Rech Sur Biodiversite, BiodivERsA, 195 Rue St Jacques, F-75005 Paris, France; [Lickorish, Fiona A.] UK Res &amp; Consultancy Serv Rcs Ltd, Hereford HR4 8BU, England; [Maggs, Luke] Nat Resources Wales, Cambria House,29 Newport Rd, Cardiff CF24 OTP, Wales; [Noor, Noor] World Conservat Monitoring Ctr, UNEP WCMC, Environm Programme, 219 Huntingdon Rd, Cambridge CB3 0DL, England; [Oldfield, Thomasina E. E.] TRAFFIC, David Attenborough Bldg,Pembroke St, Cambridge CB2 3QZ, England; [Palardy, James E.] Pew Charitable Trusts, 901 E St NW, Washington, DC 20004 USA; [Peck, Lloyd S.] British Antarctic Survey, Nat Environm Res Council, Cambridge CB3 0ET, England; [Pettorelli, Nathalie] Zool Soc London, Inst Zool, Regents Pk, London NW1 4RY, England; [Pretty, Jules] Univ Essex, Ctr Publ &amp; Policy Engagement, Colchester CO4 3SQ, Essex, England; [Pretty, Jules] Univ Essex, Sch Life Sci, Colchester CO4 3SQ, Essex, England; [Spalding, Mark D.] Univ Siena, Dept Phys Earth &amp; Environm Sci, Nat Conservancy, I-53100 Siena, Italy; [Tonneijck, Femke H.] Wetlands Int, NL-6700 AL Wageningen, Netherlands; [Truelove, Gemma] NERC, UK Res &amp; Innovat, Polaris House,North Star Ave, Swindon SN2 1EU, Wilts, England; [Watson, James E. M.] Univ Queensland, Sch Earth &amp; Environm Sci, St Lucia, Qld 4072, Australia; [Wentworth, Jonathan] Parliamentary Off Sci &amp; Technol, 14 Tothill St, London SW1H 9NB, England; [Wilson, Jeremy D.] Royal Soc Protect Birds RSPB, Ctr Conservat Sci, 2 Lochside View, Edinburgh EH12 9DH, Midlothian, Scotland</t>
  </si>
  <si>
    <t>University of Cambridge; University of Cambridge; British Trust for Ornithology; BirdLife International; University of East Anglia; Oregon State University; University of Exeter; Chinese Academy of Sciences; Xishuangbanna Tropical Botanical Garden, CAS; VetAgro Sup; Centre National de la Recherche Scientifique (CNRS); Universite Claude Bernard Lyon 1; INRAE; United Nations Environment Programme; UK Research &amp; Innovation (UKRI); Natural Environment Research Council (NERC); NERC British Antarctic Survey; Zoological Society of London; University of Essex; University of Essex; University of Siena; UK Research &amp; Innovation (UKRI); Natural Environment Research Council (NERC); University of Queensland</t>
  </si>
  <si>
    <t>Sutherland, WJ (corresponding author), Univ Cambridge, Dept Zool, Conservat Sci Grp, David Attenborough Bldg,Pembroke St, Cambridge CB2 3QZ, England.;Sutherland, WJ (corresponding author), Univ Cambridge, Biosecur Res Initiat St Catharines BioRISC, St Catharines Coll, Cambridge CB2 1RL, England.</t>
  </si>
  <si>
    <t>w.sutherland@zoo.cam.ac.uk</t>
  </si>
  <si>
    <t>Pettorelli, Nathalie/AAW-8438-2021; Butchart, Stuart HM/Y-2711-2018; Sutherland, William/B-1291-2013; Dicks, Lynn V./AFH-5289-2022; Spalding, Mark/GVU-0739-2022; Hughes, Alice C./HCH-3838-2022; Atkinson, Philip W/B-8975-2009; Watson, James Edward Maxwell/D-8779-2013</t>
  </si>
  <si>
    <t>Dicks, Lynn V./0000-0002-8304-4468; Hughes, Alice C./0000-0002-4899-3158; Watson, James Edward Maxwell/0000-0003-4942-1984; Atkinson, Philip/0000-0002-0838-557X; Lickorish, Fiona/0000-0002-0696-202X; Pettorelli, Nathalie/0000-0002-1594-6208; Palardy, James/0000-0002-8347-7108; LE ROUX, Xavier/0000-0001-9695-0825</t>
  </si>
  <si>
    <t>Natural Environment Research Council; RSPB; Arcadia; NERC [NE/N014472/2, NE/N014472/1, bas0100036] Funding Source: UKRI</t>
  </si>
  <si>
    <t>Natural Environment Research Council(UK Research &amp; Innovation (UKRI)Natural Environment Research Council (NERC)); RSPB; Arcadia; NERC(UK Research &amp; Innovation (UKRI)Natural Environment Research Council (NERC))</t>
  </si>
  <si>
    <t>This exercise was coordinated by the Cambridge Conservation Initiative with funding offered by the Natural Environment Research Council and the RSPB (this funding was not needed because the proceedings were held online). We are grateful to everyone who submitted ideas to the exercise and the following who suggested a topic that made the final list: Jason Dinsdale (wireless energy infrastructure), Ian Francis (floating photovoltaics), Robin Freeman (airborne eDNA), Lizzie Garratt (environmental consequences of new refrigerants), Lammert Hilarides (mangrove expansion), and Jiping Shi (green ammonia). Wewould also like to thank Mick Clout who contributed to the process but was unable to attend the workshop, and the referees for comments. The results, conclusions, and opinions expressed are those of the authors and do not necessarily reflect the views of any of their organisations. A.T. and W.J.S. are funded by Arcadia.</t>
  </si>
  <si>
    <t>10.1016/j.tree.2021.10.014</t>
  </si>
  <si>
    <t>WOS:000732522300014</t>
  </si>
  <si>
    <t>Bressac, M; Wagener, T; Leblond, N; Tovar-Sánchez, A; Ridame, C; Taillandier, V; Albani, S; Guasco, S; Dufour, A; Jacquet, SHM; Dulac, F; Desboeufs, K; Guieu, C</t>
  </si>
  <si>
    <t>Bressac, Matthieu; Wagener, Thibaut; Leblond, Nathalie; Tovar-Sanchez, Antonio; Ridame, Celine; Taillandier, Vincent; Albani, Samuel; Guasco, Sophie; Dufour, Aurelie; Jacquet, Stephanie H. M.; Dulac, Francois; Desboeufs, Karine; Guieu, Cecile</t>
  </si>
  <si>
    <t>Subsurface iron accumulation and rapid aluminum removal in the Mediterranean following African dust deposition</t>
  </si>
  <si>
    <t>MESOPELAGIC CARBON REMINERALIZATION; TRACE-METAL CONCENTRATIONS; ATMOSPHERIC DEPOSITION; DISSOLVED ALUMINUM; ATLANTIC-OCEAN; SAHARAN DUST; BIOLOGICAL REMOVAL; BIOGENIC SILICA; SURFACE WATERS; MINERAL DUST</t>
  </si>
  <si>
    <t>Mineral dust deposition is an important supply mechanism for trace elements in the low-latitude ocean. Our understanding of the controls of such inputs has been mostly built on laboratory and surface ocean studies. The lack of direct observations and the tendency to focus on near-surface waters prevent a comprehensive evaluation of the role of dust in oceanic biogeochemical cycles. In the frame of the PEACETIME project (ProcEss studies at the Air-sEa Interface after dust deposition in the MEditerranean sea), the responses of the aluminum (Al) and iron (Fe) cycles to two dust wet deposition events over the central and western Mediterranean Sea were investigated at a timescale of hours to days using a comprehensive dataset gathering dissolved and suspended particulate concentrations, along with sinking fluxes. Dissolved Al (dAl) removal was dominant over dAl released from dust. The Fe/Al ratio of suspended and sinking particles revealed that biogenic particles, and in particular diatoms, were key in accumulating and exporting Al relative to Fe. By combining these observations with published Al/Si ratios of diatoms, we show that adsorption onto biogenic particles, rather than active uptake, represents the main sink for dAl in Mediterranean waters. In contrast, systematic dissolved Fe (dFe) accumulation occurred in subsurface waters (similar to 100-1000 m), while dFe input from dust was only transient in the surface mixed layer. The rapid transfer of dust to depth, the Fe-binding ligand pool in excess to dFe in subsurface (while nearly saturated in surface), and low scavenging rates in this particle-poor depth horizon are all important drivers of this subsurface dFe enrichment. At the annual scale, this previously overlooked mechanism may represent an additional pathway of dFe supply for the surface ocean through diapycnal diffusion and vertical mixing. However, low subsurface dFe concentrations observed at the basin scale (&lt; 0.5 nmol kg(-1)) cause us to question the residence time for this dust-derived subsurface reservoir and hence its role as a supply mechanism for the surface ocean, stressing the need for further studies. Finally, these contrasting responses indicate that dAl is a poor tracer of dFe input in the Mediterranean Sea.</t>
  </si>
  <si>
    <t>[Bressac, Matthieu; Taillandier, Vincent; Guieu, Cecile] Sorbonne Univ, CNRS, Lab Oceanog Villefranche, LOV, F-06230 Villefranche Sur Mer, France; [Bressac, Matthieu] Univ Tasmania, Inst Marine &amp; Antarctic Studies, Hobart, Tas, Australia; [Wagener, Thibaut; Guasco, Sophie; Dufour, Aurelie; Jacquet, Stephanie H. M.] Univ Toulon &amp; Var, Aix Marseille Univ, IRD, CNRS,MIO,UMR 110, F-13288 Marseille, France; [Leblond, Nathalie] Sorbonne Univ, CNRS, Inst Mer Villefranche, IMEV, F-06230 Villefranche Sur Mer, France; [Tovar-Sanchez, Antonio] CSIC, Inst Marine Sci Andalusia ICMAN, Dept Ecol &amp; Coastal Management, Puerto Real 07190, Spain; [Ridame, Celine] Sorbonne Univ, LOCEAN, 4 Pl Jussieu, F-75252 Paris 05, France; [Albani, Samuel] Univ Milano Bicocca, Dept Environm &amp; Earth Sci, Milan, Italy; [Albani, Samuel; Dulac, Francois] Univ Paris Saclay, Inst Pierre Simon Laplace, Lab Sci Climat &amp; Environm LSCE, UVSQ,CEA,CNRS,UMR 8212, F-91191 Gif Sur Yvette, France; [Desboeufs, Karine] Univ Paris Est Creteil, Univ Paris, Inst Pierre Simon Laplace, Lab Interuniv Syst Atmospher LISA,CNRS,UMR7583, F-75013 Paris, France</t>
  </si>
  <si>
    <t>Centre National de la Recherche Scientifique (CNRS); Sorbonne Universite; University of Tasmania; Aix-Marseille Universite; Institut de Recherche pour le Developpement (IRD); Centre National de la Recherche Scientifique (CNRS); Universite de Toulon; Centre National de la Recherche Scientifique (CNRS); Sorbonne Universite; Consejo Superior de Investigaciones Cientificas (CSIC); CSIC - Instituto de Ciencias Marinas de Andalucia (ICMAN); Museum National d'Histoire Naturelle (MNHN); Sorbonne Universite; University of Milano-Bicocca; CEA; Centre National de la Recherche Scientifique (CNRS); Universite Paris Saclay; Universite Paris Cite; CNRS - National Institute for Earth Sciences &amp; Astronomy (INSU); Universite Paris-Est-Creteil-Val-de-Marne (UPEC); Universite Paris Cite; Universite Paris Saclay; Centre National de la Recherche Scientifique (CNRS); CNRS - National Institute for Earth Sciences &amp; Astronomy (INSU)</t>
  </si>
  <si>
    <t>Bressac, M (corresponding author), Sorbonne Univ, CNRS, Lab Oceanog Villefranche, LOV, F-06230 Villefranche Sur Mer, France.;Bressac, M (corresponding author), Univ Tasmania, Inst Marine &amp; Antarctic Studies, Hobart, Tas, Australia.</t>
  </si>
  <si>
    <t>matthieu.bressac@imev-mer.fr</t>
  </si>
  <si>
    <t>Dulac, François/AAD-6573-2019; Tovar-Sánchez, Antonio/B-8003-2010; Albani, Samuel/AAC-5604-2020</t>
  </si>
  <si>
    <t>Albani, Samuel/0000-0001-9736-5134; ridame, Celine/0000-0001-5085-1127; wagener, thibaut/0000-0002-3968-0678; Guieu, Cecile/0000-0001-6373-8326; DESBOEUFS, Karine/0000-0002-7766-6877; Bressac, Matthieu/0000-0003-3075-3137; Tovar-Sanchez, Antonio/0000-0003-4375-1982; DUFOUR, Aurelie/0000-0003-3357-3721</t>
  </si>
  <si>
    <t>Horizon 2020 (IRON-IC) [626734]; Horizon 2020 (DUSC3) [708119]; CNRS-INSU; IFREMER; CEA; MeteoFrance, program MISTRALS; European FEDER fund [1166-39417]</t>
  </si>
  <si>
    <t>Horizon 2020 (IRON-IC); Horizon 2020 (DUSC3); CNRS-INSU(Centre National de la Recherche Scientifique (CNRS)); IFREMER; CEA(French Atomic Energy Commission); MeteoFrance, program MISTRALS; European FEDER fund</t>
  </si>
  <si>
    <t>This research has been supported by the Horizon 2020 (IRON-IC (grant no. 626734)) and the Horizon 2020 (DUSC3 (grant no. 708119)). The project leading to this publication received funding from CNRS-INSU, IFREMER, CEA, and MeteoFrance as part of the program MISTRALS coordinated by INSU and from the European FEDER fund (grant no. 1166-39417).</t>
  </si>
  <si>
    <t>10.5194/bg-18-6435-2021</t>
  </si>
  <si>
    <t>XP1GS</t>
  </si>
  <si>
    <t>WOS:000730622300001</t>
  </si>
  <si>
    <t>Waldock, C; Stuart-Smith, RD; Albouy, C; Cheung, WWL; Edgar, GJ; Mouillot, D; Tjiputra, J; Pellissier, L</t>
  </si>
  <si>
    <t>Waldock, Conor; Stuart-Smith, Rick D.; Albouy, Camille; Cheung, William W. L.; Edgar, Graham J.; Mouillot, David; Tjiputra, Jerry; Pellissier, Loic</t>
  </si>
  <si>
    <t>A quantitative review of abundance-based species distribution models</t>
  </si>
  <si>
    <t>ECOGRAPHY</t>
  </si>
  <si>
    <t>abundance-based species distribution model; biodiversity modelling; population density; random forest; species abundance model; species distribution model; systematic conservation planning</t>
  </si>
  <si>
    <t>CLIMATE-CHANGE; CONSERVATION IMPLICATIONS; INTERACTION STRENGTH; EXTINCTION RISK; BRIGHT SPOTS; NICHE MODELS; RANGE SHIFTS; SAMPLE-SIZE; RESPONSES; POPULATION</t>
  </si>
  <si>
    <t>The contributions of species to ecosystem functions or services depend not only on their presence but also on their local abundance. Progress in predictive spatial modelling has largely focused on species occurrence rather than abundance. As such, limited guidance exists on the most reliable methods to explain and predict spatial variation in abundance. We analysed the performance of 68 abundance-based species distribution models fitted to 800 000 standardised abundance records for more than 800 terrestrial bird and reef fish species. We found a large amount of variation in the performance of abundance-based models. While many models performed poorly, a subset of models consistently reconstructed range-wide abundance patterns. The best predictions were obtained using random forests for frequently encountered and abundant species and for predictions within the same environmental domain as model calibration. Extending predictions of species abundance outside of the environmental conditions used in model training generated poor predictions. Thus, interpolation of abundances between observations can help improve understanding of spatial abundance patterns, but our results indicate extrapolated predictions of abundance under changing climate have a much greater uncertainty. Our synthesis provides a road map for modelling abundance patterns, a key property of species distributions that underpins theoretical and applied questions in ecology and conservation.</t>
  </si>
  <si>
    <t>[Waldock, Conor; Pellissier, Loic] Swiss Fed Inst Technol, Inst Terr Ecosyst, Landscape Ecol, Zurich, Switzerland; [Waldock, Conor; Pellissier, Loic] Swiss Fed Res Inst WSL, Birmensdorf, Switzerland; [Stuart-Smith, Rick D.; Edgar, Graham J.] Univ Tasmania, Inst Marine &amp; Antarctic Studies, Hobart, Tas, Australia; [Albouy, Camille] IFREMER, Unite Ecol &amp; Modeles Halieut, Nantes, France; [Cheung, William W. L.] Univ British Columbia, Inst Oceans &amp; Fisheries, Vancouver, BC, Canada; [Mouillot, David] Univ Montpellier, CNRS, MARBEC, IFREMER,IRD, Montpellier, France; [Tjiputra, Jerry] Bjerknes Ctr Climate Res, NORCE Climate, Bergen, Norway</t>
  </si>
  <si>
    <t>Swiss Federal Institutes of Technology Domain; ETH Zurich; Swiss Federal Institutes of Technology Domain; Swiss Federal Institute for Forest, Snow &amp; Landscape Research; University of Tasmania; Ifremer; University of British Columbia; Centre National de la Recherche Scientifique (CNRS); Universite de Montpellier; Ifremer; Institut de Recherche pour le Developpement (IRD); Bjerknes Centre for Climate Research; Norwegian Research Centre (NORCE)</t>
  </si>
  <si>
    <t>Waldock, C (corresponding author), Swiss Fed Inst Technol, Inst Terr Ecosyst, Landscape Ecol, Zurich, Switzerland.;Waldock, C (corresponding author), Swiss Fed Res Inst WSL, Birmensdorf, Switzerland.</t>
  </si>
  <si>
    <t>conorwaldock@gmail.com</t>
  </si>
  <si>
    <t>Cheung, William/F-5104-2013; Tjiputra, Jerry/AAB-5896-2022; Edgar, Graham/AAY-3797-2020; Stuart-Smith, Rick/I-5214-2019; albouy, camille/H-9317-2012</t>
  </si>
  <si>
    <t>Edgar, Graham/0000-0003-0833-9001; Stuart-Smith, Rick/0000-0002-8874-0083; Waldock, Conor/0000-0002-2818-9859; Tjiputra, Jerry/0000-0002-4600-2453; albouy, camille/0000-0003-1629-2389</t>
  </si>
  <si>
    <t>[295340]</t>
  </si>
  <si>
    <t>CW and JT supported by BiodivERsA Reef-Futures no. 295340.</t>
  </si>
  <si>
    <t>0906-7590</t>
  </si>
  <si>
    <t>1600-0587</t>
  </si>
  <si>
    <t>Ecography</t>
  </si>
  <si>
    <t>10.1111/ecog.05694</t>
  </si>
  <si>
    <t>XY2EU</t>
  </si>
  <si>
    <t>WOS:000730509300001</t>
  </si>
  <si>
    <t>Wang, GF; Wang, TX; Xue, HZ</t>
  </si>
  <si>
    <t>Wang, Gaofeng; Wang, Tianxing; Xue, Huazhu</t>
  </si>
  <si>
    <t>Validation and comparison of surface shortwave and longwave radiation products over the three poles</t>
  </si>
  <si>
    <t>Shortwave radiation; Longwave radiation; Arctic; Antarctic; Qinghai-Tibet Plateau; Three poles; CERES-SYN; ERA5; MCD18A1; GLASS</t>
  </si>
  <si>
    <t>PHOTOSYNTHETICALLY ACTIVE RADIATION; QUALITY-CONTROL; MODIS; RESOLUTION; DATASET</t>
  </si>
  <si>
    <t>Global warming has currently become a great concern to the international community, among which the three poles (the Arctic, Antarctic, and Qinghai-Tibet Plateau) are the most serious. In this paper, in order to improve the understanding of the matter and energy cycle in the three poles and even the world, eleven shortwave products, (namely, CERES-SYN, ERA5, MERRA-2, NCEP-CFSR, JRA-55, GLDAS, BESS_Rad, MCD18A1, ISCCPHXG-SSR, GLASS and APP-x), and seven longwave products, (CERES-SYN, ERA5, MERRA-2, NCEP-CFSR, JRA55, GLDAS, and APP-x) are evaluated and inter-compared in terms of accuracy. During the assessment, the ground measurements collected from four independent ground observation networks (BSRN, CEOP, TPDC, and NMC) are used as reference, and the being compared products are aggregated to the same spatial and temporal scales to make them comparable. To better examine their performance, the eleven radiation products are comprehensively compared in multiple spatial (original scale and 1 degrees x 1 degrees) and temporal scales (1-hourly, 3-hourly, daily, and monthly means, and instantaneous). The results show that in the three poles, CERES-SYN and ERA5 show overall better accuracy, at daily, 1 degrees x 1 degrees resolutions. The (r)bias and (r)RMSE are less than (3%)5 W/m2 and (23%)40 W/m2 for SWDR, and less than (3%)7 W/m(2) and (15%)25 W/m(2) for LWDR, respectively, over the polar regions (the Arctic and Antarctic), which are generally better than that of the Qinghai-Tibet Plateau for most products. The remote sensing products and reanalysis products have their own advantages and disadvantages at different regions. In addition, with the spatio-temporal resolution decreasing, the accuracy of radiation products will gradually increase, except for the products of MCD18A1, ISCCP-HXG-SSR, NCEP-CFSR and GLDAS.</t>
  </si>
  <si>
    <t>[Wang, Gaofeng; Xue, Huazhu] Henan Polytech Univ, Sch Surveying &amp; Land Informat Engn, Jiaozuo 454150, Henan, Peoples R China; [Wang, Tianxing] Sun Yat Sen Univ, Sch Geospatial Engn &amp; Sci, Zhuhai 519000, Peoples R China; [Wang, Tianxing] Southern Marine Sci &amp; Engn Guangdong Lab Zhuhai, Zhuhai 519000, Peoples R China</t>
  </si>
  <si>
    <t>Henan Polytechnic University; Sun Yat Sen University; Southern Marine Science &amp; Engineering Guangdong Laboratory; Southern Marine Science &amp; Engineering Guangdong Laboratory (Zhuhai)</t>
  </si>
  <si>
    <t>Wang, TX (corresponding author), Sun Yat Sen Univ, Sch Geospatial Engn &amp; Sci, Zhuhai 519000, Peoples R China.;Wang, TX (corresponding author), Southern Marine Sci &amp; Engn Guangdong Lab Zhuhai, Zhuhai 519000, Peoples R China.</t>
  </si>
  <si>
    <t>wangtx23@mail.sysu.edu.cn</t>
  </si>
  <si>
    <t>Keyes, Dennis/AAZ-9285-2021; shuqian, liu/CAF-5267-2022</t>
  </si>
  <si>
    <t>National Natural Science Foundation of China (NSFC) [41771387, 42022008]; Innovation Group Project of Southern Marine Science and Engineering Guangdong Laboratory (Zhuhai) [311021008]</t>
  </si>
  <si>
    <t>National Natural Science Foundation of China (NSFC)(National Natural Science Foundation of China (NSFC)); Innovation Group Project of Southern Marine Science and Engineering Guangdong Laboratory (Zhuhai)</t>
  </si>
  <si>
    <t>This work was carried out under the co-funding of the National Natural Science Foundation of China (NSFC) project (Grant NO. 41771387, 42022008) and the Innovation Group Project of Southern Marine Science and Engineering Guangdong Laboratory (Zhuhai) (No. 311021008). The BSRN data were downloaded from http://www.bsrn. awi.de/. The CEOP data were downloaded from http://www.eol.ucar. edu/project/ceop. The TPDC-QTP data set is provided by the National Tibetan Plateau Data Center (http://data.tpdc.ac.cn). The CERES_SYN products used in this work are downloaded from https://ceres-tool.larc. nasa.gov/ord-tool/jsp/SYN1degEd41Selection.jsp. The BESS_Rad products are downloaded from http://environment.snu.ac.kr/bess_rad/. The MCD18A1 products are downloaded from https://lpdaac.usgs.gov/pr oducts/mcd18a1v006/. The ISCCP-HXG-SSR data set is provided by the National Tibetan Plateau Data Center (http://data.tpdc.ac.cn). The GLASS products are downloaded from http://www.glass.umd.edu. The APP-x products are downloaded from https://www.ncdc.noaa.gov/cd r/atmospheric/extended-avhrr-polar-pathfinder-app-x. The ERA5 reanalysis datasets are downloaded from https://cds.climate.copernicus. eu/cdsapp#!/dataset/reanalysis-era5-single-levels?tab=form. The MERRA-2 reanalysis datasets are downloaded from https://gmao.gsfc. nasa.gov/reanalysis/MERRA-2/. The NCEP-CFSR reanalysis datasets are downloaded from https://rda.ucar.edu/#!lfd?nb=y&amp;b=proj &amp;v=NCEP%20Climate%20Forecast%20System%20Reanalysis. The JRA-55 reanalysis datasets are downloaded from https://rda.ucar. edu/#!lfd?nb=y&amp;b=proj&amp;v=JMA%20Japanese%2055-year%20Reana lysis. The GLDAS reanalysis datasets are downloaded from https://ldas. gsfc.nasa.gov/gldas/. We are very grateful to these organizations for providing the data we used in this study.</t>
  </si>
  <si>
    <t>10.1016/j.jag.2021.102538</t>
  </si>
  <si>
    <t>UY7CJ</t>
  </si>
  <si>
    <t>WOS:000701677000002</t>
  </si>
  <si>
    <t>Marcoleta, AE; Arros, P; Varas, MA; Costa, J; Rojas-Salgado, J; Berríos-Pastén, C; Tapia-Fuentes, S; Silva, D; Fierro, J; Canales, N; Chávez, FP; Gaete, A; González, M; Allende, ML; Lagos, R</t>
  </si>
  <si>
    <t>Marcoleta, Andres E.; Arros, Patricio; Varas, Macarena A.; Costa, Jose; Rojas-Salgado, Johanna; Berrios-Pasten, Camilo; Tapia-Fuentes, Sofia; Silva, Daniel; Fierro, Jose; Canales, Nicolas; Chavez, Francisco P.; Gaete, Alexis; Gonzalez, Mauricio; Allende, Miguel L.; Lagos, Rosalba</t>
  </si>
  <si>
    <t>The highly diverse Antarctic Peninsula soil microbiota as a source of novel resistance genes</t>
  </si>
  <si>
    <t>Antimicrobial and metal resistance; Natural resistome; Extreme environments; Mobile genetic elements; Microbial diversity; Anthropogenic intervention</t>
  </si>
  <si>
    <t>ANTIBIOTIC-RESISTANCE; WASTE-WATER; BETA-LACTAMASE; MECHANISMS; BACTERIA; CONTAMINATION; COSELECTION; ALIGNMENT; ELEMENTS; GENOMES</t>
  </si>
  <si>
    <t>The rise of multiresistant bacterial pathogens is currently one of the most critical threats to global health, encouraging a better understanding of the evolution and spread of antimicrobial resistance. In this regard, the role of the environ-ment as a source of resistance mechanisms remains poorly understood. Moreover, we still know a minimal part of the microbial diversity and resistome present in remote and extreme environments, hosting microbes that evolved to resist harsh conditions and thus a potentially rich source of novel resistance genes. This work demonstrated that the Antarc-tic Peninsula soils host a remarkable microbial diversity and a widespread presence of autochthonous antibiotic-resistant bacteria and resistance genes. We observed resistance to a wide array of antibiotics among isolates, including Pseudomonas resisting ten or more different compounds, with an overall increased resistance in bacteria from non-intervened areas. In addition, genome analysis of selected isolates showed several genes encoding efflux pumps, as well as a lack of known resistance genes for some of the resisted antibiotics, including colistin, suggesting novel uncharacterized mechanisms. By combining metagenomic approaches based on analyzing raw reads, assembled contigs, and metagenome-assembled genomes, we found hundreds of widely distributed genes potentially conferring resistance to different antibiotics (including an outstanding variety of inactivation enzymes), metals, and biocides, hosted mainly by Polaromonas, Pseudomonas, Streptomyces, Variovorax, and Burkholderia. Furthermore, a proportion of these genes were found inside predicted plasmids and other mobile elements, including a putative OXA-like carbapenemase from Polaromonas harboring conserved key residues and predicted structural features. All this evidence indicates that the Antarctic Peninsula soil microbiota has a broad natural resistome, part of which could be transferred horizontally to pathogenic bacteria, acting as a potential source of novel resistance genes.</t>
  </si>
  <si>
    <t>[Marcoleta, Andres E.; Arros, Patricio; Varas, Macarena A.; Costa, Jose; Rojas-Salgado, Johanna; Berrios-Pasten, Camilo; Tapia-Fuentes, Sofia; Silva, Daniel; Fierro, Jose; Canales, Nicolas; Lagos, Rosalba] Univ Chile, Fac Ciencias, Dept Biol, Lab Biol Estruct &amp; Mol BEM,Grp Microbiol Integrat, Santiago, Chile; [Chavez, Francisco P.] Univ Chile, Fac Ciencias, Dept Biol, Lab Microbiol Sistemas, Santiago, Chile; [Gaete, Alexis; Gonzalez, Mauricio] Univ Chile, Inst Nutr &amp; Tecnol Alimentos, Lab Bioinformat &amp; Expres Gen, Santiago, Chile; [Gaete, Alexis; Allende, Miguel L.] Univ Chile, Fac Ciencias, FONDAP Ctr Genome Regulat, Santiago, Chile</t>
  </si>
  <si>
    <t>Universidad de Chile; Universidad de Chile; Universidad de Chile; Universidad de Chile</t>
  </si>
  <si>
    <t>Marcoleta, AE (corresponding author), Univ Chile, Fac Ciencias, Dept Biol, Lab Biol Estruct &amp; Mol BEM,Grp Microbiol Integrat, Santiago, Chile.</t>
  </si>
  <si>
    <t>amarcoleta@uchile.cl</t>
  </si>
  <si>
    <t>Chávez, Francisco/G-6264-2010; Caldera, Andrés Marcoleta/AFN-3162-2022</t>
  </si>
  <si>
    <t>Chávez, Francisco/0000-0002-6838-208X; Gaete, Alexis/0000-0001-9132-231X</t>
  </si>
  <si>
    <t>Instituto Antartico Chileno (INACH, Chile) [RT_51-16]; Agencia Nacional de Investigacion y Desarrollo (ANID, Chile) [FONDECYT 11181135, FONDAP 15200002]</t>
  </si>
  <si>
    <t>Instituto Antartico Chileno (INACH, Chile); Agencia Nacional de Investigacion y Desarrollo (ANID, Chile)</t>
  </si>
  <si>
    <t>This work was supported by the Instituto Antartico Chileno (INACH, Chile) grant number RT_51-16 and by the Agencia Nacional de Investigacion y Desarrollo (ANID, Chile) grant FONDECYT 11181135 and grant FONDAP 15200002.</t>
  </si>
  <si>
    <t>10.1016/j.scitotenv.2021.152003</t>
  </si>
  <si>
    <t>YD2RI</t>
  </si>
  <si>
    <t>WOS:000740223500004</t>
  </si>
  <si>
    <t>Kajtar, JB; Holbrook, NJ; Hernaman, V</t>
  </si>
  <si>
    <t>Kajtar, Jules B.; Holbrook, Neil J.; Hernaman, Vanessa</t>
  </si>
  <si>
    <t>A catalogue of marine heatwave metrics and trends for the Australian region</t>
  </si>
  <si>
    <t>JOURNAL OF SOUTHERN HEMISPHERE EARTH SYSTEMS SCIENCE</t>
  </si>
  <si>
    <t>Australian climate; case studies; extreme events; marine heatwaves; observations; potential predictability; sea surface temperature; trends</t>
  </si>
  <si>
    <t>SEA-SURFACE TEMPERATURE; WESTERN-AUSTRALIA; NINGALOO NINO; NORTH PACIFIC; VARIABILITY; MANAGEMENT; IMPACTS; OCEAN; MECHANISMS; GENERATION</t>
  </si>
  <si>
    <t>Marine heatwaves around Australia, and globally, have been increasing in their frequency, intensity, and duration. This study reviews and catalogues marine heatwave metrics and trends around Australia since 1982, from near the beginning of the satellite sea-surface temperature observing period. The years in which the longest and strongest marine heatwaves around Australia occurred are also recorded. In addition, we analyse marine heatwaves in selected case study regions, and provide a short review of their associated impacts. These regions include: off the Western Australian coast, Torres Strait, Great Barrier Reef, Tasman Sea, and South Australian Basin. Finally, we provide a brief review of progress in understanding the potential predictability of sea surface temperature changes and marine heatwaves around Australia.</t>
  </si>
  <si>
    <t>[Kajtar, Jules B.; Holbrook, Neil J.] Univ Tasmania, Inst Marine &amp; Antarctic Studies, Hobart, Tas, Australia; [Kajtar, Jules B.; Holbrook, Neil J.] Univ Tasmania, Australian Res Council Ctr Excellence Climate Ext, Hobart, Tas, Australia; [Hernaman, Vanessa] CSIRO Oceans &amp; Atmosphere, Climate Sci Ctr, Aspendale, Vic, Australia</t>
  </si>
  <si>
    <t>Kajtar, Jules B./A-5897-2016; Hernaman, Vanessa/ABA-8227-2021; Holbrook, Neil/M-7544-2013</t>
  </si>
  <si>
    <t>Kajtar, Jules B./0000-0003-0114-6610; Hernaman, Vanessa/0000-0002-0042-7579; Holbrook, Neil/0000-0002-3523-6254</t>
  </si>
  <si>
    <t>2206-5865</t>
  </si>
  <si>
    <t>J SO HEMISPH EARTH</t>
  </si>
  <si>
    <t>J. South Hemisph. Earth Syst. Sci.</t>
  </si>
  <si>
    <t>10.1071/ES21014</t>
  </si>
  <si>
    <t>YX9NS</t>
  </si>
  <si>
    <t>WOS:000729749400001</t>
  </si>
  <si>
    <t>An, MD; Western, LM; Say, D; Chen, LQ; Claxton, T; Ganesan, AL; Hossaini, R; Krummel, PB; Manning, AJ; Mühle, J; O'Doherty, S; Prinn, RG; Weiss, RF; Young, D; Hu, JX; Yao, B; Rigby, M</t>
  </si>
  <si>
    <t>An, Minde; Western, Luke M.; Say, Daniel; Chen, Liqu; Claxton, Tom; Ganesan, Anita L.; Hossaini, Ryan; Krummel, Paul B.; Manning, Alistair J.; Muhle, Jens; O'Doherty, Simon; Prinn, Ronald G.; Weiss, Ray F.; Young, Dickon; Hu, Jianxin; Yao, Bo; Rigby, Matthew</t>
  </si>
  <si>
    <t>Rapid increase in dichloromethane emissions from China inferred through atmospheric observations</t>
  </si>
  <si>
    <t>HALOGENATED COMPOUNDS; GLOBAL EMISSIONS; HFC EMISSIONS; IN-SITU; TRANSPORT; BROMINE; MODEL; HYDROCARBONS; HALOCARBONS; CHLOROFORM</t>
  </si>
  <si>
    <t>Dichloromethane (CH2Cl2) is an unregulated ozone depleting substance whose emissions have strongly increased in recent years. Here, the authors show that rising emissions of dichloromethane in China between 2011 and 2019 can explain much of this global increase. With the successful implementation of the Montreal Protocol on Substances that Deplete the Ozone Layer, the atmospheric abundance of ozone-depleting substances continues to decrease slowly and the Antarctic ozone hole is showing signs of recovery. However, growing emissions of unregulated short-lived anthropogenic chlorocarbons are offsetting some of these gains. Here, we report an increase in emissions from China of the industrially produced chlorocarbon, dichloromethane (CH2Cl2). The emissions grew from 231 (213-245) Gg yr(-1) in 2011 to 628 (599-658) Gg yr(-1) in 2019, with an average annual increase of 13 (12-15) %, primarily from eastern China. The overall increase in CH2Cl2 emissions from China has the same magnitude as the global emission rise of 354 (281-427) Gg yr(-1) over the same period. If global CH2Cl2 emissions remain at 2019 levels, they could lead to a delay in Antarctic ozone recovery of around 5 years compared to a scenario with no CH2Cl2 emissions.</t>
  </si>
  <si>
    <t>[An, Minde; Hu, Jianxin] Peking Univ, Coll Environm Sci &amp; Engn, Beijing, Peoples R China; [An, Minde; Western, Luke M.; Say, Daniel; O'Doherty, Simon; Young, Dickon; Rigby, Matthew] Univ Bristol, Sch Chem, Bristol, Avon, England; [Chen, Liqu; Yao, Bo] China Meteorol Adm MOC CMA, Meteorol Observat Ctr, Beijing, Peoples R China; [Claxton, Tom; Hossaini, Ryan] Univ Lancaster, Lancaster Environm Ctr, Lancaster, England; [Ganesan, Anita L.] Univ Bristol, Sch Geog Sci, Bristol, Avon, England; [Hossaini, Ryan] Univ Lancaster, Ctr Excellence Environm Data Sci, Lancaster, England; [Krummel, Paul B.] CSIRO Oceans &amp; Atmosphere, Climate Sci Ctr, Aspendale, Vic, Australia; [Manning, Alistair J.] Hadley Ctr, Met Off, Exeter, Devon, England; [Muhle, Jens; Weiss, Ray F.] Univ Calif San Diego, Scripps Inst Oceanog, La Jolla, CA 92093 USA; [Prinn, Ronald G.] MIT, Ctr Global Change Sci, 77 Massachusetts Ave, Cambridge, MA 02139 USA; [Yao, Bo] Fudan Univ, Dept Atmospher &amp; Ocean Sci, Shanghai, Peoples R China; [Yao, Bo] Fudan Univ, Inst Atmospher Sci, Shanghai, Peoples R China</t>
  </si>
  <si>
    <t>Peking University; University of Bristol; Lancaster University; University of Bristol; Lancaster University; Commonwealth Scientific &amp; Industrial Research Organisation (CSIRO); Met Office - UK; Hadley Centre; University of California System; University of California San Diego; Scripps Institution of Oceanography; Massachusetts Institute of Technology (MIT); Fudan University; Fudan University</t>
  </si>
  <si>
    <t>Hu, JX (corresponding author), Peking Univ, Coll Environm Sci &amp; Engn, Beijing, Peoples R China.;Rigby, M (corresponding author), Univ Bristol, Sch Chem, Bristol, Avon, England.;Yao, B (corresponding author), China Meteorol Adm MOC CMA, Meteorol Observat Ctr, Beijing, Peoples R China.;Yao, B (corresponding author), Fudan Univ, Dept Atmospher &amp; Ocean Sci, Shanghai, Peoples R China.;Yao, B (corresponding author), Fudan Univ, Inst Atmospher Sci, Shanghai, Peoples R China.</t>
  </si>
  <si>
    <t>alistair.manning@metoffice.gov.uk; jianxin@pku.edu.cn; yaob@cma.gov.cn; matt.rigby@bristol.ac.uk</t>
  </si>
  <si>
    <t>Krummel, Paul B/A-4293-2013; Hu, Jianxin/N-3498-2013; Muhle, Jens/GPX-3244-2022; Young, Dickon/AFO-7065-2022; Hossaini, Ryan/F-7134-2015; Rigby, Matthew/A-5555-2012; Ganesan, Anita/D-6230-2016</t>
  </si>
  <si>
    <t>Krummel, Paul B/0000-0002-4884-3678; Muhle, Jens/0000-0001-9776-3642; Young, Dickon/0000-0002-6723-3138; Hossaini, Ryan/0000-0003-2395-6657; An, Minde/0000-0002-4749-6029; Say, Daniel/0000-0003-3615-7926; Ganesan, Anita/0000-0001-5715-8923; Yao, Bo/0000-0002-5433-2276; Western, Luke/0000-0002-0043-711X</t>
  </si>
  <si>
    <t>National Key Research and Development Program of China [2019YFC0214500]; National Aeronautics and Space Administration (NASA) [NNX-16AC98G, NNX16AC97G, NNX16AC96G]; UK Department for Business, Energy &amp; Industrial Strategy (BEIS) [1537/06/2018]; National Oceanic and Atmospheric Administration (NOAA) [RA-133-R15-CN-0008, 1305M319CNRMJ0028]; Commonwealth Scientific and Industrial Research Organization (CSIRO); Bureau of Meteorology (Australia); NERC Independent Research Fellowship [NE/N014375/1]; NERC ISHOC project [NE/R004927/1]; NERC [NE/M014851/1, NE/N016548/1, NE/S004211/1]; European Union's Horizon 2020 research and innovation programme under the Marie Skodowska-Curie grant [101030750]; U.K. Natural Environment Research Council (NERC) Independent Research Fellowship [NE/L010992/1]; NERC [NE/S004211/1, NE/L013088/1, NE/R004927/1, NE/L010992/1, NE/I021365/1, NE/M014851/1, NE/N014375/1] Funding Source: UKRI; Marie Curie Actions (MSCA) [101030750] Funding Source: Marie Curie Actions (MSCA)</t>
  </si>
  <si>
    <t>National Key Research and Development Program of China; National Aeronautics and Space Administration (NASA)(National Aeronautics &amp; Space Administration (NASA)); UK Department for Business, Energy &amp; Industrial Strategy (BEIS); National Oceanic and Atmospheric Administration (NOAA)(National Oceanic Atmospheric Admin (NOAA) - USA); Commonwealth Scientific and Industrial Research Organization (CSIRO)(Commonwealth Scientific &amp; Industrial Research Organisation (CSIRO)); Bureau of Meteorology (Australia)(Bureau of Meteorology - Australia); NERC Independent Research Fellowship(UK Research &amp; Innovation (UKRI)Natural Environment Research Council (NERC)); NERC ISHOC project; NERC(UK Research &amp; Innovation (UKRI)Natural Environment Research Council (NERC)); European Union's Horizon 2020 research and innovation programme under the Marie Skodowska-Curie grant; U.K. Natural Environment Research Council (NERC) Independent Research Fellowship(UK Research &amp; Innovation (UKRI)Natural Environment Research Council (NERC)); NERC(UK Research &amp; Innovation (UKRI)Natural Environment Research Council (NERC)); Marie Curie Actions (MSCA)(Marie Curie Actions)</t>
  </si>
  <si>
    <t>This work was supported by the National Key Research and Development Program of China (Grant No. 2019YFC0214500). We are thankful for the stations personnel who have supported the in situ measurements and daily or weekly canister sampling at SDZ, WLG, LAN, LFS, XGL, JGJ, XGF, AKD, JSA. This work has benefited from the technical expertise of and assistance by the AGAGE (Advanced Global Atmospheric Gases Experiment) network including the Medusa GC/MS system technology, calibrations of CH2Cl2 measurements and network operation, as well as Dr. Martin Vollmer from Swiss Federal Laboratories for Materials Science and Technology. We acknowledge the support from members of Atmospheric Chemistry Research Group at University of Bristol. Measurements at the Mace Head, Trinidad Head, Ragged Point, Cape Matatula, and Cape Grim AGAGE stations are supported by the National Aeronautics and Space Administration (NASA) (grants NNX-16AC98G to MIT, and NNX16AC97G and NNX16AC96G to SIO). Support also comes from the UK Department for Business, Energy &amp; Industrial Strategy (BEIS, Contract 1537/06/2018 to the University of Bristol) for Mace Head, the National Oceanic and Atmospheric Administration (NOAA, Contract RA-133-R15-CN-0008 and 1305M319CNRMJ0028 to the University of Bristol) for Ragged Point, and the Commonwealth Scientific and Industrial Research Organization (CSIRO) and the Bureau of Meteorology (Australia) for Cape Grim. R.H. is supported by a NERC Independent Research Fellowship (NE/N014375/1) and the NERC ISHOC project (NE/R004927/1). L.M.W. and M.R. received funding from NERC grants NE/M014851/1, NE/N016548/1 and NE/S004211/1, and L.M.W. received funding from the European Union's Horizon 2020 research and innovation programme under the Marie Skodowska-Curie grant agreement No 101030750. A.L.G. was supported by U.K. Natural Environment Research Council (NERC) Independent Research Fellowship (NE/L010992/1).</t>
  </si>
  <si>
    <t>DEC 14</t>
  </si>
  <si>
    <t>10.1038/s41467-021-27592-y</t>
  </si>
  <si>
    <t>XO7WQ</t>
  </si>
  <si>
    <t>WOS:000730391400017</t>
  </si>
  <si>
    <t>Seefeldt, MW; Low, TM; Landolt, SD; Nylen, TH</t>
  </si>
  <si>
    <t>Seefeldt, Mark W.; Low, Taydra M.; Landolt, Scott D.; Nylen, Thomas H.</t>
  </si>
  <si>
    <t>Remote and autonomous measurements of precipitation for the northwestern Ross Ice Shelf, Antarctica</t>
  </si>
  <si>
    <t>SURFACE MASS-BALANCE; SNOW ACCUMULATION; DUMONT DURVILLE; ADELIE LAND; SHEET; CLIMATE; RADAR; VARIABILITY</t>
  </si>
  <si>
    <t>The Antarctic Precipitation System project deployed and maintained four sites across the northwestern Ross Ice Shelf in Antarctica from November 2017 to November 2019. The goals for the project included the collection of in situ observations of precipitation in Antarctica spanning a duration of 2 years, an improvement in the understanding of precipitation events across the Ross Ice Shelf, and the ability to validate precipitation data from atmospheric numerical models. At each of the four sites the precipitation was measured with an OTT Pluvio(2) precipitation gauge. Additionally, snow accumulation at the site was measured with a sonic ranging sensor and using GPS interferometric reflectivity. Supplemental observations of temperature, wind speed, particle count, particle size and speed, and images and video from a camera were collected to provide context to the precipitation measurements. The collected dataset represents some of the first year-round observations of precipitation in Antarctica at remote locations using an autonomous measurement system. The acquired observations have been quality-controlled and post-processed, and they are available for retrieval through the United States Antarctic Program Data Center (https://doi.org/10.15784/601441, Seefeldt, 2021).</t>
  </si>
  <si>
    <t>[Seefeldt, Mark W.] Univ Colorado, Natl Snow Ice &amp; Data Ctr, Boulder, CO 80303 USA; [Low, Taydra M.] Univ Colorado, Dept Atmospher &amp; Ocean Sci, Boulder, CO 80303 USA; [Landolt, Scott D.] Natl Ctr Atmospher Res, Res Applicat Lab, Boulder, CO 80301 USA; [Nylen, Thomas H.] Tech Univ Denmark, DK-2800 Copenhagen, Denmark</t>
  </si>
  <si>
    <t>University of Colorado System; University of Colorado Boulder; University of Colorado System; University of Colorado Boulder; National Center Atmospheric Research (NCAR) - USA; Technical University of Denmark</t>
  </si>
  <si>
    <t>Seefeldt, MW (corresponding author), Univ Colorado, Natl Snow Ice &amp; Data Ctr, Boulder, CO 80303 USA.</t>
  </si>
  <si>
    <t>mark.seefeldt@colorado.edu</t>
  </si>
  <si>
    <t>Nylen, Thomas/0000-0001-9579-8702</t>
  </si>
  <si>
    <t>National Science Foundation [PLR 1543377, PLR 1543325]</t>
  </si>
  <si>
    <t>The APS project was funded by the National Science Foundation grant numbers PLR 1543377 and PLR 1543325.</t>
  </si>
  <si>
    <t>10.5194/essd-13-5803-2021</t>
  </si>
  <si>
    <t>XP1DO</t>
  </si>
  <si>
    <t>WOS:000730613800001</t>
  </si>
  <si>
    <t>Bennett, S; Alcoverro, T; Kletou, D; Antoniou, C; Boada, J; Buñuel, X; Cucala, L; Jorda, G; Kleitou, P; Roca, G; Santana-Garcon, J; Savva, I; Vergés, A; Marbà, N</t>
  </si>
  <si>
    <t>Bennett, Scott; Alcoverro, Teresa; Kletou, Demetris; Antoniou, Charalampos; Boada, Jordi; Bunuel, Xavier; Cucala, Lidia; Jorda, Gabriel; Kleitou, Periklis; Roca, Guillem; Santana-Garcon, Julia; Savva, Ioannis; Verges, Adriana; Marba, NUria</t>
  </si>
  <si>
    <t>Resilience of seagrass populations to thermal stress does not reflect regional differences in ocean climate</t>
  </si>
  <si>
    <t>acclimation; herbivory; local adaptation; ocean warming; phenotypic plasticity; Posidonia; thermal sensitivity</t>
  </si>
  <si>
    <t>POSIDONIA-OCEANICA; SEA; PATTERNS</t>
  </si>
  <si>
    <t>The prevalence of local adaptation and phenotypic plasticity among populations is critical to accurately predicting when and where climate change impacts will occur. Currently, comparisons of thermal performance between populations are untested for most marine species or overlooked by models predicting the thermal sensitivity of species to extirpation. Here we compared the ecological response and recovery of seagrass populations (Posidonia oceanica) to thermal stress throughout a year-long translocation experiment across a 2800-km gradient in ocean climate. Transplants in central and warm-edge locations experienced temperatures &gt; 29 degrees C, representing thermal anomalies &gt; 5 degrees C above long-term maxima for cool-edge populations, 1.5 degrees C for central and Cool-edge, central and warm-edge populations differed in thermal performance when grown under common conditions, but patterns contrasted with expectations based on thermal geography. Cool-edge populations did not differ from warm-edge populations under common conditions and performed significantly better than central populations in growth and survival. Our findings reveal that thermal performance does not necessarily reflect the thermal geography of a species. We demonstrate that warm-edge populations can be less sensitive to thermal stress than cooler, central populations suggesting that Mediterranean seagrasses have greater resilience to warming than current paradigms suggest.</t>
  </si>
  <si>
    <t>[Bennett, Scott; Santana-Garcon, Julia] Univ Tasmania, Inst Marine &amp; Antarctic Studies, Hobart, Tas 7001, Australia; [Bennett, Scott; Cucala, Lidia; Roca, Guillem; Santana-Garcon, Julia; Marba, NUria] Inst Mediterrani Estudis Avancats CSIC UIB, Global Change Res Grp, Miguel Marques 21, Esporles 07190, Spain; [Alcoverro, Teresa; Bunuel, Xavier] Ctr Estudis Avancats Blanes CEAB CSIC, Carter Acces Cala St Francesc, Blanes 17300, Spain; [Kletou, Demetris; Antoniou, Charalampos; Kleitou, Periklis; Savva, Ioannis] Marine &amp; Environm Res Mer Lab Ltd, 202 Amathountos Ave,Block B, CY-4533 Limassol, Cyprus; [Boada, Jordi] Univ Barcelona, Fac Biol, Dept Biol Evolut Ecol &amp; Ciendes Ambientals, Av Diagonal 643, Barcelona 08028, Spain; [Boada, Jordi] Univ Girona, Fac Ciencies, Inst Ecol Aquat, Girona 17003, Spain; [Jorda, Gabriel] Ctr Oceanog Balears, Inst Espanol Oceanog, Moll Ponent S-N, Palma De Mallorca 07015, Spain; [Kleitou, Periklis] Univ Plymouth, Sch Biol &amp; Marine Sci, Plymouth PL4 8AA, Devon, England; [Verges, Adriana] Univ New South Wales, Sch Biol Earth &amp; Environm Sci, Ctr Marine Sci &amp; Innovat, Evolut &amp; Ecol Res Ctr, Sydney, NSW 2033, Australia</t>
  </si>
  <si>
    <t>University of Tasmania; Consejo Superior de Investigaciones Cientificas (CSIC); ATTITUS Educacao; Consejo Superior de Investigaciones Cientificas (CSIC); CSIC - Centre d'Estudis Avancats de Blanes (CEAB); University of Barcelona; Universitat de Girona; Spanish Institute of Oceanography; University of Plymouth; University of New South Wales Sydney</t>
  </si>
  <si>
    <t>Bennett, S (corresponding author), Univ Tasmania, Inst Marine &amp; Antarctic Studies, Hobart, Tas 7001, Australia.</t>
  </si>
  <si>
    <t>scott.bennett0@utas.edu.au</t>
  </si>
  <si>
    <t>Alcoverro, Teresa/J-9258-2012; Kleitou, Periklis/L-1329-2019; Marba, Nuria/H-8136-2015; Bennett, Scott/A-8747-2016; Boada, Jordi/U-3934-2017; Santana-Garcon, Julia/M-1410-2013; Verges, Adriana/B-8288-2013</t>
  </si>
  <si>
    <t>Alcoverro, Teresa/0000-0002-3910-9594; Kleitou, Periklis/0000-0002-9168-4721; Marba, Nuria/0000-0002-8048-6789; Bennett, Scott/0000-0003-2969-7430; Boada, Jordi/0000-0002-3815-625X; Roca, Guillem/0000-0002-8225-6047; Savva, Ioannis/0000-0002-0336-2619; Santana-Garcon, Julia/0000-0001-7961-3552; Verges, Adriana/0000-0002-3507-1234</t>
  </si>
  <si>
    <t>Fundacion BBVA; European Union [659246]; Spanish Ministry of Economy, Industry and Competitiveness; Australian Research Council [DE200100900]; Spanish Ministry of Economy, Industry and Competitiveness [CGL2015-71809-P]; Spanish Ministry of Science and Innovation [CTM2017-86695-C3-1-R, FJC18-035566-I]; Marie Curie Actions (MSCA) [659246] Funding Source: Marie Curie Actions (MSCA); Australian Research Council [DE200100900] Funding Source: Australian Research Council</t>
  </si>
  <si>
    <t>Fundacion BBVA(BBVA Foundation); European Union(European Union (EU)); Spanish Ministry of Economy, Industry and Competitiveness(Spanish Government); Australian Research Council(Australian Research Council); Spanish Ministry of Economy, Industry and Competitiveness(Spanish Government); Spanish Ministry of Science and Innovation(Spanish Government); Marie Curie Actions (MSCA)(Marie Curie Actions); Australian Research Council(Australian Research Council)</t>
  </si>
  <si>
    <t>This study was funded by Fundacion BBVA (project Interbioclima). SB received funding from the European Union's Horizon 2020 research and innovation programme under grant agreement no. 659246, Juan de la Cierva Formacion contract from the Spanish Ministry of Economy, Industry and Competitiveness and the Australian Research Council (DE200100900). NM and SB received funding from the Spanish Ministry of Economy, Industry and Competitiveness (MedShift, CGL2015-71809-P). JB received funding from the Spanish Ministry of Science and Innovation, Juan de la Cierva FJC18-035566-I. TA received funding from the Spanish Ministry of Science and Innovation (Project: UMBRAL, CTM2017-86695-C3-1-R). Authors are grateful to Anais Barrera and Marc Casas for their help during the field and laboratory work in Catalunya.</t>
  </si>
  <si>
    <t>10.1111/nph.17885</t>
  </si>
  <si>
    <t>WOS:000729770300001</t>
  </si>
  <si>
    <t>Kraft, S; Pérez-Alvarez, M; Olavarria, C; Moraga, R; Baker, CS; Steel, D; Tixier, P; Guinet, C; Viricel, A; Brickle, P; Costa, M; Crespo, E; Durante, C; Loizaga, R; Poulin, E</t>
  </si>
  <si>
    <t>Kraft, Sebastian; Perez-Alvarez, MJose; Olavarria, Carlos; Moraga, Rodrigo; Baker, C. Scott; Steel, Debbie; Tixier, Paul; Guinet, Christophe; Viricel, Amelia; Brickle, Paul; Costa, Marina; Crespo, Enrique; Durante, Cristian; Loizaga, Rocio; Poulin, Elie</t>
  </si>
  <si>
    <t>From Settlers to Subspecies: Genetic Differentiation in Commerson's Dolphins Between South America and the Kerguelen Islands</t>
  </si>
  <si>
    <t>Cephalorhynchus commersonii; colonization; divergence; last glacial maximum; mitochondrial DNA; phylogeography</t>
  </si>
  <si>
    <t>CEPHALORHYNCHUS-COMMERSONII; POPULATION-STRUCTURE; HECTORS DOLPHINS; RANGE; DNA; PHYLOGEOGRAPHY; PATTERNS; LACEPEDE; PIGMENTATION; BIOGEOGRAPHY</t>
  </si>
  <si>
    <t>Commerson's dolphins (Cephalorhynchus commersonii) are separated into the subspecies C. c. commersonii, found along southern South America (SA) and the Falkland Islands/Islas Malvinas (FI/IM), and C. c. kerguelenensis, restricted to the subantarctic Kerguelen Islands (KI). Following the dispersal model proposed for the genus, the latter is thought to have originated from SA after a long-distance dispersal event. To evaluate this biogeographic scenario, a distribution-wide, balanced sampling of mitochondrial DNA (mtDNA) control region sequences was designed. New tissue samples from southern Chile, Argentina, FI/IM, and KI were added to published sequences from SA and KI, for a total of 256 samples. Genetic diversity indices, genetic and phylogeographic structure, and migration rates were calculated. One haplotype was shared between subspecies, with which all haplotypes of C. c. kerguelenensis formed a distinct group in the haplotype network. A new haplotype for C. c. kerguelenensis is reported. Differentiation in haplotype frequencies was found among localities within the distribution of C. c. commersonii, yet the phylogeographic signal was only statistically significant between subspecies. Coalescent-based historical gene flow estimations indicated migration between the northern and southern portions of the species' range in SA as well as between SA and the FI/IM, but not between these and the KI. The net nucleotide divergence between dolphins from SA and the FI/IM was lower than the recommended threshold value suggested for delimiting subspecies, unlike that found between C. c. commersonii and C. c. kerguelenensis. The results are consistent with the model of post-glacial colonization of KI by South American C. commersonii, followed by an ongoing divergence process and subspecies status. Thus, C. c. kerguelenensis may represent the most recent diversification step of Cephalorhynchus, where isolation from their source population is driving a process of incipient speciation.</t>
  </si>
  <si>
    <t>[Kraft, Sebastian; Perez-Alvarez, MJose; Poulin, Elie] Univ Chile, Inst Ecol &amp; Biodiversidad IEB, Fac Ciencias, Lab Ecol Mol, Santiago, Chile; [Perez-Alvarez, MJose] Univ Mayor, Fac Ciencias, Escuela Med Vet, Santiago, Chile; [Perez-Alvarez, MJose; Olavarria, Carlos; Moraga, Rodrigo] Ctr Invest Eutropia, Santiago, Chile; [Perez-Alvarez, MJose; Poulin, Elie] Millennium Inst Biodivers Antarctic &amp; Subantarcti, Santiago, Chile; [Olavarria, Carlos] Ctr Estudios Avanzados Zonas Aridas CEAZA, La Serena, Chile; [Baker, C. Scott; Steel, Debbie] Oregon State Univ, Marine Mammal Inst, Newport, OR USA; [Tixier, Paul] Univ Montpellier, CNRS, IFREMER, MARBEC,IRD, Sete, France; [Tixier, Paul; Guinet, Christophe] CNRS, ULR, UMR 7273, Ctr Etud Biol Chize CEBC, Villiers En Bois, France; [Viricel, Amelia] Univ Rochelle, CNRS, UMR 7266, Littoral Environm &amp; Soc LIENSs, Villiers En Bois, France; [Crespo, Enrique] South Atlantic Environm Res Inst SAERI, Stanley, Falkland Island; [Costa, Marina; Crespo, Enrique; Durante, Cristian; Loizaga, Rocio] Consejo Nacl Invest Cient &amp; Tecn, Ctr Estudio Sistemas Marinos CESIMAR, Lab Mamiferos Marinos, Puerto Madryn, Argentina; [Kraft, Sebastian] Univ Algarve, Ctr Marine Sci CCMAR, Campus Gambelas, Faro, Portugal</t>
  </si>
  <si>
    <t>Universidad de Chile; Universidad Mayor; Oregon State University; Ifremer; Universite de Montpellier; Centre National de la Recherche Scientifique (CNRS); Institut de Recherche pour le Developpement (IRD); Centre National de la Recherche Scientifique (CNRS); CNRS - Institute of Chemistry (INC); Centre National de la Recherche Scientifique (CNRS); Consejo Nacional de Investigaciones Cientificas y Tecnicas (CONICET); Universidade do Algarve</t>
  </si>
  <si>
    <t>Pérez-Alvarez, M (corresponding author), Univ Chile, Inst Ecol &amp; Biodiversidad IEB, Fac Ciencias, Lab Ecol Mol, Santiago, Chile.;Pérez-Alvarez, M (corresponding author), Univ Mayor, Fac Ciencias, Escuela Med Vet, Santiago, Chile.;Pérez-Alvarez, M (corresponding author), Ctr Invest Eutropia, Santiago, Chile.;Pérez-Alvarez, M (corresponding author), Millennium Inst Biodivers Antarctic &amp; Subantarcti, Santiago, Chile.</t>
  </si>
  <si>
    <t>Tixier, Paul/AFU-7272-2022; Kraft, Sebastian/JPX-4638-2023; Poulin, Elie/C-2654-2012</t>
  </si>
  <si>
    <t>Kraft, Sebastian/0000-0003-0719-8040; Poulin, Elie/0000-0001-7736-0969; Perez-Alvarez, M.Jose/0000-0003-1440-8966; Durante, Cristian Alberto/0000-0003-3879-6529</t>
  </si>
  <si>
    <t>Chilean Undersecretariat for Fisheries and Aquaculture RES [665/2009, RES 67/2010, RES 334/2012]; National Geographic Society/Waitt Foundation Program; Darwin Plus award [DPLUS0042]; United Kingdom, Department for Environment, Food and Rural Affairs</t>
  </si>
  <si>
    <t>Chilean Undersecretariat for Fisheries and Aquaculture RES; National Geographic Society/Waitt Foundation Program(National Geographic Society); Darwin Plus award; United Kingdom, Department for Environment, Food and Rural Affairs(Department for Environment, Food &amp; Rural Affairs (DEFRA))</t>
  </si>
  <si>
    <t>Financial support for this project was provided by the CONICYT Postdoctoral FONDECYT Program 3140513, CONICYT Program FONDECYT Iniciacion 11170182. Instituto de Ecologia y Biodiversidad (IEB, Proyecto CONICYT PIA APOYO CCTE AFB170008), Proyecto PIA CONICYT ACT172065, Reserve Naturelle Nationale des Terres Australes Francaises.</t>
  </si>
  <si>
    <t>DEC 13</t>
  </si>
  <si>
    <t>10.3389/fmars.2021.782512</t>
  </si>
  <si>
    <t>YG7YQ</t>
  </si>
  <si>
    <t>WOS:000742699300001</t>
  </si>
  <si>
    <t>Burns, SJ; McGee, D; Scroxton, N; Kinsley, CW; Godfrey, LR; Faina, P; Ranivoharimanana, L</t>
  </si>
  <si>
    <t>Burns, Stephen J.; McGee, David; Scroxton, Nick; Kinsley, Christopher W.; Godfrey, Laurie R.; Faina, Peterson; Ranivoharimanana, Lovasoa</t>
  </si>
  <si>
    <t>Southern Hemisphere controls on ITCZ variability in southwest Madagascar over the past 117,000 years</t>
  </si>
  <si>
    <t>Speleothems; Paleoclimatology; Madagascar; Southern hemisphere; Millennial-scale climate variability; Last glacial period</t>
  </si>
  <si>
    <t>ATMOSPHERIC CIRCULATION; NORTHWESTERN MADAGASCAR; ENVIRONMENTAL-CHANGES; MONSOON RECORD; DIATOM RECORD; ASIAN MONSOON; CLIMATE; RAINFALL; MODEL; CAVE</t>
  </si>
  <si>
    <t>Migration of the inter-tropical convergence zone, driven by changes in seasonal insolation and high northern latitude temperatures, is the primary control on tropical rainfall on geologic timescales. We test this paradigm using the timing of growth of stalagmites from southwest Madagascar to infer the timing of expansion of the ITCZ to the south at its southern limit. Over the past 117 ky, speleothems grew in the study area primarily when two conditions are met: summer insolation greater than the mean and relatively high Southern Hemisphere temperatures as indicted by maxima in Antarctic ice core oxygen isotope ratios. We observe little influence of Northern Hemisphere, millennial scale temperature variability on the pluvial periods. Further, we observe periods during which the ITCZ simultaneously expands or contracts in both hemispheres. Because Antarctic isotope maxima are periods of increased atmospheric CO2, our results have implications for how tropical rainfall in the Southern Hemisphere might respond to global warming. (C) 2021 Elsevier Ltd. All rights reserved.</t>
  </si>
  <si>
    <t>[Burns, Stephen J.; Scroxton, Nick] Univ Massachusetts, Dept Geosci, 611 North Pleast St, Amherst, MA 01003 USA; [McGee, David; Kinsley, Christopher W.] MIT, Dept Earth Atmospher &amp; Planetary Sci, 77 Massachusetts Ave, Cambridge, MA 02139 USA; [Scroxton, Nick] Univ Coll Dublin, Sch Earth Sci, Dublin 4, Ireland; [Godfrey, Laurie R.] Univ Massachusetts, Dept Anthropol, 240 Hicks Way, Amherst, MA 01003 USA; [Faina, Peterson; Ranivoharimanana, Lovasoa] Univ Antananar, Conservat, Evolut, Bassins Sedimentaires, BP 906, Antananarivo 101, Madagascar</t>
  </si>
  <si>
    <t>University of Massachusetts System; University of Massachusetts Amherst; Massachusetts Institute of Technology (MIT); University College Dublin; University of Massachusetts System; University of Massachusetts Amherst</t>
  </si>
  <si>
    <t>Burns, SJ (corresponding author), Univ Massachusetts, Dept Geosci, 611 North Pleast St, Amherst, MA 01003 USA.</t>
  </si>
  <si>
    <t>sburns@umass.edu; davidmcg@mit.edu; nick.scroxton@ucd.ie; ckinsley@mit.edu; lgodfrey@umass.edu; petersonfaina@gmail.com; ranivolova@gmail.com</t>
  </si>
  <si>
    <t>Scroxton, Nick/0000-0003-2315-9199; Kinsley, Christopher/0000-0002-3185-520X; Burns, Stephen/0000-0003-4623-5326; Godfrey, Laurie/0000-0001-9997-0207</t>
  </si>
  <si>
    <t>National Science Foundation [AGS-1702891/1702691, BCS-1750598]</t>
  </si>
  <si>
    <t>This researchwas supported by the National Science Foundation grants AGS-1702891/1702691 and BCS-1750598.</t>
  </si>
  <si>
    <t>10.1016/j.quascirev.2021.107317</t>
  </si>
  <si>
    <t>XR0KZ</t>
  </si>
  <si>
    <t>WOS:000731929600015</t>
  </si>
  <si>
    <t>Tidd, AN; Rousseau, Y; Ojea, E; Watson, RA; Blanchard, JL</t>
  </si>
  <si>
    <t>Tidd, Alex N.; Rousseau, Yannick; Ojea, Elena; Watson, Reg A.; Blanchard, Julia L.</t>
  </si>
  <si>
    <t>Food security challenged by declining efficiencies of artisanal fishing fleets: A global country-level analysis</t>
  </si>
  <si>
    <t>GLOBAL FOOD SECURITY-AGRICULTURE POLICY ECONOMICS AND ENVIRONMENT</t>
  </si>
  <si>
    <t>Technical efficiency; Fisheries; Global change; Data envelopment analysis; Sustainable development</t>
  </si>
  <si>
    <t>ENVIRONMENTAL PERFORMANCE; FISHERIES; SUSTAINABILITY</t>
  </si>
  <si>
    <t>Global capture fisheries are a vital global food provisioning to help end hunger and malnutrition. To ensure that global seafood supply sustainably supports a growing population, many initiatives within the UN Sustainable-Development-Goals seek to balance management with efficient resource use. Here we examine changes for 150 countries that represent over 98% of global catch for the 1950-2014 period by analysing multiple fleet outputs relative to inputs (such as vessel power) using data envelopment analysis. We show that country specific technical efficiency has declined at rates of -3% (-1)(yr) for artisanal and industrial fleets in 44 and 49 countries respectively. Recent global artisanal fleet (2010-2014 average) declines of -0.2% (-1)(yr) show losses that translates to similar to 71400t posing serious implications for sustainable food security and vulnerable livelihoods in the face of climate change.</t>
  </si>
  <si>
    <t>[Tidd, Alex N.; Ojea, Elena] Univ Vigo, Future Oceans Lab, CIM, Campus Lagoas Marcosende, Vigo 36310, Spain; [Rousseau, Yannick; Watson, Reg A.; Blanchard, Julia L.] Univ Tasmania, Inst Marine &amp; Antarctic Studies, Private Bag 49, Hobart, Tas 7001, Australia; [Watson, Reg A.; Blanchard, Julia L.] Ctr Marine Socioecol, Battery Point 7004, Australia</t>
  </si>
  <si>
    <t>Universidade de Vigo; University of Tasmania</t>
  </si>
  <si>
    <t>Tidd, AN (corresponding author), Univ Vigo, Future Oceans Lab, CIM, Campus Lagoas Marcosende, Vigo 36310, Spain.</t>
  </si>
  <si>
    <t>alex.tidd@uvigo.es</t>
  </si>
  <si>
    <t>; ojea, elena/D-3709-2018</t>
  </si>
  <si>
    <t>Rousseau, Yannick/0000-0003-0765-7518; ojea, elena/0000-0003-4991-8077</t>
  </si>
  <si>
    <t>European Research Council under the European Union's Horizon 2020 research and innovation program; Universidade de Vigo/CISUG</t>
  </si>
  <si>
    <t>The research conducted here has received funding from the European Research Council under the European Union's Horizon 2020 research and innovation program.; Funding for open access charge: Universidade de Vigo/CISUG.</t>
  </si>
  <si>
    <t>2211-9124</t>
  </si>
  <si>
    <t>GLOB FOOD SECUR-AGR</t>
  </si>
  <si>
    <t>Glob. Food Secur.-Agric.Policy</t>
  </si>
  <si>
    <t>10.1016/j.gfs.2021.100598</t>
  </si>
  <si>
    <t>XV3RL</t>
  </si>
  <si>
    <t>WOS:000734863100001</t>
  </si>
  <si>
    <t>Potenza, MAC; Cremonesi, L</t>
  </si>
  <si>
    <t>Potenza, Marco A. C.; Cremonesi, Llorenc</t>
  </si>
  <si>
    <t>On the quasi-universality of the forward light scattering lobe for micrometric objects</t>
  </si>
  <si>
    <t>JOURNAL OF QUANTITATIVE SPECTROSCOPY &amp; RADIATIVE TRANSFER</t>
  </si>
  <si>
    <t>Mie scattering; Microparticles; Aerosol optical properties</t>
  </si>
  <si>
    <t>PARTICLES; MODEL; SIZE; DISCREPANCY; PATTERNS; SHAPE; DUST</t>
  </si>
  <si>
    <t>A quasi-universality property of Mie scattering was reported in a recent publication by C.M. Sorensen [J. Quant. Spectrosc. Radiat. Transf. (2013) 131, 3]: the authors represent the forward scattered intensity, normalized by the differential Rayleigh cross section, as a function of the coupling parameter. Here we provide clear experimental evidence of this result; the Sorensen plots are produced without any free parameter for pure water droplets suspended in air and oil-in-water emulsions measured by the Single Particle Extinction and Scattering method. In addition, as inferred by Sorensen, we find that non-spherical objects deviate from the quasi-universality behavior of spheres by applying the same approach to mineral dust. Notably, the larger discrepancies occur in the wavelength-scale size range. These plots can widen the field of diagnostics in the critical micrometric size range. (c) 2021 Elsevier Ltd. All rights reserved.</t>
  </si>
  <si>
    <t>[Potenza, Marco A. C.] Univ Milan, Dept Phys, Via Celoria 16, I-20133 Milan, Italy; Univ Milan, CIMaINa, Via Celoria 16, I-20133 Milan, Italy</t>
  </si>
  <si>
    <t>University of Milan; University of Milan</t>
  </si>
  <si>
    <t>Potenza, MAC (corresponding author), Univ Milan, Dept Phys, Via Celoria 16, I-20133 Milan, Italy.</t>
  </si>
  <si>
    <t>marco.potenza@unimi.it</t>
  </si>
  <si>
    <t>Cremonesi, Llorenc/IUP-4805-2023</t>
  </si>
  <si>
    <t>Cremonesi, Llorenc/0000-0002-4276-0660</t>
  </si>
  <si>
    <t>[PNRA16_00231]</t>
  </si>
  <si>
    <t>The authors acknowledge Tiziano Sanvito and Marco Pallavera from EOS s.r.l. for lending one of the instruments and the corresponding technical support, and the Italian National Antarctic Research Program (PNRA). This paper is a contribution to the PNRA16_00231 project OPTAIR.</t>
  </si>
  <si>
    <t>0022-4073</t>
  </si>
  <si>
    <t>1879-1352</t>
  </si>
  <si>
    <t>J QUANT SPECTROSC RA</t>
  </si>
  <si>
    <t>J. Quant. Spectrosc. Radiat. Transf.</t>
  </si>
  <si>
    <t>10.1016/j.jqsrt.2021.108028</t>
  </si>
  <si>
    <t>Optics; Spectroscopy</t>
  </si>
  <si>
    <t>XV3QI</t>
  </si>
  <si>
    <t>WOS:000734860200003</t>
  </si>
  <si>
    <t>Nassiri, M; Behnam-Rasouli, R; Vakili-Azghandi, M; Gopalan, V; Dolati, P; Nourmohammadi, R</t>
  </si>
  <si>
    <t>Nassiri, Mohammadreza; Behnam-Rasouli, Reihane; Vakili-Azghandi, Masoume; Gopalan, Vinod; Dolati, Peyman; Nourmohammadi, Rouhollah</t>
  </si>
  <si>
    <t>Refined immunoRNases for the efficient targeting and selective killing of tumour cells: A novel strategy</t>
  </si>
  <si>
    <t>LIFE SCIENCES</t>
  </si>
  <si>
    <t>ImmunoRNase; Protein scaffold; Antibody; Cancer</t>
  </si>
  <si>
    <t>CYTOTOXIC RIBONUCLEASE ONCONASE; ALTERNATIVE BINDING-PROTEINS; INDUCED APOPTOSIS; FUSION PROTEINS; CANCER; RNASE; IMMUNOTOXINS; ENHANCEMENT; RECOMBINANT; ANGIOGENIN</t>
  </si>
  <si>
    <t>In order to overcome limitations of conventional cancer therapy methods, immunotoxins with the capability of target-specific action have been designed and evaluated pre-clinically, and some of them are in clinical studies. Targeting cancer cells via antibodies specific for tumour-associated surface proteins is a new biomedical approach that could provide the selectivity that is lacking in conventional cancer therapy methods such as radiotherapy and chemotherapy. A successful example of an approved immunotoxin is represented by immunoRNases. ImmunoRNases are fusion proteins in which the toxin has been replaced by a ribonuclease. Conjugation of RNase molecule to monoclonal antibody or antibody fragment was shown to enhance specific cell killing by several orders of magnitude, both in vitro and in animal models. There are several RNases obtained from different mammalian cells that are expected to be less immunogenic and systemically toxic. In fact, RNases are pro-toxins which become toxic only upon their internalization in target cells mediated by the antibody moiety. The structure and large size of the antibody molecules assembled with the immunoRNases have always been a challenge in the application of immunoRNases as an antitoxin. To overcome this obstacle, we have offered a new strategy for the application of immunoRNases as a promising approach for upgrading immunoRNAses with maximum affinity and high stability in the cell, which can ultimately act as an effective large-scale cancer treatment. In this review, we introduce the optimized antibody-like molecules with small size, approximately 10 kD, which are presumed to significantly enhance RNase activity and be a suitable agent with the potential for anti-cancer functionality. In addition, we also discuss new molecular entities such as monobody, anticalin, nonobody and affilin as refined versions in the development of immunoRNases. These small molecules express their functionality with the suitable small size as well as with low immunogenicity in the cell, as a part of immunoRNases.</t>
  </si>
  <si>
    <t>[Nassiri, Mohammadreza; Behnam-Rasouli, Reihane] Ferdowsi Univ Mashhad, Res Inst Biotechnol, Recombinant Prot Res Grp, Mashhad, Razavi Khorasan, Iran; [Nassiri, Mohammadreza] Univ Sydney, Sch Life &amp; Environm Sci, Sydney, NSW 2006, Australia; [Vakili-Azghandi, Masoume] Univ Sydney, Sch Pharm, Sydney, NSW 2006, Australia; [Gopalan, Vinod] Griffith Univ, Sch Med, Canc Mol Pathol, Gold Coast, Qld 4222, Australia; [Dolati, Peyman] Univ Tasmania, Inst Marine &amp; Antarctic Studies IMAS, Hobart, Tas, Australia; [Nourmohammadi, Rouhollah] Lorestan Univ, Coll Agr, Dept Anim Sci, Khorramabad 6813717133, Lorestan, Iran</t>
  </si>
  <si>
    <t>Ferdowsi University Mashhad; University of Sydney; University of Sydney; Griffith University; Griffith University - Gold Coast Campus; University of Tasmania; Lorestan University</t>
  </si>
  <si>
    <t>Nassiri, M (corresponding author), Univ Sydney, Sch Life &amp; Environm Sci, Sydney, NSW 2006, Australia.</t>
  </si>
  <si>
    <t>nassiryr@um.ac.ir</t>
  </si>
  <si>
    <t>Nourmohammadi, Rouhollah/AAI-7201-2021</t>
  </si>
  <si>
    <t>Nourmohammadi, Rouhollah/0000-0001-7883-429X; Vakili-Azghandi, Masoume/0000-0003-1169-9147; Dashtmiani, William/0000-0001-7068-7475</t>
  </si>
  <si>
    <t>0024-3205</t>
  </si>
  <si>
    <t>1879-0631</t>
  </si>
  <si>
    <t>LIFE SCI</t>
  </si>
  <si>
    <t>Life Sci.</t>
  </si>
  <si>
    <t>10.1016/j.lfs.2021.120222</t>
  </si>
  <si>
    <t>Medicine, Research &amp; Experimental; Pharmacology &amp; Pharmacy</t>
  </si>
  <si>
    <t>Research &amp; Experimental Medicine; Pharmacology &amp; Pharmacy</t>
  </si>
  <si>
    <t>XS3MC</t>
  </si>
  <si>
    <t>WOS:000732816300005</t>
  </si>
  <si>
    <t>Hu, ZY; Munneke, PK; Lhermitte, S; Izeboud, M; van den Broeke, M</t>
  </si>
  <si>
    <t>Hu, Zhongyang; Munneke, Peter Kuipers; Lhermitte, Stef; Izeboud, Maaike; van den Broeke, Michiel</t>
  </si>
  <si>
    <t>Improving surface melt estimation over the Antarctic Ice Sheet using deep learning: a proof of concept over the Larsen Ice Shelf</t>
  </si>
  <si>
    <t>CLIMATE; PENINSULA; MELTWATER; IMPACT</t>
  </si>
  <si>
    <t>Accurately estimating the surface melt volume of the Antarctic Ice Sheet is challenging and has hitherto relied on climate modeling or observations from satellite remote sensing. Each of these methods has its limitations, especially in regions with high surface melt. This study aims to demonstrate the potential of improving surface melt simulations with a regional climate model by deploying a deep learning model. A deep-learning-based framework has been developed to correct surface melt from the regional atmospheric climate model version 2.3p2 (RACMO2), using meteorological observations from automatic weather stations (AWSs) and surface albedo from satellite imagery. The framework includes three steps: (1) training a deep multilayer perceptron (MLP) model using AWS observations, (2) correcting Moderate Resolution Imaging Spectroradiometer (MODIS) albedo observations, and (3) using these two to correct the RACMO2 surface melt simulations. Using observations from three AWSs at the Larsen B and C ice shelves, Antarctica, cross-validation shows a high accuracy (root-mean-square error of 0.95 mm w e (d(-1), mean absolute error of 0.42 mm w.e (d(-1), and a coefficient of determination of 0.95). Moreover, the deep MLP model outperforms conventional machine learning models and a shallow MLP model. When applying the trained deep MLP model over the entire Larsen Ice Shelf, the resulting corrected RACMO2 surface melt shows a better correlation with the AWS observations for two out of three AWSs. However, for one location (AWS 18), the deep MLP model does not show improved agreement with AWS observations; this is likely because surface melt is largely driven by factors (e.g., air temperature, topography, katabatic wind) other than albedo within the corresponding coarse-resolution model pixels. Our study demonstrates the opportunity to improve surface melt simulations using deep learning combined with satellite albedo observations. However, more work is required to refine the method, especially for complicated and heterogeneous terrains.</t>
  </si>
  <si>
    <t>[Hu, Zhongyang; Munneke, Peter Kuipers; van den Broeke, Michiel] Univ Utrecht, Inst Marine &amp; Atmospher Res Utrecht, Utrecht, Netherlands; [Lhermitte, Stef; Izeboud, Maaike] Delft Univ Technol, Dept Geosci &amp; Remote Sensing, Delft, Netherlands</t>
  </si>
  <si>
    <t>Utrecht University; Delft University of Technology</t>
  </si>
  <si>
    <t>Hu, ZY (corresponding author), Univ Utrecht, Inst Marine &amp; Atmospher Res Utrecht, Utrecht, Netherlands.</t>
  </si>
  <si>
    <t>z.hu@uu.nl</t>
  </si>
  <si>
    <t>Lhermitte, Stef (Stefaan)/A-3385-2013; Hu, Zhongyang/AAB-8419-2021; Van den Broeke, Michiel R./F-7867-2011</t>
  </si>
  <si>
    <t>Lhermitte, Stef (Stefaan)/0000-0002-1622-0177; Hu, Zhongyang/0000-0002-1793-3806; Van den Broeke, Michiel R./0000-0003-4662-7565; Izeboud, Maaike/0000-0002-8915-7252</t>
  </si>
  <si>
    <t>Netherlands Space Office [ALWGO.2018.030]; PROTECT; European Union's Horizon 2020 Research and Innovation program [869304]</t>
  </si>
  <si>
    <t>Netherlands Space Office; PROTECT; European Union's Horizon 2020 Research and Innovation program</t>
  </si>
  <si>
    <t>This research has been supported by the Netherlands Space Office (grant no. ALWGO.2018.030). This publication was also supported by PROTECT. This project has received funding from the European Union's Horizon 2020 Research and Innovation program under grant agreement no. 869304, PROTECT contribution number 25.</t>
  </si>
  <si>
    <t>10.5194/tc-15-5639-2021</t>
  </si>
  <si>
    <t>XO3EG</t>
  </si>
  <si>
    <t>WOS:000730071200001</t>
  </si>
  <si>
    <t>Forsch, KO; Hahn-Woernle, L; Sherrell, RM; Roccanova, VJ; Bu, KX; Burdige, D; Vernet, M; Barbeau, KA</t>
  </si>
  <si>
    <t>Forsch, Kiefer O.; Hahn-Woernle, Lisa; Sherrell, Robert M.; Roccanova, Vincent J.; Bu, Kaixuan; Burdige, David; Vernet, Maria; Barbeau, Katherine A.</t>
  </si>
  <si>
    <t>Seasonal dispersal of fjord meltwaters as an important source of iron and manganese to coastal Antarctic phytoplankton</t>
  </si>
  <si>
    <t>DISSOLVED IRON; SEA-ICE; ORGANIC COMPLEXATION; GLACIAL MELTWATER; NORTH-ATLANTIC; OCEAN; FE; GREENLAND; MARINE; PENINSULA</t>
  </si>
  <si>
    <t>Glacial meltwater from the western Antarctic Ice Sheet is hypothesized to be an important source of cryospheric iron, fertilizing the Southern Ocean, yet its trace-metal composition and factors that control its dispersal remain poorly constrained. Here we characterize meltwater iron sources in a heavily glaciated western Antarctic Peninsula (WAP) fjord. Using dissolved and particulate ratios of manganese to iron in meltwaters, porewaters, and seawater, we show that surface glacial melt and subglacial plumes contribute to the seasonal cycle of iron and manganese within a fjord still relatively unaffected by climate-change-induced glacial retreat. Organic ligands derived from the phytoplankton bloom and the glaciers bind dissolved iron and facilitate the solubilization of particulate iron downstream. Using a numerical model, we show that buoyant plumes generated by outflow from the subglacial hydrologic system, enriched in labile particulate trace metals derived from a chemically modified crustal source, can supply iron to the fjord euphotic zone through vertical mixing. We also show that prolonged katabatic wind events enhance export of meltwater out of the fjord. Thus, we identify an important atmosphere-ice-ocean coupling intimately tied to coastal iron biogeochemistry and primary productivity along the WAP.</t>
  </si>
  <si>
    <t>[Forsch, Kiefer O.; Vernet, Maria; Barbeau, Katherine A.] Univ Calif San Diego, Scripps Inst Oceanog, La Jolla, CA 92037 USA; [Hahn-Woernle, Lisa] Univ Hawaii Manoa, Dept Oceanog, Honolulu, HI 96822 USA; [Sherrell, Robert M.; Roccanova, Vincent J.; Bu, Kaixuan] Rutgers State Univ, Dept Marine &amp; Coastal Sci, New Brunswick, NJ 08901 USA; [Sherrell, Robert M.; Roccanova, Vincent J.; Bu, Kaixuan] Rutgers State Univ, Dept Earth &amp; Planetary Sci, New Brunswick, NJ 08901 USA; [Burdige, David] Old Dominion Univ, Dept Ocean &amp; Earth Sci, Norfolk, VA 23529 USA</t>
  </si>
  <si>
    <t>University of California System; University of California San Diego; Scripps Institution of Oceanography; University of Hawaii System; University of Hawaii Manoa; Rutgers University System; Rutgers University New Brunswick; Rutgers University System; Rutgers University New Brunswick; Old Dominion University</t>
  </si>
  <si>
    <t>Forsch, KO (corresponding author), Univ Calif San Diego, Scripps Inst Oceanog, La Jolla, CA 92037 USA.</t>
  </si>
  <si>
    <t>kforsch@ucsd.edu</t>
  </si>
  <si>
    <t>Sherrell, Robert/0000-0002-2498-744X; Barbeau, Katherine/0000-0002-2132-7219; Forsch, Kiefer/0000-0003-1076-164X; Hahn-Woernle, Lisa/0000-0002-5945-589X</t>
  </si>
  <si>
    <t>National Science Foundation [PLR-1443705]; NSF [NSF OCE1558841]; NSF GRF [NSF 15597]</t>
  </si>
  <si>
    <t>National Science Foundation(National Science Foundation (NSF)); NSF(National Science Foundation (NSF)); NSF GRF(National Science Foundation (NSF))</t>
  </si>
  <si>
    <t>This research has been supported by the National Science Foundation (grant no. PLR-1443705). Funding for speciation work was funded through an NSF grant (NSF OCE1558841). Kiefer Forsch was supported by an NSF GRF (NSF 15597).</t>
  </si>
  <si>
    <t>10.5194/bg-18-6349-2021</t>
  </si>
  <si>
    <t>XO4QT</t>
  </si>
  <si>
    <t>WOS:000730172500001</t>
  </si>
  <si>
    <t>Saraux, C; Chiaradia, A</t>
  </si>
  <si>
    <t>Saraux, Claire; Chiaradia, Andre</t>
  </si>
  <si>
    <t>Age-related breeding success in little penguins: a result of selection and ontogenetic changes in foraging and phenology</t>
  </si>
  <si>
    <t>ECOLOGICAL MONOGRAPHS</t>
  </si>
  <si>
    <t>assortative pairing; constraint; experience; restraint; seabirds; selective disappearance; senescence</t>
  </si>
  <si>
    <t>EUDYPTULA-MINOR; REPRODUCTIVE SUCCESS; TERMINAL INVESTMENT; TERRITORY-QUALITY; DYNAMIC HETEROGENEITY; INDIVIDUAL QUALITY; SENESCENCE; PERFORMANCE; PATTERNS; BIRDS</t>
  </si>
  <si>
    <t>Reproductive performance typically improves with age, reaching a plateau at middle age and subsequently declining in older age classes (senescing individuals). Three potential non-exclusive mechanisms can explain the improvement in reproductive performance with age: (1) selection (poor quality individuals are removed from the population with increasing age), (2) constraint (individual efficiency increases through experience), and (3) restraint (reproductive investment increases with age as the residual reproductive value decreases). While all three mechanisms received strong empirical support, few studies have aimed at teasing apart those hypotheses and understanding their underlying functioning. In little penguins (Eudyptula minor), we used a 19-yr longitudinal dataset on breeding and foraging of more than 450 individuals to investigate the effect of age on breeding success. We separated within-individual from among-individual age effects using state-of-the-art statistical methods (within-subject centering and population change decomposition). We then assessed whether within-individual changes in breeding resulted from ontogenetic changes in foraging performances, breeding phenology or access to mates and nest sites. Fidelity and assortative pairing explained the high correlation in male and female ages within a pair. Breeding performances followed a typical bell-shaped curve with performance increasing up to 8 yr old, before reaching a plateau and subsequently declining after age 16. Both selection and within-individual processes occurred, although within-individual changes dominated differences in age-dependent breeding success. The selective appearance had almost no effect (apart from ages 2-3), and selective disappearance mostly affected changes at old ages (above 16), although they were also responsible for the slight increase in reproductive performances from ages 5-8. Focusing on within-individual changes, birds exhibited higher performances at middle ages, with birds foraging better, laying earlier and changing partner and nest less often. Their reproductive investment did not vary with age for females and slightly decreased for males. This supports the constraint hypothesis but not the restraint one. Finally, the increase in breeding performances at young ages was explained by the age-related increase in foraging performances during chick-rearing and advancement of laying. In contrast, reproductive senescence was defined by a general decrease in bird performances.</t>
  </si>
  <si>
    <t>[Saraux, Claire] Univ Strasbourg, CNRS, UMR7178, DEPE,IPHC, 23 Rue Loess, F-67037 Strasbourg, France; [Chiaradia, Andre] Conservat Dept Phillip Isl Nat Pk, POB 97, Cowes, Vic 3922, Australia</t>
  </si>
  <si>
    <t>Centre National de la Recherche Scientifique (CNRS); CNRS - National Institute of Nuclear and Particle Physics (IN2P3); Universites de Strasbourg Etablissements Associes; Universite de Strasbourg</t>
  </si>
  <si>
    <t>Saraux, C (corresponding author), Univ Strasbourg, CNRS, UMR7178, DEPE,IPHC, 23 Rue Loess, F-67037 Strasbourg, France.</t>
  </si>
  <si>
    <t>claire.saraux@iphc.cnrs.fr</t>
  </si>
  <si>
    <t>Chiaradia, Andre/AFK-6634-2022; Chiaradia, Andre/AAG-4928-2022; saraux, claire/AAX-8709-2020</t>
  </si>
  <si>
    <t>Chiaradia, Andre/0000-0002-6178-4211; Chiaradia, Andre/0000-0002-6178-4211; saraux, claire/0000-0001-5061-4009</t>
  </si>
  <si>
    <t>Phillip Island Nature Parks; Penguin Foundation; Australian Academy of Science; Australian Research Council; Australian Antarctic Division; ATT Kings; CNRS through the International Emerging Action MECAPOP; Kean Electronics</t>
  </si>
  <si>
    <t>Phillip Island Nature Parks; Penguin Foundation; Australian Academy of Science; Australian Research Council(Australian Research Council); Australian Antarctic Division; ATT Kings; CNRS through the International Emerging Action MECAPOP; Kean Electronics</t>
  </si>
  <si>
    <t>We wish to sincerely thank Steve Dobson for his comments on this manuscript, as well as Kelly Edwards for preliminary analyses. We thank Phillip Island Nature Parks for their continued support of penguin research. The long-term dataset received several funding sources over the years: the Penguin Foundation, Australian Academy of Science, Australian Research Council, Australian Antarctic Division, Kean Electronics and ATT Kings. The collaboration between CNRS and Phillip Island Nature Parks also received the financial support of CNRS through the International Emerging Action MECAPOP. We sincerely thank Paula Wasiak, Leanne Renwick, Marg Healy, Alona Charuvi, Marjolein van Polaten Petel, Ross Holmberg, and several past students and volunteers for their tireless support in collecting these data. The study was conducted with research permits issued by the Department of Environment, Land, Water and Planning, Victorian State Government, Australia, and ethics approvals from the Animal Ethics Committee of Phillip Island Nature Parks.</t>
  </si>
  <si>
    <t>0012-9615</t>
  </si>
  <si>
    <t>1557-7015</t>
  </si>
  <si>
    <t>ECOL MONOGR</t>
  </si>
  <si>
    <t>Ecol. Monogr.</t>
  </si>
  <si>
    <t>e01495</t>
  </si>
  <si>
    <t>10.1002/ecm.1495</t>
  </si>
  <si>
    <t>YP6SM</t>
  </si>
  <si>
    <t>WOS:000729435400001</t>
  </si>
  <si>
    <t>Potapowicz, J; Szopinska, M; Szuminska, D; Bialik, RJ; Polkowska, Z</t>
  </si>
  <si>
    <t>Potapowicz, Joanna; Szopinska, Malgorzata; Szuminska, Danuta; Bialik, Robert Jozef; Polkowska, Zaneta</t>
  </si>
  <si>
    <t>Sources and composition of chemical pollution in Maritime Antarctica (King George Island), part 1: Sediment and water analysis for PAH sources evaluation in the vicinity of Arctowski station</t>
  </si>
  <si>
    <t>Admiralty bay; Sediments and water chemistry; Maritime Antarctica; Polycyclic aromatic hydrocarbons (PAHs); Persistent organic pollutants</t>
  </si>
  <si>
    <t>POLYCYCLIC AROMATIC-HYDROCARBONS; PERSISTENT ORGANIC POLLUTANTS; SOUTH SHETLAND ISLANDS; ADMIRALTY BAY; SURFACE SEDIMENTS; POTTER COVE; SOILS; FATE; ENVIRONMENT; PERMAFROST</t>
  </si>
  <si>
    <t>The paper presents a study regarding the identification of polycyclic aromatic hydrocarbons (PAHs) in fresh waters and surface sediments on the western shore of Admiralty Bay over four sampling seasons from 2017 to 2018. The results were compared to literature data from 2016 to provide a more comprehensive image of the environmental fate of PAHs over the years. The highest value of Sigma PAHs was 82.9 ng/L and 445 ng/g dw in water and sediment samples, respectively. The analysis of PAH indicator ratio values showed that pyrogenic or mixed sources contribute to the PAH pollution in Antarctic sediments and water more than does petroleum. The main source is the combustion of biomass (e.g. as a result of fires) and coal, and PAHs are mostly associated with the activity of stations or are transported to a lesser extent by long-range atmospheric transport (LRAT) from South America. The values of the Sigma LMW/Sigma HMW ratio in sediments indicate that petrogenic sources contribute to PAH contamination, but among the six PAH ratios tested, petrogenic sources were identified as dominant in approximately 17-19% of cases. Lack of coherence in the obtained results confirms the mixed origin of PAHs in the studied samples. Although the differentiation of PAHs sources is still ambiguous, caution is recommended in light of the Antarctic system's evident and rapid response to global and local PAH emissions, and the dependency of accumulation and release cycle processes on weather conditions. A reduction in petrol usage in favour of renewable energy sources, and restriction of tourism are strongly recommended for better preservation of the pristine Antarctic environment.</t>
  </si>
  <si>
    <t>[Potapowicz, Joanna; Polkowska, Zaneta] Gdansk Univ Technol, Fac Chem, Dept Analyt Chem, 11-12 Narutowicza St, PL-80233 Gdansk, Poland; [Szopinska, Malgorzata] Gdansk Univ Technol, Fac Civil &amp; Environm Engn, Dept Water &amp; Wastewater Technol, 11-12 Narutowicza St, PL-80233 Gdansk, Poland; [Szuminska, Danuta] Kazimierz Wielki Univ, Inst Geog, Koscielecki Sq 8, PL-85033 Bydgoszcz, Poland; [Bialik, Robert Jozef] Polish Acad Sci, Inst Biochem &amp; Biophys, Pawinskiego 5a, PL-02106 Warsaw, Poland</t>
  </si>
  <si>
    <t>Fahrenheit Universities; Gdansk University of Technology; Fahrenheit Universities; Gdansk University of Technology; Kazimierz Wielki University; Polish Academy of Sciences; Institute of Biochemistry &amp; Biophysics - Polish Academy of Sciences</t>
  </si>
  <si>
    <t>Polkowska, Z (corresponding author), Gdansk Univ Technol, Fac Chem, Dept Analyt Chem, 11-12 Narutowicza St, PL-80233 Gdansk, Poland.;Szopinska, M (corresponding author), Gdansk Univ Technol, Fac Civil &amp; Environm Engn, Dept Water &amp; Wastewater Technol, 11-12 Narutowicza St, PL-80233 Gdansk, Poland.</t>
  </si>
  <si>
    <t>zanpolko@pg.edu.pl</t>
  </si>
  <si>
    <t>Polkowska, Zaneta/AAA-3578-2020; Szumińska, Danuta/AAM-5133-2020</t>
  </si>
  <si>
    <t>Szumińska, Danuta/0000-0001-7142-9080; Szopinska, Malgorzata/0000-0003-2186-7781; Polkowska, Zaneta/0000-0002-2730-0068; Bialik, Robert/0000-0002-0254-6352</t>
  </si>
  <si>
    <t>National Science Centre of Poland [NCN 2020/37/N/ST10/02199]; Ministry of Higher Education in Poland [7010/ZNSP/2019]; Project Supporting Maintenance of Research Potential at the Kazimierz Wielki University</t>
  </si>
  <si>
    <t>National Science Centre of Poland(National Science Centre, Poland); Ministry of Higher Education in Poland; Project Supporting Maintenance of Research Potential at the Kazimierz Wielki University</t>
  </si>
  <si>
    <t>This work was carried out as part of an agreement between the Institute of Biochemistry and Biophysics, Polish Academy of Science and Gdansk University of Technology. The data used in the article were collected at the H. Arctowski Polish Antarctic Station in 2017 and 2018. This study was also partially funded by the National Science Centre of Poland grant NCN 2020/37/N/ST10/02199. The research was sup-ported by grant 7010/ZNSP/2019 financed by the Ministry of Higher Education in Poland and by Project Supporting Maintenance of Research Potential at the Kazimierz Wielki University. Special thanks to Dr Krystyna Kozio for invaluable discussion and advice, which helped to improve the quality of this manuscript.</t>
  </si>
  <si>
    <t>10.1016/j.chemosphere.2021.132637</t>
  </si>
  <si>
    <t>YC0LZ</t>
  </si>
  <si>
    <t>WOS:000739393100005</t>
  </si>
  <si>
    <t>Zhang, T; Li, J; Wang, NF; Wang, H; Yu, LY</t>
  </si>
  <si>
    <t>Zhang, Tao; Li, Jun; Wang, Nengfei; Wang, Hao; Yu, Liyan</t>
  </si>
  <si>
    <t>Metagenomic analysis reveals microbiome and resistome in the seawater and sediments of Kongsfjorden (Svalbard, High Arctic)</t>
  </si>
  <si>
    <t>Antibiotic resistance genes; Resistome; Bacterial community; Arctic fjord; Metagenomics</t>
  </si>
  <si>
    <t>ANTIBIOTIC-RESISTANCE GENES; ALIGNMENT; ENVIRONMENT; BACTERIAL; WATER; ARGS</t>
  </si>
  <si>
    <t>Kongsfjorden in the high Arctic, a typical Arctic fjord, experienced long-time input of nutrients and pollutants from the remote and local resources, providing a platform for characterizing the diversity and distribution of antibiotic resistance genes (ARGs). However, the microbiome and antibiotic resistome in this pristine marine system have not been well documented. The present study aimed to characterize the diversity and distribution of bacterial communities and associated ARGs in seawater (12 samples) and sediments (13 samples) of Kongsfjorden via metagenomic analysis. In terms of both bacterial community compositions and ARG profiles, the seawater was significantly distinct from sediment. Only 29 ARG subtypes were detected in the Arctic seawater and sediments. Furthermore, three geochemical factors (i.e., longitude, depth, and POa-) greatly influenced the bacterial communities in sediment samples, while longitude, depth, and latitude were crucial geochemical factors influencing the ARG profiles in sediment samples. Procrustes analysis revealed a significant correlation between bacterial community compositions and ARG profiles in seawater and sediment samples. Further analysis revealed the metagenome-assembled genomes (MAGs) with ARG subtypes. Overall, our study provides insights into the microbiome and resistome in a pristine Arctic fjord, thereby providing vital information for environmental management.</t>
  </si>
  <si>
    <t>[Zhang, Tao; Li, Jun; Wang, Hao; Yu, Liyan] Chinese Acad Med Sci &amp; Peking Union Med Coll, Inst Med Biotechnol, China Pharmaceut Culture Collect, Beijing 100050, Peoples R China; [Wang, Nengfei] Minist Nat Resources, Key Lab Marine Bioact Subst, Inst Oceanog 1, Qingdao 266061, Peoples R China</t>
  </si>
  <si>
    <t>Chinese Academy of Medical Sciences - Peking Union Medical College; Peking Union Medical College; First Institute of Oceanography, Ministry of Natural Resources; Ministry of Natural Resources of the People's Republic of China</t>
  </si>
  <si>
    <t>Zhang, T; Yu, LY (corresponding author), Chinese Acad Med Sci &amp; Peking Union Med Coll, Inst Med Biotechnol, China Pharmaceut Culture Collect, Beijing 100050, Peoples R China.</t>
  </si>
  <si>
    <t>zhangt@cpcc.ac.cn; yly@cpcc.ac.cn</t>
  </si>
  <si>
    <t>yu, liyan/GYD-2950-2022</t>
  </si>
  <si>
    <t>yu, liyan/0000-0002-8861-9806</t>
  </si>
  <si>
    <t>National Natural Science Foundation of China (NSFC) [31670025]; CAMS Innovation Fund for Medical Sciences [2021-I2M-1-055]; Projects of the Chinese Arctic and Antarctic Administration, State Oceanic Administration; National Microbial Resource Center [NMRC-2020-3]; Non-profit Central Research Institute Fund of CAMS [2021-PT350-001]</t>
  </si>
  <si>
    <t>National Natural Science Foundation of China (NSFC)(National Natural Science Foundation of China (NSFC)); CAMS Innovation Fund for Medical Sciences; Projects of the Chinese Arctic and Antarctic Administration, State Oceanic Administration; National Microbial Resource Center; Non-profit Central Research Institute Fund of CAMS</t>
  </si>
  <si>
    <t>This research was supported by National Natural Science Foundation of China (NSFC) (Grant nos. 31670025); CAMS Innovation Fund for Medical Sciences (Grant no. 2021-I2M-1-055); Projects of the Chinese Arctic and Antarctic Administration, State Oceanic Administration; National Microbial Resource Center (Grant no. NMRC-2020-3); Non-profit Central Research Institute Fund of CAMS (Grant no. 2021-PT350-001).</t>
  </si>
  <si>
    <t>FEB 25</t>
  </si>
  <si>
    <t>10.1016/j.scitotenv.2021.151937</t>
  </si>
  <si>
    <t>YD2KW</t>
  </si>
  <si>
    <t>WOS:000740206700002</t>
  </si>
  <si>
    <t>Ashford, J; Dinniman, M; Brooks, C; Wei, L; Zhu, GP</t>
  </si>
  <si>
    <t>Ashford, Julian; Dinniman, Michael; Brooks, Cassandra; Wei, Lian; Zhu, Guoping</t>
  </si>
  <si>
    <t>Tying policy to system: Does the Ross Sea region marine reserve protect transport pathways connecting the life history of Antarctic toothfish?</t>
  </si>
  <si>
    <t>Southern Ocean; Ross Sea; Toothfish; Marine protected area; Life history connectivity; Physical structuring; Transport pathways</t>
  </si>
  <si>
    <t>RANDOM-WALK MODELS; DISSOSTICHUS-MAWSONI; PLEURAGRAMMA-ANTARCTICUM; OTOLITH CHEMISTRY; AREA; SILVERFISH; ABUNDANCE; PATTERNS; SCIENCE; AGE</t>
  </si>
  <si>
    <t>A central objective of the Ross Sea region Marine Protected Area (MPA) is to protect areas important to the life cycle of Antarctic toothfish (Dissostichus mawsoni), a top fish predator and by far the region's most important commercial species. Juvenile toothfish predominate in deep basins along the inner continental shelf, whereas adults are found mostly along the continental slope and spawning areas on the Pacific-Antarctic Ridge. The inner basins connect to the continental slope via glacial troughs and predictable transport along each trough results in exchange with the Antarctic Slope Current as it flows westward. From the slope, two transport pathways, an eastern one from Iselin Bank and a western one that turns cyclonically along the flank of the Southeast Indian Ridge, connect northward to the Pacific-Antarctic Ridge, where the northern arm of the Ross Gyre and the Antarctic Circumpolar Current flow eastward. Using a circulation model to compare transport pathways connecting toothfish life history areas, we consider which inshore basins are likely most important in contributing to adult spawning aggregations; how transport pathways from each may be expected to influence distributions along the continental slope and Pacific-Antarctic Ridge; and how zonal transport pathways may promote export to areas downstream of the marine reserve. Although the MPA protects some critical life history pathways for toothfish, others remain vulnerable to commercial fishing, and we argue that those in adjacent areas along the Iselin Bank, Pacific-Antarctic Ridge and the Amundsen Sea might usefully be protected, discussing the range of policy instruments available. We also recommend consideration of transport pathways in deliberations for a proposed network of Southern Ocean MPAs, introducing a system-based tool using chemical tracers in otoliths that can test for toothfish movement between areas connected along the Antarctic Slope Current and Antarctic Circumpolar Current.</t>
  </si>
  <si>
    <t>[Ashford, Julian] Old Dominion Univ, Dept Ocean &amp; Earth Sci, Norfolk, VA USA; [Dinniman, Michael] Old Dominion Univ, Ctr Coastal Phys Oceanog, Norfolk, VA USA; [Brooks, Cassandra] Univ Colorado, Environm Studies Program, Boulder, CO 80309 USA; [Wei, Lian; Zhu, Guoping] Shanghai Ocean Univ, Coll Marine Sci, Shanghai, Peoples R China; [Zhu, Guoping] Shanghai Ocean Univ, Ctr Polar Res, Shanghai 201306, Peoples R China</t>
  </si>
  <si>
    <t>Old Dominion University; Old Dominion University; University of Colorado System; University of Colorado Boulder; Shanghai Ocean University; Shanghai Ocean University</t>
  </si>
  <si>
    <t>Brooks, C (corresponding author), Univ Colorado, Environm Studies Program, Boulder, CO 80309 USA.</t>
  </si>
  <si>
    <t>cassandra.brooks@colorado.edu</t>
  </si>
  <si>
    <t>Dinniman, Michael/0000-0001-7519-9278; Zhu, Guoping/0000-0001-6081-7811</t>
  </si>
  <si>
    <t>National Science Foundation [NSF-OPP-0338294]</t>
  </si>
  <si>
    <t>Otoliths were analyzed at the Plasma Mass Spectrometry Facility at Woods Hole Oceanographic Institution. We thank Scot Birdwhistell for providing technical support. Funding for the otolith chemistry was through the National Science Foundation (NSF-OPP-0338294) . We thank two anonymous reviewers for their helpful comments and edits on the manuscript.</t>
  </si>
  <si>
    <t>10.1016/j.marpol.2021.104903</t>
  </si>
  <si>
    <t>XY0JN</t>
  </si>
  <si>
    <t>WOS:000736670300003</t>
  </si>
  <si>
    <t>Seyitmuhammedov, K; Stirling, CH; Reid, MR; van Hale, R; Laan, P; Arrigo, KR; van Dijken, G; Alderkamp, AC; Middag, R</t>
  </si>
  <si>
    <t>Seyitmuhammedov, Kyyas; Stirling, Claudine H.; Reid, Malcolm R.; van Hale, Robert; Laan, Patrick; Arrigo, Kevin R.; van Dijken, Gert; Alderkamp, Anne-Carlijn; Middag, Rob</t>
  </si>
  <si>
    <t>The distribution of Fe across the shelf of the Western Antarctic Peninsula at the start of the phytoplankton growing season</t>
  </si>
  <si>
    <t>MARINE CHEMISTRY</t>
  </si>
  <si>
    <t>Western Antarctic Peninsula; Iron distribution; Phytoplankton growth season; Iron supply; Iron demand; GEOTRACES</t>
  </si>
  <si>
    <t>CIRCUMPOLAR DEEP-WATER; DISSOLVED IRON; SOUTHERN-OCEAN; CONTINENTAL-SHELF; MARGUERITE BAY; DRAKE PASSAGE; ICE-SHEET; COASTAL; ISLANDS; FLUXES</t>
  </si>
  <si>
    <t>The Western Antarctic Peninsula (WAP) is a rapidly changing region with receding sea-ice cover. This region generally has increased phytoplankton productivity on the continental slope with a decrease observed in off-shelf waters located further northward. This study aims to improve the understanding of the distribution of iron (Fe) in this climatically important oceanic region during early sea-ice retreat, as well as the impact of receding ice cover on Fe concentrations and the importance of Fe and its sources at the beginning of the phytoplankton growth season. Five ocean transects were sampled along the Palmer Long Term Ecological Research (Pal-LTER) grid with an additional oceanward extension to access off-shelf waters during the austral spring (October and November) of 2014. High Fe inputs into the entire water column from ice melt as well as from sediments increased dissolved Fe (DFe) and total dissolvable Fe (TDFe) concentrations across the shelf (off-shelf DFe: 0.38 +/- 0.30 nmol/L and TDFe: 2.23 +/- 2.95 nmol/L versus shelf DFe: 1.54 +/- 1.38 nmol/L and TDFe: 19.47 +/- 23.82 nmol/L). The combination of meteoric meltwater and shallow sedimentary sources is strongest over the shelf and increased landward towards the WAP. Additionally, a winter sea-ice formation signature was detected in inner shelf waters that appeared to contribute to DFe concentrations. Relatively warm Circumpolar Deep Water (CDW) that flows onto the shelf through troughs is likely modified by non-reductive sedimentary input of Fe into the water column. The increase in Fe concentrations in WAP waters in early spring could trigger enhanced phytoplankton productivity across the shelf, although the highest productivity levels were observed in off-shelf waters, likely related to improved light conditions following receding sea-ice cover. The relatively high productivity levels in WAP off-shelf waters are presumably caused by two factors: (1) supply from below, and (2) the transport of Fe from the shelf to the off-shelf region. However, 80-90% of Fe introduced into shelf waters was removed from the upper water column prior to reaching off-shelf waters, reducing the influence of the coastal Fe source. Low concentrations of DFe (0.24 +/- 0.26 nmol/L) in off-shelf waters (upper 100 m) of the WAP coincide with relatively elevated chlorophyll a concentrations (0.66 +/- 0.56 mu g/L), implying that uptake of available DFe had already occurred prior to sampling. Our results imply that the horizontal supply of DFe from the shelf as well as total DFe supply into the surface mixed layer might not be sufficiently high to support productivity in the offshelf waters of the WAP, underlining the development of an Fe deficit early in the growth season.</t>
  </si>
  <si>
    <t>[Seyitmuhammedov, Kyyas; Stirling, Claudine H.; Reid, Malcolm R.] Univ Otago, Dept Geol, POB 56, Dunedin, New Zealand; [Seyitmuhammedov, Kyyas] Norwegian Univ Sci &amp; Technol NTNU, Dept Chem, POB 8900, N-7491 Trondheim, Norway; [Stirling, Claudine H.; Reid, Malcolm R.] Univ Otago, Ctr Trace Element Anal, POB 56, Dunedin, New Zealand; [van Hale, Robert] Univ Otago, Isotrace, POB 56, Dunedin, New Zealand; [Laan, Patrick; Middag, Rob] Royal Netherlands Inst Sea Res NIOZ, Dept Ocean Syst OCS, POB 59, NL-1790 AB Den Burg, Texel, Netherlands; [van Hale, Robert; Middag, Rob] Univ Otago, Dept Chem, POB 56, Dunedin, New Zealand; [Arrigo, Kevin R.; van Dijken, Gert; Alderkamp, Anne-Carlijn] Stanford Univ, Dept Earth Syst Sci, Stanford, CA 94305 USA; [Alderkamp, Anne-Carlijn] Foothill Coll, Dept Biol, 12345 El Monte Rd, Los Altos Hills, CA 94022 USA</t>
  </si>
  <si>
    <t>University of Otago; Norwegian University of Science &amp; Technology (NTNU); University of Otago; University of Otago; Utrecht University; Royal Netherlands Institute for Sea Research (NIOZ); University of Otago; Stanford University</t>
  </si>
  <si>
    <t>Middag, R (corresponding author), Royal Netherlands Inst Sea Res NIOZ, Dept Ocean Syst OCS, POB 59, NL-1790 AB Den Burg, Texel, Netherlands.;Middag, R (corresponding author), Univ Otago, Dept Chem, POB 56, Dunedin, New Zealand.</t>
  </si>
  <si>
    <t>rob.middag@nioz.nl</t>
  </si>
  <si>
    <t>Van Dijken, Gert L/C-5276-2011; Middag, Rob/D-6423-2013</t>
  </si>
  <si>
    <t>Reid, Malcolm/0000-0002-4129-0214; Van Dijken, Gert/0000-0002-9587-6317; Arrigo, Kevin/0000-0002-7364-876X</t>
  </si>
  <si>
    <t>National Science Foundation Office of Polar Programs [ANT-1063592]; University of Otago Doctoral Scholarship; Centre for Trace Element Analysis; Ocean Systems Department of NIOZ</t>
  </si>
  <si>
    <t>National Science Foundation Office of Polar Programs(National Science Foundation (NSF)NSF - Directorate for Geosciences (GEO)); University of Otago Doctoral Scholarship; Centre for Trace Element Analysis; Ocean Systems Department of NIOZ</t>
  </si>
  <si>
    <t>We thank the captain and the crew of the RVIB Nathaniel B. Palmer for their assistance during the cruise. We also thank the Phantastic II research team who were essential in procuring samples and Dr. Loes Gerringa for her insightful comments that greatly improved this manu-script. This work was supported by a grant from the National Science Foundation Office of Polar Programs to K.R.A. (ANT-1063592) , the University of Otago Doctoral Scholarship, the Centre for Trace Element Analysis and the Ocean Systems Department of NIOZ. Samples were collected as part of the GEOTRACES Process Study (GPpr08) and data can be found in the GEOTRACES database as part of the 2021 Inter-mediate Data Product (doi:10.5285/cf2d9ba9-d51d-3b7c-eo53-8486abc0f5fd) .</t>
  </si>
  <si>
    <t>0304-4203</t>
  </si>
  <si>
    <t>1872-7581</t>
  </si>
  <si>
    <t>MAR CHEM</t>
  </si>
  <si>
    <t>Mar. Chem.</t>
  </si>
  <si>
    <t>10.1016/j.marchem.2021.104066</t>
  </si>
  <si>
    <t>Chemistry, Multidisciplinary; Oceanography</t>
  </si>
  <si>
    <t>Chemistry; Oceanography</t>
  </si>
  <si>
    <t>YS7EK</t>
  </si>
  <si>
    <t>WOS:000750835300001</t>
  </si>
  <si>
    <t>Andreev, IO; Parnikoza, IY; Konvalyuk, II; Metcheva, R; Kozeretska, IA; Kunakh, VA</t>
  </si>
  <si>
    <t>Andreev, Igor O.; Parnikoza, Ivan Yu; Konvalyuk, Iryna I.; Metcheva, Roumiana; Kozeretska, Iryna A.; Kunakh, Viktor A.</t>
  </si>
  <si>
    <t>Genetic divergence of Deschampsia antarctica (Poaceae) population groups in the maritime Antarctic</t>
  </si>
  <si>
    <t>BIOLOGICAL JOURNAL OF THE LINNEAN SOCIETY</t>
  </si>
  <si>
    <t>genetic clusters; inter-retrotransposon amplified polymorphism; inter-simple sequence repeats; spatial genetic divergence.</t>
  </si>
  <si>
    <t>COLOBANTHUS-QUITENSIS; VASCULAR PLANTS; KELP GULL; PENINSULA; DESV.; POLYMORPHISM; LOCALITIES; ELEMENTS</t>
  </si>
  <si>
    <t>We used inter-simple sequence repeats and inter-retrotransposon amplified polymorphism markers to assess genetic variation in Deschampsia antarctica populations in the context of its uneven distribution in the northern and central maritime Antarctic. Genetic diversity and population structure and differentiation were assessed in nine populations from geographically isolated population groups of D. antarctica, including the South Shetland Islands, Anvers Island and the Argentine Islands regions. In total, 265 amplified DNA fragments were scored, of which 220 (83.0%) were polymorphic. The total sample showed low genetic diversity (unbiased expected heterozygosity = 0.081 and Shannon diversity index = 0.115) and high population differentiation (molecular variance among populations = 0.659). We also found a trend toward a decrease in genetic diversity and an increase in population differentiation toward the southern edge of the species range. Principal coordinates analysis of polymerase chain reaction data and Bayesian population structure analysis showed three main clusters, which included plants originating from three spatially isolated population groups. The unweighted pair group method with arithmetic mean clustering of populations based on Nei's genetic distances was mainly in agreement with this pattern. Testing of isolation by distance using the Mantel test demonstrated a significant correlation between genetic and ln-transformed geographical distance (r = 0.703). The data obtained indicate that the geographically isolated D. antarctica populations in the maritime Antarctic might form genetic clusters within the total range.</t>
  </si>
  <si>
    <t>[Andreev, Igor O.; Parnikoza, Ivan Yu; Konvalyuk, Iryna I.; Kunakh, Viktor A.] Natl Acad Sci Ukraine, Inst Mol Biol &amp; Genet, Kiev, Ukraine; [Parnikoza, Ivan Yu; Kozeretska, Iryna A.] Natl Antarctic Sci Ctr Ukraine, Kiev, Ukraine; [Metcheva, Roumiana] Inst Biodivers &amp; Ecosyst Res, Sofia, Bulgaria</t>
  </si>
  <si>
    <t>National Academy of Sciences Ukraine; Institute of Molecular Biology &amp; Genetics of NASU; Ministry of Education &amp; Science of Ukraine; State Institution National Antarctic Scientific Center; Bulgarian Academy of Sciences</t>
  </si>
  <si>
    <t>Andreev, IO (corresponding author), Natl Acad Sci Ukraine, Inst Mol Biol &amp; Genet, Kiev, Ukraine.</t>
  </si>
  <si>
    <t>i.o.andreev@imbg.org.ua</t>
  </si>
  <si>
    <t>Andreev, Igor/G-6194-2016; Kunakh, Viktor A./HKV-4993-2023; Parnikoza, Ivan/I-2398-2016</t>
  </si>
  <si>
    <t>Andreev, Igor/0000-0002-3706-8514; Iryna, Konvalyuk/0000-0003-2283-6063</t>
  </si>
  <si>
    <t>National Antarctic Scientific Centre of the Ministry of Education and Science of Ukraine [H/3-2011, 0111U009567, H/10-2018, 0118U002381]</t>
  </si>
  <si>
    <t>National Antarctic Scientific Centre of the Ministry of Education and Science of Ukraine</t>
  </si>
  <si>
    <t>We are very thankful to the anonymous reviewers for the time and effort dedicated to reviewing this paper and for providing valuable comments. The study was supported financially by the National Antarctic Scientific Centre of the Ministry of Education and Science of Ukraine (grants H/3-2011, No.0111U009567 and H/10-2018, No. 0118U002381). I.Yu.P. and R.M. analysed the data from the literature on Antarctic hairgrass distribution, planned and performed the fieldwork and collected the specimens. I.O.A. and I.I.K. carried out molecular genetic analysis. I.O.A. analysed and interpreted the complete dataset of molecular genetic analysis. I. O. A. and I.Yu.P. wrote the draft of the manuscript and provided illustrations. I.A.K. and V.A.K. managed the study and revised and edited the final version of the manuscript. All authors discussed the results and agreed upon the final version of the manuscript. They have no conflicts of interest to declare.</t>
  </si>
  <si>
    <t>0024-4066</t>
  </si>
  <si>
    <t>1095-8312</t>
  </si>
  <si>
    <t>BIOL J LINN SOC</t>
  </si>
  <si>
    <t>Biol. J. Linnean Soc.</t>
  </si>
  <si>
    <t>10.1093/biolinnean/blab141</t>
  </si>
  <si>
    <t>Evolutionary Biology</t>
  </si>
  <si>
    <t>YH8GG</t>
  </si>
  <si>
    <t>WOS:000743399000001</t>
  </si>
  <si>
    <t>Genthon, C; Veron, D; Vignon, E; Six, D; Dufresne, JL; Madeleine, JB; Sultan, E; Forget, F</t>
  </si>
  <si>
    <t>Genthon, Christophe; Veron, Dana; Vignon, Etienne; Six, Delphine; Dufresne, Jean-Louis; Madeleine, Jean-Baptiste; Sultan, Emmanuelle; Forget, Francois</t>
  </si>
  <si>
    <t>10 years of temperature and wind observation on a 45 m tower at Dome C, East Antarctic plateau</t>
  </si>
  <si>
    <t>ATMOSPHERIC BOUNDARY-LAYER; SURFACE; INVERSION; SIMULATIONS</t>
  </si>
  <si>
    <t>Long-term, continuous in situ observations of the near-surface atmospheric boundary layer are critical for many weather and climate applications. Although there is a proliferation of surface stations globally, especially in and around populous areas, there are notably fewer tall meteorological towers with multiple instrumented levels. This is particularly true in remote and extreme environments such as the East Antarctic plateau. In the article, we present and analyze 10 years of data from six levels of meteorological instrumentation mounted on a 42m tower located at Dome C, East Antarctica, near the Concordia research station, producing a unique climatology of the near-surface atmospheric environment (Genthon et al., 2021a, b). Monthly temperature and wind data demonstrate the large seasonal differences in the near-surface boundary layer dynamics, depending on the presence or absence of solar surface forcing. Strong vertical temperature gradients (inversions) frequently develop in calm, winter conditions, while vertical convective mixing occurs in the summer, leading to nearuniform temperatures along the tower. Seasonal variation in wind speed is much less notable at this location than the temperature variation as the winds are less influenced by the solar cycle; there are no katabatic winds as Dome C is quite flat. Harmonic analysis confirms that most of the energy in the power spectrum is at diurnal, annual and semi-annual timescales. Analysis of observational uncertainty and comparison to reanalysis data from the latest generation of ECMWF (European Centre for Medium-Range Weather Forecasts) reanalyses (ERA5) indicate that wind speed is particularly difficult to measure at this location. Data are distributed on the PANGAEA data repository at https://doi.org/10.1594/PANGAEA.932512 (Genthon et al., 2021a) and https://doi.org/10.1594/PANGAEA.932513 (Genthon et al., 2021b).</t>
  </si>
  <si>
    <t>[Genthon, Christophe; Vignon, Etienne; Dufresne, Jean-Louis; Madeleine, Jean-Baptiste; Forget, Francois] Lab Meteorol Dynam, Paris, France; [Veron, Dana] Sch Marine Sci &amp; Policy, Newark, NJ USA; [Six, Delphine] Inst Geosci Environm, Grenoble, France; [Sultan, Emmanuelle] Museum Natl Hist Nat, Paris, France</t>
  </si>
  <si>
    <t>Sorbonne Universite; Museum National d'Histoire Naturelle (MNHN)</t>
  </si>
  <si>
    <t>Genthon, C (corresponding author), Lab Meteorol Dynam, Paris, France.</t>
  </si>
  <si>
    <t>christophe.genthon@cnrs.fr</t>
  </si>
  <si>
    <t>Dufresne, Jean-Louis/I-5616-2015</t>
  </si>
  <si>
    <t>Dufresne, Jean-Louis/0000-0003-4764-9600; Genthon, Christophe/0000-0002-3678-4447; VIGNON, Etienne/0000-0003-3801-9367</t>
  </si>
  <si>
    <t>National Science Foundation; French space agency CNES as part of project EECLAT (Expecting EarthCARE, Learning from the A-Train)</t>
  </si>
  <si>
    <t>National Science Foundation(National Science Foundation (NSF)); French space agency CNES as part of project EECLAT (Expecting EarthCARE, Learning from the A-Train)</t>
  </si>
  <si>
    <t>Since 2008, the French Polar Institute IPEV has provided logistical support to the CALVA-ACDC program (in situ data for CALibration -VAlidation of meteorological and climate models and satellite retrieval, Antarctic Coast to Dome C, IPEV program 1013), thanks to which meteorological observing systems have been deployed and are annually serviced. Some travel for this field work was also supported by the National Science Foundation. The authors cannot list but wish to thank all the people who have contributed to deploying, maintaining and ensuring proper operation of the observing systems on the field, not the least in winter when one has to climb a 40m tower with ambient temperature sometimes as low as 70 ffiC, particularly taking account the windchill effect. The authors also thank the French space agency CNES for support as part of project EECLAT (Expecting EarthCARE, Learning from the A-Train). Thanks are also given to Bas van deWiel, Nikki Vercauteren, Adam Mohanan and Carsten Abraham in the framework of their respective research projects, and Eric Bazile, Olivier Traulle and leaders and contributors of the GABLS4 project, for feedback on the data strength, weaknesses and suggestions for potential improvements. The AWSIT data were downloaded at https://www.climantartide.it/index.php?lang=en (last access: 2 December 2021), and Paolo Grigioni at ENEA kindly provided additional details such as instruments used and height above surface. The AMRC AWS data were download from https://amrc.ssec.wisc.edu/data/(last access: 2 December 2021).</t>
  </si>
  <si>
    <t>DEC 10</t>
  </si>
  <si>
    <t>10.5194/essd-13-5731-2021</t>
  </si>
  <si>
    <t>XO4NO</t>
  </si>
  <si>
    <t>WOS:000730164000001</t>
  </si>
  <si>
    <t>Garnier, F; Fleury, S; Garric, G; Bouffard, J; Tsamados, M; Laforge, A; Bocquet, M; Hansen, RMF; Remy, F</t>
  </si>
  <si>
    <t>Garnier, Florent; Fleury, Sara; Garric, Gilles; Bouffard, Jerome; Tsamados, Michel; Laforge, Antoine; Bocquet, Marion; Hansen, Renee Mie Fredensborg; Remy, Frederique</t>
  </si>
  <si>
    <t>Advances in altimetric snow depth estimates using bi-frequency SARAL and CryoSat-2 Ka-Ku measurements</t>
  </si>
  <si>
    <t>ARCTIC SEA-ICE; THICKNESS RETRIEVAL; CLIMATE-CHANGE; MASS-BALANCE; FRAM STRAIT; AMSR-E; FREEBOARD; COVER; SENSITIVITY; MODEL</t>
  </si>
  <si>
    <t>Although snow depth on sea ice is a key parameter for sea ice thickness (SIT) retrieval, there currently does not exist reliable estimations. In the Arctic, nearly all SIT products use a snow depth climatology (the modified Warren-99 climatology, W99m) constructed from in situ data obtained prior to the first significant impacts of climate change. In the Antarctic, the lack of information on snow depth remains a major obstacle in the development of reliable SIT products. In this study, we present the latest version of the altimetric snow depth (ASD) product computed over both hemispheres from the difference of the radar penetration into the snow pack between the Ka-band frequency SARAL/Altika and the Ku-band frequency CryoSat-2. The ASD solution is compared against a wide range of snow depth products including model data (Pan-Arctic Ice-Ocean Modelling and Assimilation System (PIOMAS) or its equivalent in the Antarctic the Global Ice-Ocean Modeling and Assimilation System (GIOMAS), the MERCATOR model, and NASA's Eulerian Snow On Sea Ice Model (NESOSIM, only in the Arctic)), the Advanced Microwave Scanning Radiometer-2 (AMSR2) passive radiometer data, and the Dual-altimeter Snow Thickness (DuST) Ka-Ku product (only in the Arctic). The ASD product is further validated in the Arctic against the ice mass balance (IMB) buoys, the CryoSat Validation Experiment (CryoVEx) and Operation Ice Bridge's (OIB) airborne measurements. These comparisons demonstrate that ASD is a relevant snow depth solution, with spatiotemporal patterns consistent with those of the alternative Ka-Ku DuST product but with a mean bias of about 6.5 cm. We also demonstrate that ASD is consistent with the validation data: comparisons with OIB's airborne snow radar in the Arctic during the period of 2014-2018 show a correlation of 0.66 and a RMSE of about 6 cm. Furthermore, a first-guess monthly climatology has been constructed in the Arctic from the ASD product, which shows a good agreement with OIB during 2009-2012. This climatology is shown to provide a better solution than the W99m climatology when compared with validation data. Finally, we have characterised the SIT uncertainty due to the snow depth from an ensemble of SIT solutions computed for the Arctic by using the different snow depth products previously used in the comparison with the ASD product. During the period of 2013-2019, we found a spatially averaged SIT mean standard deviation of 20 cm. Deviations between SIT estimations due to snow depths can reach up to 77 cm. Using the ASD data instead of W99m to estimate SIT over this time period leads to a reduction in the average SIT of about 30 cm.</t>
  </si>
  <si>
    <t>[Garnier, Florent; Fleury, Sara; Bocquet, Marion; Remy, Frederique] Univ Paul Sabbatier, Lab Etud Geophys &amp; Oceanog Spatiales LEGOS, CNRS, UMR5566, F-31400 Toulouse, France; [Garric, Gilles] Mercator Ocean, F-31520 Ramonville St Agne, France; [Bouffard, Jerome; Hansen, Renee Mie Fredensborg] ESA European Space Agcy, Earth Observat Directorate, Via Galileo Galilei 2, I-00044 Frascati, Italy; [Tsamados, Michel] UCL, Ctr Polar Observat &amp; Modelling, Dept Earth Sci, London WC1E 6BT, England; [Laforge, Antoine] Earth Observat Directorate, Serco ESA, Via Galileo Galilei 2, I-00044 Frascati, Italy</t>
  </si>
  <si>
    <t>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 University of London; University College London</t>
  </si>
  <si>
    <t>Garnier, F (corresponding author), Univ Paul Sabbatier, Lab Etud Geophys &amp; Oceanog Spatiales LEGOS, CNRS, UMR5566, F-31400 Toulouse, France.</t>
  </si>
  <si>
    <t>florent.garnier@legos.obs-mip.fr</t>
  </si>
  <si>
    <t>; Garric, Gilles/O-9065-2016</t>
  </si>
  <si>
    <t>Fleury, Sara/0000-0002-3751-1387; Garric, Gilles/0000-0002-5385-710X; Bocquet, Marion/0000-0001-8390-3974; Hansen, Renee Mie Fredensborg/0000-0002-3426-347X; garnier, florent/0000-0003-2663-8769</t>
  </si>
  <si>
    <t>CNES TOSCA CASSIS; ESA Living Planet Fellowship; ESA POLAR+ Snow on Sea Ice project; Programme Nationale de Teledetection Spatiale (PNTS) [nPNTS-2020-11]; NERC [NE/I029439/1, NE/M015238/1, NE/R000263/1, NE/T009470/1, NE/T001399/1, cpom30001] Funding Source: UKRI</t>
  </si>
  <si>
    <t>CNES TOSCA CASSIS; ESA Living Planet Fellowship; ESA POLAR+ Snow on Sea Ice project; Programme Nationale de Teledetection Spatiale (PNTS); NERC(UK Research &amp; Innovation (UKRI)Natural Environment Research Council (NERC))</t>
  </si>
  <si>
    <t>This article has benefited from the financial support of the CNES TOSCA CASSIS, the ESA Living Planet Fellowship, the ESA POLAR+ Snow on Sea Ice project and the Programme Nationale de Teledetection Spatiale (PNTS, http://programmes.insu.cnrs.fr/pnts/), grant nPNTS-2020-11.</t>
  </si>
  <si>
    <t>10.5194/tc-15-5483-2021</t>
  </si>
  <si>
    <t>XO2QF</t>
  </si>
  <si>
    <t>WOS:000730034700001</t>
  </si>
  <si>
    <t>Oyabu, I; Kawamura, K; Uchida, T; Fujita, S; Kitamura, K; Hirabayashi, M; Aoki, S; Morimoto, S; Nakazawa, T; Severinghaus, JP; Morgan, JD</t>
  </si>
  <si>
    <t>Oyabu, Ikumi; Kawamura, Kenji; Uchida, Tsutomu; Fujita, Shuji; Kitamura, Kyotaro; Hirabayashi, Motohiro; Aoki, Shuji; Morimoto, Shinji; Nakazawa, Takakiyo; Severinghaus, Jeffrey P.; Morgan, Jacob D.</t>
  </si>
  <si>
    <t>Fractionation of O2/N2 and Ar/N2 in the Antarctic ice sheet during bubble formation and bubble-clathrate hydrate transition from precise gas measurements of the Dome Fuji ice core</t>
  </si>
  <si>
    <t>FIRN AIR; OCCLUDED AIR; O-2; N-2; ISOTOPES; RATIOS; NUCLEATION; CHRONOLOGY; DIFFUSION; ARGON</t>
  </si>
  <si>
    <t>The variations of delta O-2/N-2 and delta Ar/N-2 in the Dome Fuji ice core were measured from 112 m (bubbly ice) to 2001 m (clathrate hydrate ice). Our method, combined with the low storage temperature of the samples (-50 degrees C), successfully excludes post-coring gas-loss fractionation signals from our data. From the bubbly ice to the middle of the bubble-clathrate transition zone (BCTZ) (112-800m) and below the BCTZ (&gt; 1200 m), the delta O-2/N-2 and delta Ar/N-2 data exhibit orbital-scale variations similar to local summer insolation. The data in the lower BCTZ (800-1200 m) have large scatter, which may be caused by millimeter-scale inhomogeneity of air composition combined with finite sample lengths. The insolation signal originally recorded at the bubble close-off remains through the BCTZ, and the insolation signal may be reconstructed by analyzing long ice samples (more than 50 cm for the Dome Fuji core). In the clathrate hydrate zone, the scatter around the orbital-scale variability decreases with depth, indicating diffusive smoothing of delta O-2/N-2 and delta Ar/N-2. A simple gas diffusion model was used to reproduce the smoothing and thus constrain their permeation coefficients. The relationship between delta Ar/N-2 and delta O-2/N-2 is markedly different for the datasets representing bubble close-off (slope similar to 0.5), bubble-clathrate hydrate transformation (similar to 1), and post-coring gas loss (similar to 0.2), suggesting that the contributions of the mass-independent and mass-dependent fractionation processes are different for those cases. The method and data presented here may be useful for improving the orbital dating of deep ice cores over the multiple glacial cycles and further studying non-insolation-driven signals (e.g., atmospheric composition) of these gases.</t>
  </si>
  <si>
    <t>[Oyabu, Ikumi; Kawamura, Kenji; Fujita, Shuji; Kitamura, Kyotaro; Hirabayashi, Motohiro] Natl Inst Polar Res, Tokyo 1908518, Japan; [Kawamura, Kenji; Fujita, Shuji] Grad Univ Adv Studies SOKENDAI, Dept Polar Sci, Tokyo 1908518, Japan; [Kawamura, Kenji] Japan Agcy Marine Sci &amp; Technol JAMSTEC, Yokosuka, Kanagawa 2370061, Japan; [Uchida, Tsutomu] Hokkaido Univ, Fac Engn, Div Appl Phys, Sapporo, Hokkaido 0608628, Japan; [Aoki, Shuji; Morimoto, Shinji; Nakazawa, Takakiyo] Tohoku Univ, Ctr Atmospher &amp; Ocean Studies, Grad Sch Sci, Sendai, Miyagi 9808578, Japan; [Severinghaus, Jeffrey P.; Morgan, Jacob D.] Univ Calif San Diego, Scripps Inst Oceanog, La Jolla, CA 92093 USA</t>
  </si>
  <si>
    <t>Research Organization of Information &amp; Systems (ROIS); National Institute of Polar Research (NIPR) - Japan; Graduate University for Advanced Studies - Japan; Japan Agency for Marine-Earth Science &amp; Technology (JAMSTEC); Hokkaido University; Tohoku University; University of California System; University of California San Diego; Scripps Institution of Oceanography</t>
  </si>
  <si>
    <t>Oyabu, I (corresponding author), Natl Inst Polar Res, Tokyo 1908518, Japan.</t>
  </si>
  <si>
    <t>oyabu.ikumi@nipr.ac.jp</t>
  </si>
  <si>
    <t>Oyabu, Ikumi/AGE-1164-2022; Morimoto, Shinji/GQR-1817-2022; Kawamura, Kenji/C-7660-2011; Fujita, Shuji/A-7884-2016</t>
  </si>
  <si>
    <t>Oyabu, Ikumi/0000-0001-8017-1085; Kawamura, Kenji/0000-0003-1163-700X; Severinghaus, Jeffrey/0000-0001-8883-3119; Fujita, Shuji/0000-0003-0127-0777</t>
  </si>
  <si>
    <t>Japan Society for the Promotion of Science [20H04327, 17K12816, 17J00769, 20H00639, 15KK0027, 26241011, 18H05294]; Ministry of Education, Culture, Sports, Science and Technology [17H06320]; National Institute of Polar Research [KP305]; National Institute of Polar Research (Senshin Project); Grants-in-Aid for Scientific Research [26241011, 15KK0027, 17H06320, 17J00769, 17K12816, 18H05294, 20H04327, 20H00639] Funding Source: KAKEN</t>
  </si>
  <si>
    <t>Japan Society for the Promotion of Science(Ministry of Education, Culture, Sports, Science and Technology, Japan (MEXT)Japan Society for the Promotion of Science); Ministry of Education, Culture, Sports, Science and Technology(Ministry of Education, Culture, Sports, Science and Technology, Japan (MEXT)); National Institute of Polar Research(National Institute of Polar Research (NIPR) - Japan); National Institute of Polar Research (Senshin Project); Grants-in-Aid for Scientific Research(Ministry of Education, Culture, Sports, Science and Technology, Japan (MEXT)Japan Society for the Promotion of ScienceGrants-in-Aid for Scientific Research (KAKENHI))</t>
  </si>
  <si>
    <t>This research has been supported by the Japan Society for the Promotion of Science (grant nos. 20H04327, 17K12816, 17J00769, 20H00639, 15KK0027, 26241011, and 18H05294), the Ministry of Education, Culture, Sports, Science and Technology (grant no. 17H06320), and the National Institute of Polar Research (grant no. KP305 and Senshin Project).</t>
  </si>
  <si>
    <t>10.5194/tc-15-5529-2021</t>
  </si>
  <si>
    <t>XO2RA</t>
  </si>
  <si>
    <t>WOS:000730036800001</t>
  </si>
  <si>
    <t>Voermans, JJ; Liu, QX; Marchenko, A; Rabault, J; Filchuk, K; Ryzhov, I; Heil, P; Waseda, T; Nose, T; Kodaira, T; Li, JK; Babanin, AV</t>
  </si>
  <si>
    <t>Voermans, Joey J.; Liu, Qingxiang; Marchenko, Aleksey; Rabault, Jean; Filchuk, Kirill; Ryzhov, Ivan; Heil, Petra; Waseda, Takuji; Nose, Takehiko; Kodaira, Tsubasa; Li, Jingkai; Babanin, Alexander, V</t>
  </si>
  <si>
    <t>Wave dispersion and dissipation in landfast ice: comparison of observations against models</t>
  </si>
  <si>
    <t>SEA-ICE; OCEAN WAVES; PACK ICE; ATTENUATION; PROPAGATION; TRANSPORT; PANCAKE; ENERGY; FLOES</t>
  </si>
  <si>
    <t>Observations of wave dissipation and dispersion in sea ice are a necessity for the development and validation of wave-ice interaction models. As the composition of the ice layer can be extremely complex, most models treat the ice layer as a continuum with effective, rather than independently measurable, properties. While this provides opportunities to fit the model to observations, it also obscures our understanding of the wave-ice interactive processes; in particular, it hinders our ability to identify under which environmental conditions these processes are of significance. Here, we aimed to reduce the number of free variables available by studying wave dissipation in landfast ice. That is, in continuous sea ice, such as landfast ice, the effective properties of the continuum ice layer should revert to the material properties of the ice. We present observations of wave dispersion and dissipation from a field experiment on landfast ice in the Arctic and Antarctic. Independent laboratory measurements were performed on sea ice cores from a neighboring fjord in the Arctic to estimate the ice viscosity. Results show that the dispersion of waves in landfast ice is well described by theory of a thin elastic plate, and such observations could provide an estimate of the elastic modulus of the ice. Observations of wave dissipation in landfast ice are about an order of magnitude larger than in ice floes and broken ice. Comparison of our observations against models suggests that wave dissipation is attributed to the viscous dissipation within the ice layer for short waves only, whereas turbulence generated through the interactions between the ice and waves is the most likely process for the dissipation of wave energy for long periods. The separation between short and long waves in this context is expected to be determined by the ice thickness through its influence on the lengthening of short waves. Through the comparison of the estimated wave attenuation rates with distance from the landfast ice edge, our results suggest that the attenuation of long waves is weaker in comparison to short waves, but their dependence on wave energy is stronger. Further studies are required to measure the spatial variability of wave attenuation and measure turbulence underneath the ice independently of observations of wave attenuation to confirm our interpretation of the results.</t>
  </si>
  <si>
    <t>[Voermans, Joey J.; Liu, Qingxiang; Babanin, Alexander, V] Univ Melbourne, Dept Infrastruct Engn, Parkville, Vic, Australia; [Liu, Qingxiang; Li, Jingkai] Ocean Univ China, Phys Oceanog Lab, Qingdao, Peoples R China; [Marchenko, Aleksey] Univ Ctr Svalbard, Arctic Technol Dept, Longyearbyen, Norway; [Rabault, Jean] Norwegian Meteorol Inst, Oslo, Norway; [Rabault, Jean] Univ Oslo, Dept Math, Oslo, Norway; [Filchuk, Kirill; Ryzhov, Ivan] Arctic &amp; Antarctic Res Inst AARI, St Petersburg, Russia; [Heil, Petra] Univ Tasmania, Australian Antarctic Div, Hobart, Tas, Australia; [Heil, Petra] Univ Tasmania, Australian Antarctic Program Partnership, Hobart, Tas, Australia; [Waseda, Takuji; Nose, Takehiko; Kodaira, Tsubasa] Univ Tokyo, Grad Sch Frontier Sci, Kashiwa, Chiba, Japan; [Babanin, Alexander, V] Natl Lab Marine Sci &amp; Technol, Lab Reg Oceanog &amp; Numer Modeling, Qingdao, Peoples R China</t>
  </si>
  <si>
    <t>University of Melbourne; Ocean University of China; University Centre Svalbard (UNIS); Norwegian Meteorological Institute; University of Oslo; Arctic &amp; Antarctic Research Institute; University of Tasmania; Australian Antarctic Division; University of Tasmania; University of Tokyo; Laoshan Laboratory</t>
  </si>
  <si>
    <t>Voermans, JJ (corresponding author), Univ Melbourne, Dept Infrastruct Engn, Parkville, Vic, Australia.</t>
  </si>
  <si>
    <t>jvoermans@unimelb.edu.au</t>
  </si>
  <si>
    <t>Liu, Qingxiang/GRS-6406-2022; Marchenko, Aleksey/GSD-3516-2022; Waseda, Takuji/F-1445-2019</t>
  </si>
  <si>
    <t>Liu, Qingxiang/0000-0001-6100-0221; Marchenko, Aleksey/0000-0003-4169-0063; Voermans, Joey/0000-0002-2963-3763; Rabault, Jean/0000-0002-7244-6592; Heil, Petra/0000-0003-2078-0342</t>
  </si>
  <si>
    <t>Office of Naval Research [N62909-20-1-2080]; Australian Antarctic Division [4593, 4506]; Grants-in-Aid for Scientific Research [20K20437] Funding Source: KAKEN</t>
  </si>
  <si>
    <t>Office of Naval Research(Office of Naval Research); Australian Antarctic Division; Grants-in-Aid for Scientific Research(Ministry of Education, Culture, Sports, Science and Technology, Japan (MEXT)Japan Society for the Promotion of ScienceGrants-in-Aid for Scientific Research (KAKENHI))</t>
  </si>
  <si>
    <t>This research has been supported by the Office of Naval Research (grant no. N62909-20-1-2080) and the Australian Antarctic Division (grant nos. 4593 and 4506).</t>
  </si>
  <si>
    <t>10.5194/tc-15-5557-2021</t>
  </si>
  <si>
    <t>XO2SF</t>
  </si>
  <si>
    <t>WOS:000730039900001</t>
  </si>
  <si>
    <t>Marrone, A; La Russa, D; Brunelli, E; Santovito, G; La Russa, MF; Barca, D; Pellegrino, D</t>
  </si>
  <si>
    <t>Marrone, Alessandro; La Russa, Daniele; Brunelli, Elvira; Santovito, Gianfranco; La Russa, Mauro Francesco; Barca, Donatella; Pellegrino, Daniela</t>
  </si>
  <si>
    <t>Antarctic Fish as a Global Pollution Sensor: Metals Biomonitoring in a Twelve-Year Period</t>
  </si>
  <si>
    <t>FRONTIERS IN MOLECULAR BIOSCIENCES</t>
  </si>
  <si>
    <t>global pollution; antarctic fish; metals biomonitoring; metallothionein; bioaccumulation</t>
  </si>
  <si>
    <t>OXIDATIVE STRESS; GENE-EXPRESSION; CLIMATE-CHANGE; METALLOTHIONEIN; TISSUES; GILLS; CONTAMINATION; ACCUMULATION; ACTIVATION; BIOMARKERS</t>
  </si>
  <si>
    <t>Antarctica represents a unique natural laboratory for ecotoxicological studies as it is characterized by low internal pollutants emissions but high external contamination levels. Indeed, warm temperatures promote pollutant evaporation (low latitudes), while cool temperatures (high latitudes) promote its deposition from the atmosphere on land/water. Metals are the most important pollutants in ecosystems and represent a serious and global threat to aquatic and terrestrial organisms. Since 2000, the risks posed by metals have led many States to ratify protocols aimed at reducing their emissions. Endemic Antarctic organisms represent excellent bioindicators in order to evaluate the efficacy of global measures adopted to mitigate pollutants release into the environment. In this study (supported by PNRA18-00133), we estimated the metals contamination levels and the metallothionein-1 expression in liver samples of two Antarctic fish species, the icefish Chionodraco hamatus and the red-blooded Trematomus bernacchii, collected in the same area during 2002 and 2014. The chosen area is located in the Ross Sea, a unique area as it is also isolated from the rest of the Southern Ocean. The analysis of contamination trends throughout this period showed, in both species, a significant increase over time of metals bioaccumulation and metallothionein-1 expression. In addition, our result clearly indicated that the detoxifying ability of the two organisms analyzed greatly differs, probably due to haemoglobin presence/absence. Our work represents an important early step to obtain valuable information in conservation strategies for both Antarctic and non-Antarctic ecosystems.</t>
  </si>
  <si>
    <t>[Marrone, Alessandro; Brunelli, Elvira; La Russa, Mauro Francesco; Barca, Donatella; Pellegrino, Daniela] Univ Calabria, Dept Biol Ecol &amp; Earth Sci, Arcavacata Di Rende, Italy; [La Russa, Daniele] Univ Calabria, Dept Pharm Hlth &amp; Nutr Sci, Arcavacata Di Rende, Italy; [Santovito, Gianfranco] Univ Padua, Dept Biol, Padua, Italy</t>
  </si>
  <si>
    <t>University of Calabria; University of Calabria; University of Padua</t>
  </si>
  <si>
    <t>Pellegrino, D (corresponding author), Univ Calabria, Dept Biol Ecol &amp; Earth Sci, Arcavacata Di Rende, Italy.</t>
  </si>
  <si>
    <t>danielapellegrino@unical.it</t>
  </si>
  <si>
    <t>Santovito, Gianfranco/ABB-9484-2021; Brunelli, Elvira/AGR-1617-2022; Marrone, Alessandro/AAM-9319-2021</t>
  </si>
  <si>
    <t>Santovito, Gianfranco/0000-0001-8260-7006; Brunelli, Elvira/0000-0003-3669-1395; Marrone, Alessandro/0000-0003-0489-0955; Pellegrino, Daniela/0000-0002-9815-5195</t>
  </si>
  <si>
    <t>National Research Program in Antarctica (PNRA), AntaGPS project: Antarctica as a global pollution sensor: aquatic and terrestrial organisms as bioindicators and meta-analysis of pollutant trends [PNRA18-00133]</t>
  </si>
  <si>
    <t>National Research Program in Antarctica (PNRA), AntaGPS project: Antarctica as a global pollution sensor: aquatic and terrestrial organisms as bioindicators and meta-analysis of pollutant trends</t>
  </si>
  <si>
    <t>This work was supported by National Research Program in Antarctica (PNRA), AntaGPS project: Antarctica as a global pollution sensor: aquatic and terrestrial organisms as bioindicators and meta-analysis of pollutant trends PNRA18-00133.</t>
  </si>
  <si>
    <t>2296-889X</t>
  </si>
  <si>
    <t>FRONT MOL BIOSCI</t>
  </si>
  <si>
    <t>Front. Mol. Biosci.</t>
  </si>
  <si>
    <t>DEC 9</t>
  </si>
  <si>
    <t>10.3389/fmolb.2021.794946</t>
  </si>
  <si>
    <t>YA9ET</t>
  </si>
  <si>
    <t>WOS:000738628400001</t>
  </si>
  <si>
    <t>Gonzalez-Aravena, M; Rondon, R; Font, A; Cardenas, CA; Toullec, JY; Corre, E; Paschke, K</t>
  </si>
  <si>
    <t>Gonzalez-Aravena, Marcelo; Rondon, Rodolfo; Font, Alejandro; Cardenas, Cesar A.; Toullec, Jean-Yves; Corre, Erwan; Paschke, Kurt</t>
  </si>
  <si>
    <t>Low Transcriptomic Plasticity of Antarctic Giant Isopod Glyptonotus antarcticus Juveniles Exposed to Acute Thermal Stress</t>
  </si>
  <si>
    <t>marine invertebrates; Antarctica; warming; transcriptomic (RNA-Seq); phenotypic plasticity</t>
  </si>
  <si>
    <t>MARINE-INVERTEBRATES; RESPONSES; EXPRESSION; TEMPERATURE; HSP70; GENE; ACCLIMATION; BIVALVE; IMPACTS; ADULTS</t>
  </si>
  <si>
    <t>The Western Antarctic Peninsula (WAP) is among the areas of the planet showing some of the most significant increases in air and water temperature. It is projected that increasing temperature will modulate coastal ecosystems at species ecological performance and molecular composition. The main way that the organisms can cope with large thermal variation is by having a reversible phenotypic plasticity, which provides the organisms with a compensatory physiological response when facing challenging conditions. The giant Antarctic isopod Glyptonotus antarcticus is one of most common species in Antarctic waters. This species has a larval development inside of the maternal marsupium, where juveniles have a short period to acclimate to environmental conditions after birth. In this sense, we hypothesize that juveniles exposed to unusual temperature increases even for short periods, would not respond adequately showing a narrow phenotypic plasticity. We experimentally assessed if early juveniles of G. antarcticus have the molecular plasticity when exposed to increased temperature at 5 degrees C during 1, 6, 12 and 24 h. Sequenced libraries were compared between control (0 degrees C) and each experimental treatment to detect differentially expressed transcripts. The main molecular pathways affected by thermal stress were antioxidant, proteases, endopeptidases and ubiquination transcripts which were up-regulated and mitochondrial respiratory chain, cuticle, cytoskeleton and a molt transcript which were down-regulated. Regarding the HSP transcript, only 3 were up-regulated at least in two points of the stress kinetic, without classical Hsp70 and Hsp90 transcripts. This study shows that juveniles of G. antarcticus do not show molecular phenotypic plasticity to cope with acute short-term heat stress, even for one or few hours of exposure with an absence of an eco-physiological capacity to respond. This may have consequences at the ecological population level, showing a reduced individual ability to survive decreasing population recruitment.</t>
  </si>
  <si>
    <t>[Gonzalez-Aravena, Marcelo; Rondon, Rodolfo; Font, Alejandro; Cardenas, Cesar A.] Inst Antartico Chileno, Dept Cient, Punta Arenas, Chile; [Toullec, Jean-Yves] Sorbonne Univ, CNRS, UMR 7144,Fac Sci, Adaptat &amp; Divers Milieu Marin,AD2M,Stn Biol Rosco, Roscoff, France; [Corre, Erwan] Sorbonne Univ, CNRS, FR 2424, Fac Sci,ABiMS,Stn Biol Roscoff, Roscoff, France; [Paschke, Kurt] Univ Austral Chile, Inst Acuicultura, Puerto Montt, Chile; [Paschke, Kurt] Ctr FONDAP Invest Altas Latitudes IDEAL, Punta Arenas, Chile</t>
  </si>
  <si>
    <t>Sorbonne Universite; Centre National de la Recherche Scientifique (CNRS); CNRS - Institute of Ecology &amp; Environment (INEE); Centre National de la Recherche Scientifique (CNRS); Sorbonne Universite; Universidad Austral de Chile</t>
  </si>
  <si>
    <t>Gonzalez-Aravena, M (corresponding author), Inst Antartico Chileno, Dept Cient, Punta Arenas, Chile.</t>
  </si>
  <si>
    <t>mgonzalez@inach.cl</t>
  </si>
  <si>
    <t>Cardenas, Cesar/ABF-1664-2020; corre, erwan/T-7166-2018</t>
  </si>
  <si>
    <t>corre, erwan/0000-0001-6354-2278; Rondon, Rodolfo/0000-0002-0292-7438; Cardenas, Cesar/0000-0001-6662-6899</t>
  </si>
  <si>
    <t>ANID-Chile (Fondecyt) [11090265, 11190802, 1131001]; Chilean Antarctic Institute (INACH)</t>
  </si>
  <si>
    <t>ANID-Chile (Fondecyt); Chilean Antarctic Institute (INACH)</t>
  </si>
  <si>
    <t>Funding The study was financed by grants from the ANID-Chile (Fondecyt 11090265, 11190802, and 1131001) and logistical support was provided for the Chilean Antarctic Institute (INACH).</t>
  </si>
  <si>
    <t>10.3389/fmars.2021.761866</t>
  </si>
  <si>
    <t>YA4WN</t>
  </si>
  <si>
    <t>WOS:000738335400001</t>
  </si>
  <si>
    <t>Sun, HZ; Li, YM; Wang, P; Yang, RQ; Pei, ZG; Zhang, QH; Jiang, GB</t>
  </si>
  <si>
    <t>Sun, Huizhong; Li, Yingming; Wang, Pu; Yang, Ruiqiang; Pei, Zhiguo; Zhang, Qinghua; Jiang, Guibin</t>
  </si>
  <si>
    <t>First report on hydroxylated and methoxylated polybrominated diphenyl ethers in terrestrial environment from the Arctic and Antarctica</t>
  </si>
  <si>
    <t>MeO-PBDEs; OH-PBDEs; Polar regions; Soil; Vegetation</t>
  </si>
  <si>
    <t>POLYCHLORINATED-BIPHENYLS PCBS; KING GEORGE ISLAND; FLAME RETARDANTS; BROMINATED COMPOUNDS; CONGENER COMPOSITION; TIBETAN PLATEAU; NY-ALESUND; MEO-PBDES; SOIL; ORGANOHALOGEN</t>
  </si>
  <si>
    <t>Terrestrial plants, which account for the world's largest biomass and constitute the basis of most food webs, take up, transform, and accumulate organic chemical contaminants from the ambient environment. In this study, we determined the concentrations and congener profiles of polybrominated diphenyl ethers (PBDEs) and hydroxylated and methoxylated polybrominated diphenyl ethers (OH-PBDEs and MeO-PBDEs) in surface soil and vegetation samples collected from the Arctic (Svalbard) and Antarctica (King George Island) during the Chinese Scientific Research Expeditions. The concentrations of total PBDEs ( n-ary sumation PBDEs) in soil and vegetation samples collected from the Arctic (5.6-270 pg/g dry weight) were higher than those from Antarctica (2.3-33 pg/g dw), whereas the concentrations of n-ary sumation MeO-PBDEs and n-ary sumation OH-PBDEs were lower in Arctic terrestrial samples (n. d.-0.75 and 0.0008-1.1 ng/g dw, respectively) than in samples from Antarctica (0.007-4.0 and 0.034-25 ng/g dw, respectively). Long-range atmospheric transport and human activities were potential sources of PBDEs in polar regions, whereas the dominance of ortho-substituted MeO-PBDE and OH-PBDE congeners in terrestrial matrices indicated the importance of natural sources. To the best of our knowledge, this study represents the first report on the levels and behaviors of MeO-PBDEs and OH-PBDEs in terrestrial environment of polar regions.</t>
  </si>
  <si>
    <t>[Sun, Huizhong] Natl Res Ctr Geoanal, Minist Nat Resources, Key Lab Ecogeochem, Beijing 100037, Peoples R China; [Sun, Huizhong; Li, Yingming; Yang, Ruiqiang; Pei, Zhiguo; Zhang, Qinghua; Jiang, Guibin] Chinese Acad Sci, Res Ctr Ecoenvironm Sci, State Key Lab Environm Chem &amp; Ecotoxicol, Beijing 100085, Peoples R China; [Li, Yingming; Yang, Ruiqiang; Pei, Zhiguo; Zhang, Qinghua; Jiang, Guibin] Univ Chinese Acad Sci, Beijing 100049, Peoples R China; [Wang, Pu] Jianghan Univ, Sch Environm &amp; Hlth, Hubei Key Lab Environm &amp; Hlth Effects Persistent, Wuhan 430056, Peoples R China</t>
  </si>
  <si>
    <t>Ministry of Natural Resources of the People's Republic of China; Chinese Academy of Sciences; Research Center for Eco-Environmental Sciences (RCEES); Chinese Academy of Sciences; University of Chinese Academy of Sciences, CAS; Jianghan University</t>
  </si>
  <si>
    <t>Li, YM (corresponding author), Chinese Acad Sci, Res Ctr Ecoenvironm Sci, State Key Lab Environm Chem &amp; Ecotoxicol, Beijing 100085, Peoples R China.</t>
  </si>
  <si>
    <t>ymli@rcees.ac.cn</t>
  </si>
  <si>
    <t>Zhang, Qinghua/L-7652-2019; zhang, qinghua/HMP-3611-2023; ZHANG, XUCHEN/KBB-7989-2024</t>
  </si>
  <si>
    <t>Zhang, Qinghua/0000-0001-9086-7000; zhang, qinghua/0000-0002-9707-4051;</t>
  </si>
  <si>
    <t>National Key Research and Development Program of China [2020YFA0608503]; National Natural Science Foundation of China [22076215]; Eco-Environmental Excellent Innovation Projects of the Research Center for Eco-Environmental Sciences, Chinese Academy of Sciences [RCEES-EEI-2019-01]; Strategic Priority Research Program of the Chinese Academy of Sciences [XDPB2002]</t>
  </si>
  <si>
    <t>National Key Research and Development Program of China; National Natural Science Foundation of China(National Natural Science Foundation of China (NSFC)); Eco-Environmental Excellent Innovation Projects of the Research Center for Eco-Environmental Sciences, Chinese Academy of Sciences; Strategic Priority Research Program of the Chinese Academy of Sciences(Chinese Academy of Sciences)</t>
  </si>
  <si>
    <t>This work was supported by the National Key Research and Development Program of China (2020YFA0608503), the National Natural Science Foundation of China (22076215), Eco-Environmental Excellent Innovation Projects of the Research Center for Eco-Environmental Sciences, Chinese Academy of Sciences (RCEES-EEI-2019-01), and Strategic Priority Research Program of the Chinese Academy of Sciences (XDPB2002). We also appreciate the support of Chinese Arctic and Antarctic Administration and Polar Research Institute of China for the arrangement during Chinese Arctic and Antarctic Expedition.</t>
  </si>
  <si>
    <t>D</t>
  </si>
  <si>
    <t>10.1016/j.jhazmat.2021.127644</t>
  </si>
  <si>
    <t>XU6WV</t>
  </si>
  <si>
    <t>WOS:000734403300008</t>
  </si>
  <si>
    <t>Liang, YJ; Zhao, K; Wang, YJ; Edwards, RL; Cheng, H; Shao, QF; Chen, ST; Wang, JY; Zhu, JJ</t>
  </si>
  <si>
    <t>Liang, Yijia; Zhao, Kan; Wang, Yongjin; Edwards, R. Lawrence; Cheng, Hai; Shao, Qingfeng; Chen, Shitao; Wang, Jinyu; Zhu, Junji</t>
  </si>
  <si>
    <t>Different response of stalagmite δ18O and δ13C to millennial-scale events during the last glacial, evidenced from Huangjin Cave, northern China</t>
  </si>
  <si>
    <t>Huangjin Cave; Stalagmite; Oxygen and carbon isotopes; Millennial-scale events; Lead-lag relationship</t>
  </si>
  <si>
    <t>ASIAN SUMMER MONSOON; CLIMATE-CHANGE; ISOTOPIC COMPOSITION; MODERN PRECIPITATION; VEGETATION HISTORY; HALF-LIVES; SPELEOTHEMS; GREENLAND; RECORDS; PALEOCLIMATE</t>
  </si>
  <si>
    <t>An anti-phased relationship between Greenland Dansgaard-Oeschger (DO) and Antarctic temperature was revealed by ice core records, and the bipolar see-saw mechanism has since been proposed in explanation for the interhemispheric thermal redistribution. However, limited by chronology uncertainties of ice cores, particularly the ice age-gas age differences, the exact phase relationship and triggers for millennial-scale events are still in debate. Searching for proxies that could reflect both boreal and austral signals in one geological archive is therefore, a potential solution for the phase dilemma. Here, high-resolution paleoclimatic records from 55.2 to 36.5 ka BP were reconstructed using 21 Th-230/ U dates and 647 sets of delta O-18 and delta C-13 data by one stalagmite HJ1 from Huangjin Cave, Hebei Province, northern China. Robust millennial-scale fluctuations are found in delta O-18 and delta C-13 time series, corresponding to DO events 8 to 14 and Heinrich 4 and 5 events within dating errors. Discrepancies exist in the structures and onsets in delta O-18 and delta C-13 records; that is, abrupt DO onsets in delta C-13 data and gradual onsets in delta O-18. Timing of DO onsets in delta C-13 are prior to (e.g. DO12 and DO14) or synchronous with (e.g. DO8 to DO11) those in delta O-18. Comparison of HJ1 delta O-18 and bipolar ice core records suggests that the East Asian summer monsoon (EASM) is influenced by both hemispheres, but better mimics the Antarctic temperature. This suggests that the EASM is controlled by the cross equatorial airflows, and further indicates an important role of the Atlantic Meridional Overturning Circulation (AMOC) in modulating the inter-hemispheric heat gradient. However, our delta C-13 profile strongly resembles with the Greenland delta O-18 record on the millennial timescale, in terms of the sawtooth structure and the abrupt transition. This indicates that northern high-latitude climate could modulate hydro-thermal conditions in northern China, possibly via the mid-latitude westerly jet and/or the Silk Road teleconnection, which influences the vegetation/biomass changes and thereby controls stalagmite d13C values. Therefore, HJ1 delta O-18 receives climatic signals from the Southern Hemisphere (SH) to a larger extent, while delta C-d13 captures largely the changes in the Northern Hemisphere (NH). Furthermore, comparison between calcite and ice core records shows that during DO14, temperature increases in the NH leads the SH cooling by similar to 120 years. However, during short-term DO events, the SH may start cooling similar to 150 years before the NH warming. These findings demonstrate two possibilities for the NH-SH phase relationship which are dependent on the trigger location of the AMOC recovery and the bipolar see-saw mode is likely controlled by the oceanic processes. (C) 2021 Published by Elsevier Ltd.</t>
  </si>
  <si>
    <t>[Liang, Yijia] Nantong Univ, Coll Geosci, Nantong 226007, Peoples R China; [Zhao, Kan; Wang, Yongjin; Edwards, R. Lawrence; Shao, Qingfeng; Chen, Shitao; Wang, Jinyu; Zhu, Junji] Nanjing Normal Univ, Sch Geog, Nanjing 210023, Peoples R China; [Zhao, Kan; Wang, Yongjin; Shao, Qingfeng; Chen, Shitao; Wang, Jinyu; Zhu, Junji] Nanjing Normal Univ, Minist Educ, Key Lab Virtual Geog Environm, Nanjing 210023, Peoples R China; [Edwards, R. Lawrence] Univ Minnesota, Dept Geol &amp; Geophys, Minneapolis, MN 55455 USA; [Cheng, Hai] Xi An Jiao Tong Univ, Inst Global Environm Change, Xian 710049, Peoples R China</t>
  </si>
  <si>
    <t>Nantong University; Nanjing Normal University; Nanjing Normal University; University of Minnesota System; University of Minnesota Twin Cities; Xi'an Jiaotong University</t>
  </si>
  <si>
    <t>Zhao, K (corresponding author), Nanjing Normal Univ, Sch Geog, Nanjing 210023, Peoples R China.</t>
  </si>
  <si>
    <t>lucy2012_2015@163.com; 09371@njnu.edu.cn; yjwang@njnu.edu.cn; edwar001@umn.edu; cheng021@xjtu.edu.cn; 09396@njnu.edu.cn; chenshitao@njnu.edu.cn; 2693426407@qq.com; 1300306999@qq.com</t>
  </si>
  <si>
    <t>CHENG, HAI/H-3413-2017</t>
  </si>
  <si>
    <t>CHENG, HAI/0000-0002-5305-9458</t>
  </si>
  <si>
    <t>National Natural Science Foundation of China [42071105, 41931178, 42072207]; U.S. Nature Science Foundation [1702816]; 111 Program of China [D19002]</t>
  </si>
  <si>
    <t>National Natural Science Foundation of China(National Natural Science Foundation of China (NSFC)); U.S. Nature Science Foundation; 111 Program of China(Ministry of Education, China - 111 Project)</t>
  </si>
  <si>
    <t>This work was supported by National Natural Science Foundation of China (awards 42071105, 41931178, 42072207), the U.S. Nature Science Foundation (award 1702816), and the 111 Program of China (award D19002).</t>
  </si>
  <si>
    <t>10.1016/j.quascirev.2021.107305</t>
  </si>
  <si>
    <t>WOS:000731929600012</t>
  </si>
  <si>
    <t>Costa, RR; Mendes, CRB; Ferreira, A; Tavano, VM; Dotto, TS; Secchi, ER</t>
  </si>
  <si>
    <t>Costa, Raul Rodrigo; Mendes, Carlos Rafael Borges; Ferreira, Afonso; Tavano, Virginia Maria; Dotto, Tiago Segabinazzi; Secchi, Eduardo Resende</t>
  </si>
  <si>
    <t>Large diatom bloom off the Antarctic Peninsula during cool conditions associated with the 2015/2016 El Nino</t>
  </si>
  <si>
    <t>WESTERN BRANSFIELD STRAIT; PHYTOPLANKTON COMMUNITIES; HPLC MEASUREMENTS; CLASS ABUNDANCES; SEA-ICE; PIGMENTS; BIOMASS; ASSEMBLAGES; VARIABILITY; WATERS</t>
  </si>
  <si>
    <t>Low meltwater input, cold temperatures, and high salinity accompanied a large diatom bloom off the Northern Antarctic Peninsula in 2015/2016 and suggests such blooms may be restricted under warmer conditions, according to direct measurements and remote sensing data. Diatoms play crucial functions in trophic structure and biogeochemical cycles. Due to poleward warming, there has been a substantial decrease in diatom biomass, especially in Antarctic regions that experience strong physical changes. Here we analyze the phytoplankton contents of water samples collected in the spring/summer of 2015/2016 off the North Antarctic Peninsula during the extreme El Nino event and compare them with corresponding satellite chlorophyll-a data. The results suggest a close link between large diatom blooms, upper ocean physical structures and sea ice cover, as a consequence of the El Nino effects. We observed massive concentrations (up to 40 mg m(-3) of in situ chlorophyll-a) of diatoms coupled with substantially colder atmospheric and oceanic temperatures and high mean salinity values associated with a lower input of meltwater. We hypothesize that increased meltwater concentration due to continued atmospheric and oceanic warming trends will lead to diatom blooms becoming more episodic and spatially/temporally restricted.</t>
  </si>
  <si>
    <t>[Costa, Raul Rodrigo; Mendes, Carlos Rafael Borges; Ferreira, Afonso; Tavano, Virginia Maria] Univ Fed Rio Grande FURG, Inst Oceanog, Lab Fitoplancton &amp; Microorganismos Marinhos, Ave Italia,Km 8, BR-96203900 Rio Grande, RS, Brazil; [Costa, Raul Rodrigo; Mendes, Carlos Rafael Borges; Tavano, Virginia Maria; Dotto, Tiago Segabinazzi] Univ Fed Rio Grande FURG, Inst Oceanog, Lab Estudos Oceanos &amp; Clima, Ave Italia,Km 8, BR-96203900 Rio Grande, RS, Brazil; [Ferreira, Afonso] Univ Lisbon, Fac Ciencias, MARE Ctr Ciencias Mar &amp; Ambiente, 1749-016 Campo Grande, Lisbon, Portugal; [Secchi, Eduardo Resende] Univ Fed Rio Grande FURG, Inst Oceanog, Lab Ecol &amp; Conservacao Megafauna Marinha, Ave Italia,Km 8, BR-96203900 Rio Grande, RS, Brazil; [Dotto, Tiago Segabinazzi] Univ East Anglia, Sch Environm Sci, Ctr Ocean &amp; Atmospher Sci, Norwich, Norfolk, England</t>
  </si>
  <si>
    <t>Universidade Federal do Rio Grande; Universidade Federal do Rio Grande; Universidade de Lisboa; Universidade Federal do Rio Grande; University of East Anglia</t>
  </si>
  <si>
    <t>Costa, RR (corresponding author), Univ Fed Rio Grande FURG, Inst Oceanog, Lab Fitoplancton &amp; Microorganismos Marinhos, Ave Italia,Km 8, BR-96203900 Rio Grande, RS, Brazil.;Costa, RR (corresponding author), Univ Fed Rio Grande FURG, Inst Oceanog, Lab Estudos Oceanos &amp; Clima, Ave Italia,Km 8, BR-96203900 Rio Grande, RS, Brazil.</t>
  </si>
  <si>
    <t>Mendes, Carlos/GVU-7596-2022; Mendes, Carlos/AAD-6504-2021; Mendes, Carlos/I-1520-2012; Ferreira, Afonso/Y-3832-2018; Tavano, Virginia/C-5241-2013</t>
  </si>
  <si>
    <t>Mendes, Carlos/0000-0001-6875-8860; Mendes, Carlos/0000-0001-6875-8860; Ferreira, Afonso/0000-0002-2670-8125; Costa, Raul Rodrigo/0000-0002-0940-3565; Segabinazzi Dotto, Tiago/0000-0003-0565-6941; Tavano, Virginia/0000-0003-0039-8111</t>
  </si>
  <si>
    <t>European Union [810139]; National Council for Research and Development (CNPq) [407889/2013-2, 405869/2013-4, 442628/2018-8, 442637/2018-7]; Coordination for the Improvement of Higher Education Personnel (CAPES); CAPES [23038.001421/2014-30]; CNPq-Brazil PDJ scholarship [151248/2019-2]; Fundacao para a Ciencia e a Tecnologia (FCT) [SFRH/BD/144586/2019, UID/MAR/04292/2020]; Capes PrInt-FURG [Edital 41/2017]; Fundação para a Ciência e a Tecnologia [SFRH/BD/144586/2019] Funding Source: FCT</t>
  </si>
  <si>
    <t>European Union(European Union (EU)); National Council for Research and Development (CNPq)(Conselho Nacional de Desenvolvimento Cientifico e Tecnologico (CNPQ)); Coordination for the Improvement of Higher Education Personnel (CAPES)(Coordenacao de Aperfeicoamento de Pessoal de Nivel Superior (CAPES)); CAPES(Coordenacao de Aperfeicoamento de Pessoal de Nivel Superior (CAPES)); CNPq-Brazil PDJ scholarship; Fundacao para a Ciencia e a Tecnologia (FCT)(Fundacao para a Ciencia e a Tecnologia (FCT)); Capes PrInt-FURG(Coordenacao de Aperfeicoamento de Pessoal de Nivel Superior (CAPES)); Fundação para a Ciência e a Tecnologia(Fundacao para a Ciencia e a Tecnologia (FCT))</t>
  </si>
  <si>
    <t>This is a multidisciplinary study as part of the Brazilian High Latitude Oceanography Group (GOAL) activities in the Brazilian Antarctic Program (PROANTAR). This study has received funding from the European Union's Horizon 2020 research and innovation program under grant agreement no. 810139: Project Portugal Twinning for Innovation and Excellence in Marine Science and Earth Observation-PORTWIMS. Financial support was also provided by National Council for Research and Development (CNPq) and Coordination for the Improvement of Higher Education Personnel (CAPES). This study was conducted within the activities of the INTERBIOTA, NAUTILUS, PROVOCCAR, ECOPELAGOS (CNPq grant numbers 407889/2013-2, 405869/2013-4, 442628/2018-8, 442637/2018-7, respectively) and CMAR2 (CAPES grant number 23038.001421/2014-30) projects. The authors thank the crew of the RV Almirante Maximiano of the Brazilian Navy and several scientists and technicians participating in the cruise for their valuable help during sampling. We are grateful to Simon Wright, from the Australian Antarctic Division, for providing the CHEMTAX v.1.95 software; Ricardo Pollery, from Federal University of Rio de Janeiro, for performing the nutrient analysis; Pedro Felix, from Federal University of Rio Grande, by carrying out part of the HPLC/CHEMTAX analysis; and to the Marcio de Souza, from Federal University of Rio Grande, for performing the microscopic analysis. T.S.D. acknowledge financial support from the CNPq-Brazil PDJ scholarship (151248/2019-2). A.F. received a Ph.D. grant from Fundacao para a Ciencia e a Tecnologia (FCT; grant no. SFRH/BD/144586/2019). Additional support from the FCT was also given to this study (UID/MAR/04292/2020). R.R.C., C.R.B.M. and E.R.S. are granted with research fellowships from CNPq. CAPES also provided free access to many relevant journals though the portal Periodicos CAPES. This study is within the scope of two Projects of the Institutional Internationalization Program (Capes PrInt-FURG -Edital 41/2017). This research is also framed within the College on Polar and Extreme Environments (Polar2E) of the University of Lisbon. We are thankful for the constructive criticism of the three anonymous reviewers, who helped to improve the manuscript.</t>
  </si>
  <si>
    <t>10.1038/s43247-021-00322-4</t>
  </si>
  <si>
    <t>XM1BO</t>
  </si>
  <si>
    <t>WOS:000728570800001</t>
  </si>
  <si>
    <t>Pauli, NC; Flintrop, CM; Konrad, C; Pakhomov, EA; Swoboda, S; Koch, F; Wang, XL; Zhang, JC; Brierley, AS; Bernasconi, M; Meyer, B; Iversen, MH</t>
  </si>
  <si>
    <t>Pauli, Nora-Charlotte; Flintrop, Clara M.; Konrad, Christian; Pakhomov, Evgeny A.; Swoboda, Steffen; Koch, Florian; Wang, Xin-Liang; Zhang, Ji-Chang; Brierley, Andrew S.; Bernasconi, Matteo; Meyer, Bettina; Iversen, Morten H.</t>
  </si>
  <si>
    <t>Krill and salp faecal pellets contribute equally to the carbon flux at the Antarctic Peninsula</t>
  </si>
  <si>
    <t>MARGINAL ICE-ZONE; SOUTHERN-OCEAN; SINKING VELOCITY; SCOTIA SEA; SALP/KRILL INTERACTIONS; CLIMATE-CHANGE; EXPORT FLUX; WEDDELL SEA; ZOOPLANKTON; BIOMASS</t>
  </si>
  <si>
    <t>Zooplankton impact Southern Ocean carbon cycling. Here, the authors examine carbon export at the Antarctic Peninsula, finding that krill pellets are efficiently exported, while salp pellets are retained and recycled in surface waters. Krill and salps are important for carbon flux in the Southern Ocean, but the extent of their contribution and the consequences of shifts in dominance from krill to salps remain unclear. We present a direct comparison of the contribution of krill and salp faecal pellets (FP) to vertical carbon flux at the Antarctic Peninsula using a combination of sediment traps, FP production, carbon content, microbial degradation, and krill and salp abundances. Salps produce 4-fold more FP carbon than krill, but the FP from both species contribute equally to the carbon flux at 300 m, accounting for 75% of total carbon. Krill FP are exported to 72% to 300 m, while 80% of salp FP are retained in the mixed layer due to fragmentation. Thus, declining krill abundances could lead to decreased carbon flux, indicating that the Antarctic Peninsula could become a less efficient carbon sink for anthropogenic CO2 in future.</t>
  </si>
  <si>
    <t>[Pauli, Nora-Charlotte; Meyer, Bettina] Carl von Ossietzky Univ Oldenburg, Inst Chem &amp; Biol Marine Environm ICBM, Carl von Ossietzky Str 9-11, D-26111 Oldenburg, Germany; [Pauli, Nora-Charlotte; Flintrop, Clara M.; Konrad, Christian; Koch, Florian; Meyer, Bettina; Iversen, Morten H.] Helmholtz Ctr Polar &amp; Marine Res, Alfred Wegener Inst, Handelshafen 12, D-27570 Bremerhaven, Germany; [Flintrop, Clara M.; Konrad, Christian; Swoboda, Steffen; Iversen, Morten H.] MARUM, Leobener Str 8, D-28359 Bremen, Germany; [Flintrop, Clara M.; Konrad, Christian; Swoboda, Steffen; Iversen, Morten H.] Univ Bremen, Leobener Str 8, D-28359 Bremen, Germany; [Pakhomov, Evgeny A.] Univ British Columbia, Dept Earth Ocean &amp; Atmospher Sci, 2207 Main Mall, Vancouver, BC V6T 1Z4, Canada; [Pakhomov, Evgeny A.] Univ British Columbia, Inst Oceans &amp; Fisheries, 2202 Main Mall, Vancouver, BC V6T 1Z4, Canada; [Pakhomov, Evgeny A.] Hakai Inst, POB 25039, Campbell River, BC V9W 0B7, Canada; [Wang, Xin-Liang; Zhang, Ji-Chang] Chinese Acad Fishery Sci, Yellow Sea Fisheries Res Inst, 106 Nanjing Rd, Qingdao 266071, Peoples R China; [Brierley, Andrew S.; Bernasconi, Matteo] Univ St Andrews, Pelag Ecol Res Grp, Gatty Marine Lab, Scottish Oceans Inst,Sch Biol, St Andrews KY16 8LB, Fife, Scotland; [Meyer, Bettina] Helmholtz Inst Funct Marine Biodivers HIFMB, Ammerlander Heerstr 231, D-26129 Oldenburg, Germany</t>
  </si>
  <si>
    <t>Carl von Ossietzky Universitat Oldenburg; Helmholtz Association; Alfred Wegener Institute, Helmholtz Centre for Polar &amp; Marine Research; University of Bremen; University of Bremen; University of British Columbia; University of British Columbia; Hakai Institute; Chinese Academy of Fishery Sciences; Yellow Sea Fisheries Research Institute, CAFS; University of St Andrews</t>
  </si>
  <si>
    <t>Pauli, NC; Meyer, B (corresponding author), Carl von Ossietzky Univ Oldenburg, Inst Chem &amp; Biol Marine Environm ICBM, Carl von Ossietzky Str 9-11, D-26111 Oldenburg, Germany.;Pauli, NC; Meyer, B; Iversen, MH (corresponding author), Helmholtz Ctr Polar &amp; Marine Res, Alfred Wegener Inst, Handelshafen 12, D-27570 Bremerhaven, Germany.;Iversen, MH (corresponding author), MARUM, Leobener Str 8, D-28359 Bremen, Germany.;Iversen, MH (corresponding author), Univ Bremen, Leobener Str 8, D-28359 Bremen, Germany.;Meyer, B (corresponding author), Helmholtz Inst Funct Marine Biodivers HIFMB, Ammerlander Heerstr 231, D-26129 Oldenburg, Germany.</t>
  </si>
  <si>
    <t>nora-charlotte.pauli@awi.de; bettina.meyer@awi.de; morten.iversen@awi.de</t>
  </si>
  <si>
    <t>Iversen, Morten H/C-7741-2013; Pauli, Nora-Charlotte/AAL-4317-2020; Iversen, Morten Hvitfeldt/Q-3774-2016; Brierley, Andrew/G-8019-2011</t>
  </si>
  <si>
    <t>Pauli, Nora-Charlotte/0000-0001-8916-8229; Iversen, Morten Hvitfeldt/0000-0002-5287-1110; Flintrop, Clara/0000-0002-5711-0521; Brierley, Andrew/0000-0002-6438-6892; Konrad, Christian/0000-0001-6789-4801; Swoboda, Steffen/0000-0002-1922-4296</t>
  </si>
  <si>
    <t>Lower Saxony Ministry of Science and Culture (MWK); HGF Young Investigator Group SeaPump Seasonal and regional food web interactions with the biological pump [VH-NG-1000]; AWI Strategy Fund project EcoPump; DFG Research Center of Excellence The Ocean Floor - Earth's Uncharted Interface [EX-2077-390741603]</t>
  </si>
  <si>
    <t>Lower Saxony Ministry of Science and Culture (MWK); HGF Young Investigator Group SeaPump Seasonal and regional food web interactions with the biological pump; AWI Strategy Fund project EcoPump; DFG Research Center of Excellence The Ocean Floor - Earth's Uncharted Interface(German Research Foundation (DFG))</t>
  </si>
  <si>
    <t>We are thankful to the captain, crew and the scientific staff of Polarstern cruise PS112 for their support with sampling and on-board measurements. Further, we would like to thank Larysa Pakhomova for helping with measurements of salps and FP production experiments. Thanks to Kerstin Oetjen for POC- and chlorophyll-, and Sandra Murawski for CN measurements. Thanks to Ryan Driscoll for helpful discussions on krill abundances and distribution. This study was part of the project Population shift and ecosystem response - krill vs. salps funded by the Lower Saxony Ministry of Science and Culture (MWK) lead by B.M. M.H.I., C.M.F., C.K. and S.S. were supported by the HGF Young Investigator Group SeaPump Seasonal and regional food web interactions with the biological pump, VH-NG-1000. CMF was additionally supported by the AWI Strategy Fund project EcoPump. MHI was additionally supported by the DFG Research Center of Excellence The Ocean Floor - Earth's Uncharted Interface: EX-2077-390741603.</t>
  </si>
  <si>
    <t>10.1038/s41467-021-27436-9</t>
  </si>
  <si>
    <t>XM0YM</t>
  </si>
  <si>
    <t>WOS:000728562700029</t>
  </si>
  <si>
    <t>Veres, K; Csintalan, Z; Laufer, Z; Engel, R; Szabo, K; Farkas, E</t>
  </si>
  <si>
    <t>Veres, Katalin; Csintalan, Zsolt; Laufer, Zsanett; Engel, Rita; Szabo, Krisztina; Farkas, Edit</t>
  </si>
  <si>
    <t>Photoprotection and high-light acclimation in semi-arid grassland lichens - a cooperation between algal and fungal partners</t>
  </si>
  <si>
    <t>SYMBIOSIS</t>
  </si>
  <si>
    <t>photoacclimation; seasonality; microhabitat; species-specific response; lichen secondary metabolites; plastid pigments</t>
  </si>
  <si>
    <t>XANTHOPHYLL-CYCLE ACTIVITY; 2 ANTARCTIC LICHENS; USNIC-ACID; CHLOROPHYLL FLUORESCENCE; LOBARIA-PULMONARIA; SEASONAL-CHANGES; SOIL CRUST; ASTEROCHLORIS TREBOUXIOPHYCEAE; PHYSIOLOGICAL INTERPRETATION; PHOTOSYNTHETIC PRODUCTIVITY</t>
  </si>
  <si>
    <t>In lichens, each symbiotic partner cooperates for the survival of the symbiotic association. The protection of the susceptible photosynthetic apparatus is essential for both participants. The mycobiont and photobiont contribute to the protection against the damaging effect of excess light by various mechanisms. The present study investigated the effect of seasonality and microhabitat exposure on photoprotection and photoacclimation in the photo- and the mycobiont of six lichen species with different thallus morphology in inland dune system in the Kiskunsag region (Hungary) with shaded, more humid and exposed, drier dune sides. High-Performance Liquid Chromatography, spectrophotometry, chlorophyll a fluorescence kinetic technique were used, and micrometeorological data were collected. The four years data series revealed that the north-east-facing side was characterized by higher relative humidity and lower light intensities compared to the south-west-facing drier and more exposed sides. The south-west facing side was exposed to direct illumination 3-4 hours longer in winter and 1-2 hours shorter in summer than the north-east facing side of the dune, influencing the metabolism of sun and shade populations of various species. Because rapid desiccation caused short active periods of lichens during bright and drier seasons and on exposed microhabitats, the rapid, non-regulated non-photochemical quenching mechanisms in the photobiont had a significant role in protecting the photosynthetic system in the hydrated state. In dehydrated conditions, thalli were mainly defended by the solar screening metabolites produced by the mycobiont and curling during desiccation (also caused by the mycobiont). Furthermore, the efficacy of light use (higher chlorophyll and carotenoid concentration) increased because of short hydrated periods. Still, a lower level of received irradiation was appropriate for photosynthesis in dry seasons and on sun exposed habitats. In humid seasons and microhabitats, more extended active periods lead to increased photosynthesis and production of solar radiation protectant fungal metabolites, allowing a lower level of photoprotection in the form of regulated non-photochemical quenching by the photobiont. Interspecific differences were more pronounced than the intraspecific ones among seasons and microhabitat types.</t>
  </si>
  <si>
    <t>[Veres, Katalin; Engel, Rita; Szabo, Krisztina; Farkas, Edit] Inst Ecol &amp; Bot, Ctr Ecol Res, Alkotmany U 2-4, H-2163 Vacratot, Hungary; [Csintalan, Zsolt] Hungarian Univ Agr &amp; Life Sci, Inst Biol Sci, Dept Plant Physiol &amp; Ecol, Pater K U 1, H-2100 Godollo, Hungary; [Laufer, Zsanett] Bukk Natl Pk Directorate,Sanc U 6, H-3304 Eger, Hungary</t>
  </si>
  <si>
    <t>Hungarian Academy of Sciences; Hungarian Research Network; HUN-REN Centre for Ecological Research; Hungarian University of Agriculture &amp; Life Sciences</t>
  </si>
  <si>
    <t>Veres, K (corresponding author), Inst Ecol &amp; Bot, Ctr Ecol Res, Alkotmany U 2-4, H-2163 Vacratot, Hungary.</t>
  </si>
  <si>
    <t>veres.katalin@ecolres.hu</t>
  </si>
  <si>
    <t>Veres, Katalin/JNE-9044-2023; Farkas, Edit Éva/N-9780-2019; Csintalan, Zsolt/B-8150-2016</t>
  </si>
  <si>
    <t>Veres, Katalin/0000-0001-5818-4891; Farkas, Edit Éva/0000-0002-5245-1079;</t>
  </si>
  <si>
    <t>ELKH Centre for Ecological Research; Hungarian Scientific Research Fund [OTKA-T101713]; National Research Development and Innovation Fund [NKFI K 124341]</t>
  </si>
  <si>
    <t>ELKH Centre for Ecological Research; Hungarian Scientific Research Fund(Orszagos Tudomanyos Kutatasi Alapprogramok (OTKA)); National Research Development and Innovation Fund</t>
  </si>
  <si>
    <t>Open access funding provided by ELKH Centre for Ecological Research. This work was supported by the Hungarian Scientific Research Fund OTKA-T101713 and the National Research Development and Innovation Fund NKFI K 124341.</t>
  </si>
  <si>
    <t>0334-5114</t>
  </si>
  <si>
    <t>1878-7665</t>
  </si>
  <si>
    <t>Symbiosis</t>
  </si>
  <si>
    <t>10.1007/s13199-021-00823-y</t>
  </si>
  <si>
    <t>ZV6ET</t>
  </si>
  <si>
    <t>WOS:000728440600001</t>
  </si>
  <si>
    <t>Murphy, EJ; Robinson, C; Hobday, AJ; Newton, A; Glaser, M; Evans, K; Dickey-Collas, M; Brodie, S; Gehlen, M</t>
  </si>
  <si>
    <t>Murphy, Eugene J.; Robinson, Carol; Hobday, Alistair J.; Newton, Alice; Glaser, Marion; Evans, Karen; Dickey-Collas, Mark; Brodie, Stephanie; Gehlen, Marion</t>
  </si>
  <si>
    <t>The Global Pandemic Has Shown We Need an Action Plan for the Ocean</t>
  </si>
  <si>
    <t>ocean ecosystems; global threats; climate change; action plan; policy options; risk-management</t>
  </si>
  <si>
    <t>CLIMATE-CHANGE; HUMAN IMPACTS</t>
  </si>
  <si>
    <t>[Murphy, Eugene J.] Nat Environm Res Council NERC, British Antarct Survey, UK Res &amp; Innovat UKRI, Cambridge, England; [Robinson, Carol] Univ East Anglia, Sch Environm Sci, Ctr Ocean &amp; Atmospher Sci, Norwich, Norfolk, England; [Hobday, Alistair J.; Evans, Karen] Commonwealth Sci &amp; Ind Res Org CSIRO Oceans &amp; Atm, Hobart, Tas, Australia; [Hobday, Alistair J.] Univ Tasmania, Ctr Marine Socioecol, Hobart, Tas, Australia; [Newton, Alice] Univ Faro, Ctr Marine &amp; Environm Res CIMA, Gambelas Campus, Faro, Portugal; [Glaser, Marion] Leibniz Ctr Trop Marine Res ZMT, Bremen, Germany; [Dickey-Collas, Mark] Int Council Explorat Sea ICES, Copenhagen, Denmark; [Dickey-Collas, Mark] Tech Univ Denmark, Natl Inst Aquat Resources, Copenhagen, Denmark; [Brodie, Stephanie] Univ Calif Santa Cruz, Inst Marine Sci, Santa Cruz, CA 95064 USA; [Gehlen, Marion] Inst Pierre Simon Laplace, Lab Sci Climat &amp; Environm, Gif Sur Yvette, France</t>
  </si>
  <si>
    <t>UK Research &amp; Innovation (UKRI); Natural Environment Research Council (NERC); NERC British Antarctic Survey; University of East Anglia; Commonwealth Scientific &amp; Industrial Research Organisation (CSIRO); University of Tasmania; Leibniz Zentrum fur Marine Tropenforschung (ZMT); Technical University of Denmark; University of California System; University of California Santa Cruz; Universite Paris Cite; CEA; Centre National de la Recherche Scientifique (CNRS); Universite Paris Saclay</t>
  </si>
  <si>
    <t>Murphy, EJ (corresponding author), Nat Environm Res Council NERC, British Antarct Survey, UK Res &amp; Innovat UKRI, Cambridge, England.</t>
  </si>
  <si>
    <t>e.murphy@bas.ac.uk</t>
  </si>
  <si>
    <t>Dickey-Collas, Mark/A-8036-2008; Robinson, Carol/F-7649-2011; murphy, eugene/GZL-1620-2022; Hobday, Alistair/A-1460-2012</t>
  </si>
  <si>
    <t>Dickey-Collas, Mark/0000-0003-3154-8039; Robinson, Carol/0000-0003-3033-4565; Newton, Alice/0000-0001-9286-5914</t>
  </si>
  <si>
    <t>Integrated Marine Biosphere Research Project (IMBeR) by the Scientific Committee on Oceanic Research (SCOR) and Future Earth; U.S. National Science Foundation [OCE-1840868]; Ecosystems Programme of the British Antarctic Survey, NERC; [2021-2030]; NERC [bas0100035] Funding Source: UKRI</t>
  </si>
  <si>
    <t>Integrated Marine Biosphere Research Project (IMBeR) by the Scientific Committee on Oceanic Research (SCOR) and Future Earth; U.S. National Science Foundation(National Science Foundation (NSF)); Ecosystems Programme of the British Antarctic Survey, NERC; ; NERC(UK Research &amp; Innovation (UKRI)Natural Environment Research Council (NERC))</t>
  </si>
  <si>
    <t>This work was supported through the Integrated Marine Biosphere Research Project (IMBeR) which was supported by the Scientific Committee on Oceanic Research (SCOR) and Future Earth. This publication resulted in part from support from the U.S. National Science Foundation (Grant OCE-1840868) to the Scientific Committee on Oceanic Research (SCOR). EM and publication were also supported through the Ecosystems Programme of the British Antarctic Survey, NERC.</t>
  </si>
  <si>
    <t>DEC 8</t>
  </si>
  <si>
    <t>10.3389/fmars.2021.760731</t>
  </si>
  <si>
    <t>XS6DL</t>
  </si>
  <si>
    <t>Green Accepted, gold, Green Published</t>
  </si>
  <si>
    <t>WOS:000732997000001</t>
  </si>
  <si>
    <t>Liu, SH; Fang, S; Liu, CL; Zhao, LL; Cong, BL; Zhang, ZH</t>
  </si>
  <si>
    <t>Liu, Shenghao; Fang, Shuo; Liu, Chenlin; Zhao, Linlin; Cong, Bailin; Zhang, Zhaohui</t>
  </si>
  <si>
    <t>Transcriptomics Integrated With Metabolomics Reveal the Effects of Ultraviolet-B Radiation on Flavonoid Biosynthesis in Antarctic Moss</t>
  </si>
  <si>
    <t>FRONTIERS IN PLANT SCIENCE</t>
  </si>
  <si>
    <t>abiotic stress; bryophytes; flavonoids; metabolome; transcriptome; ultraviolet-B radiation</t>
  </si>
  <si>
    <t>UV-B; PERCEPTION; EVOLUTION; DEPLETION; RESPONSES; PLANTS; OZONE; ROLES</t>
  </si>
  <si>
    <t>Bryophytes are the dominant vegetation in the Antarctic continent. They have suffered more unpleasant ultraviolet radiation due to the Antarctic ozone layer destruction. However, it remains unclear about the molecular mechanism of Antarctic moss acclimation to UV-B light. Here, the transcriptomics and metabolomics approaches were conducted to uncover transcriptional and metabolic profiling of the Antarctic moss Leptobryum pyriforme under UV-B radiation. Totally, 67,290 unigenes with N-50 length of 2,055 bp were assembled. Of them, 1,594 unigenes were significantly up-regulated and 3353 unigenes were markedly down-regulated under UV-B radiation. These differentially expressed genes (DEGs) involved in UV-B signaling, flavonoid biosynthesis, ROS scavenging, and DNA repair. In addition, a total of 531 metabolites were detected, while flavonoids and anthocyanins accounted for 10.36% of the total compounds. There were 49 upregulated metabolites and 41 downregulated metabolites under UV-B radiation. Flavonoids were the most significantly changed metabolites. qPCR analysis showed that UVR8-COP1-HY5 signaling pathway genes and photolyase genes (i.e., LpUVR3, LpPHR1, and LpDPL) were significantly up-regulated under UV-B light. In addition, the expression levels of JA signaling pathway-related genes (i.e., OPR and JAZ) and flavonoid biosynthesis-related genes were also significantly increased under UV-B radiation. The integrative data analysis showed that UVR8-mediated signaling, jasmonate signaling, flavonoid biosynthesis pathway and DNA repair system might contribute to L. pyriforme acclimating to UV-B radiation. Therefore, these findings present a novel knowledge for understanding the adaption of Antarctic moss to polar environments and provide a foundation for assessing the impact of global climate change on Antarctic land plants.</t>
  </si>
  <si>
    <t>[Liu, Shenghao; Fang, Shuo; Liu, Chenlin; Zhao, Linlin; Cong, Bailin; Zhang, Zhaohui] First Inst Oceanog, Key Lab Marine Ecol &amp; Environm Sci, Nat Resources Minist, Qingdao, Peoples R China; [Liu, Shenghao; Zhao, Linlin; Zhang, Zhaohui] Pilot Natl Lab Marine Sci &amp; Technol, Marine Ecol &amp; Environm Sci Lab, Qingdao, Peoples R China</t>
  </si>
  <si>
    <t>First Institute of Oceanography, Ministry of Natural Resources; Laoshan Laboratory</t>
  </si>
  <si>
    <t>Zhang, ZH (corresponding author), First Inst Oceanog, Key Lab Marine Ecol &amp; Environm Sci, Nat Resources Minist, Qingdao, Peoples R China.;Zhang, ZH (corresponding author), Pilot Natl Lab Marine Sci &amp; Technol, Marine Ecol &amp; Environm Sci Lab, Qingdao, Peoples R China.</t>
  </si>
  <si>
    <t>zhangzhaohui@fio.org.cn</t>
  </si>
  <si>
    <t>Liu, Shenghao/ISU-3076-2023</t>
  </si>
  <si>
    <t>Liu, Shenghao/0000-0002-1449-3526</t>
  </si>
  <si>
    <t>National Natural Science Foundation of China [41976225]; Central Public-Interest Scientific Institution Basal Research Foundation of China [GY0219Q05]</t>
  </si>
  <si>
    <t>National Natural Science Foundation of China(National Natural Science Foundation of China (NSFC)); Central Public-Interest Scientific Institution Basal Research Foundation of China</t>
  </si>
  <si>
    <t>Funding This work was supported by the National Natural Science Foundation of China (41976225) and Central Public-Interest Scientific Institution Basal Research Foundation of China (GY0219Q05).</t>
  </si>
  <si>
    <t>1664-462X</t>
  </si>
  <si>
    <t>FRONT PLANT SCI</t>
  </si>
  <si>
    <t>Front. Plant Sci.</t>
  </si>
  <si>
    <t>10.3389/fpls.2021.788377</t>
  </si>
  <si>
    <t>XS2HE</t>
  </si>
  <si>
    <t>WOS:000732735500001</t>
  </si>
  <si>
    <t>Meyers, N; Speakman, CN; Dorville, NASY; Hindell, MA; Semmens, JM; Monk, J; Baylis, AMM; Ierodiaconou, D; Hoskins, AJ; Marshall, GJ; Abernathy, K; Arnould, JPY</t>
  </si>
  <si>
    <t>Meyers, Nelle; Speakman, Cassie N.; Dorville, Nicole A. S-Y; Hindell, Mark A.; Semmens, Jayson M.; Monk, Jacquomo; Baylis, Alistair M. M.; Ierodiaconou, Daniel; Hoskins, Andrew J.; Marshall, Greg J.; Abernathy, Kyler; Arnould, John P. Y.</t>
  </si>
  <si>
    <t>The cost of a meal: factors influencing prey profitability in Australian fur seals</t>
  </si>
  <si>
    <t>Animal-borne video; Foraging efficiency; Marine predator; Optimal foraging; Prey energetics; Profitability; Crittercam; Benthic foraging</t>
  </si>
  <si>
    <t>DIVING BEHAVIOR; CLIMATE-CHANGE; HABITAT USE; DIET; MARINE; SELECTION; PREDATOR; MODELS</t>
  </si>
  <si>
    <t>Knowledge of the factors shaping the foraging behaviour of species is central to understanding their ecosystem role and predicting their response to environmental variability. To maximise survival and reproduction, foraging strategies must balance the costs and benefits related to energy needed to pursue, manipulate, and consume prey with the nutritional reward obtained. While such information is vital for understanding how changes in prey assemblages may affect predators, determining these components is inherently difficult in cryptic predators. The present study used animal-borne video data loggers to investigate the costs and benefits related to different prey types for female Australian fur seals (Arctocephalus pusillus doriferus), a primarily benthic foraging species in the low productivity Bass Strait, south-eastern Australia. A total of 1,263 prey captures, resulting from 2,027 prey detections, were observed in 84.5 h of video recordings from 23 individuals. Substantial differences in prey pursuit and handling times, gross energy gain and total energy expenditure were observed between prey types. Importantly, the profitability of prey was not significantly different between prey types, with the exception of elasmobranchs. This study highlights the benefit of animal-borne video data loggers for understanding the factors that influence foraging decisions in predators. Further studies incorporating search times for different prey types would further elucidate how profitability differs with prey type.</t>
  </si>
  <si>
    <t>[Meyers, Nelle; Speakman, Cassie N.; Dorville, Nicole A. S-Y; Baylis, Alistair M. M.; Ierodiaconou, Daniel; Hoskins, Andrew J.; Arnould, John P. Y.] Deakin Univ, Sch Life &amp; Environm Sci, Burwood, Vic, Australia; [Meyers, Nelle] Flanders Marine Inst VLIZ, Oostende, Belgium; [Meyers, Nelle] Inst Agr &amp; Fisheries Res ILVO, Oostende, Belgium; [Dorville, Nicole A. S-Y] Univ Winnipeg, Ctr Forest Interdisciplinary Res, Dept Biol, Winnipeg, MB, Canada; [Hindell, Mark A.; Semmens, Jayson M.; Monk, Jacquomo] Univ Tasmania, Inst Marine &amp; Antarctic Studies, Hobart, Tas, Australia; [Baylis, Alistair M. M.] South Atlantic Environm Res Inst, Stanley, Falkland Island; [Hoskins, Andrew J.] CSIRO, Hlth &amp; Biosecur, Townsville, Qld, Australia; [Marshall, Greg J.; Abernathy, Kyler] Natl Geog Soc, Explorat Technol Lab, Washington, DC USA</t>
  </si>
  <si>
    <t>Deakin University; Institute For Agricultural &amp; Fisheries Research; University of Winnipeg; University of Tasmania; Commonwealth Scientific &amp; Industrial Research Organisation (CSIRO); National Geographic Society</t>
  </si>
  <si>
    <t>Arnould, JPY (corresponding author), Deakin Univ, Sch Life &amp; Environm Sci, Burwood, Vic, Australia.</t>
  </si>
  <si>
    <t>john.arnould@deakin.edu.au</t>
  </si>
  <si>
    <t>Ierodiaconou, Daniel A/B-9915-2008; Speakman, Cassie/IST-8189-2023; Dorville, Nicole/IQX-1084-2023; Hindell, Mark A/K-1131-2013</t>
  </si>
  <si>
    <t>Speakman, Cassie/0000-0002-0023-518X; Meyers, Nelle/0000-0001-9205-6260; Semmens, Jayson/0000-0003-1742-6692</t>
  </si>
  <si>
    <t>Australian Research Council [DP110102065]; Office of Naval Research (Marine Mammals and Biological Oceanography Program Award) [N00014-10-1-0385]</t>
  </si>
  <si>
    <t>Australian Research Council(Australian Research Council); Office of Naval Research (Marine Mammals and Biological Oceanography Program Award)(Office of Naval Research)</t>
  </si>
  <si>
    <t>The research was financially supported by the Australian Research Council (DP110102065) and the Office of Naval Research (Marine Mammals and Biological Oceanography Program Award N00014-10-1-0385) . The funders had no role in study design, data collection and analysis, decision to publish, or preparation of the manuscript.</t>
  </si>
  <si>
    <t>e12608</t>
  </si>
  <si>
    <t>10.7717/peerj.12608</t>
  </si>
  <si>
    <t>XQ1GH</t>
  </si>
  <si>
    <t>WOS:000731301000003</t>
  </si>
  <si>
    <t>Hulswar, S; Mohite, P; Soni, VK; Mahajan, AS</t>
  </si>
  <si>
    <t>Hulswar, Shrivardhan; Mohite, Prajakta; Soni, Vijay K.; Mahajan, Anoop S.</t>
  </si>
  <si>
    <t>Differences between in-situ ozonesonde observations and satellite retrieved ozone vertical profiles across Antarctica</t>
  </si>
  <si>
    <t>POLAR SCIENCE</t>
  </si>
  <si>
    <t>Ozone depletion; Antarctic ozone; MLS; Ozonesonde</t>
  </si>
  <si>
    <t>STRATOSPHERIC OZONE; ATMOSPHERIC OZONE; DESTRUCTION; DOBSON; GOME</t>
  </si>
  <si>
    <t>In situ ozonesonde observations across nine Antarctic stations were used to validate the vertical profiles retrieved by the satellite-based Microwave Limb Sounder (MLS) instrument from 2004 to 2019. Intra-annual variations in the ozone concentration, along with the shape of the vertical profiles are well reproduced by the MLS with differences in the range of +/- 20%, although seasonally the differences were as high as 60%. The largest differences were also observed during the spring (September-October-November), when largescale ozone depletion takes place over Antarctica, with MLS overestimating concentrations at almost all the stations, except the northernmost stations of Marambio and Dumont d'Urville. This has implications for the estimations of ozone recovery over Antarctica based on MLS. The under-estimation or over-estimation in the MLS data caused differences up to +/- 1 K day(-1) in the estimated heating rate. For the whole dataset, a good correlation (R-2 &gt; 0.9, p &lt; 0.001) was seen at all the stations except at Maitri, where the correlation coefficient was lower but still significant (R-2 = 0.77, p &lt; 0.001). These results show that although the MLS data match the in-situ observations over longer averaging periods, for individual profiles the discrepancies are much higher and need to be considered when computing the ozone impacts using MLS data.</t>
  </si>
  <si>
    <t>[Hulswar, Shrivardhan; Mahajan, Anoop S.] Indian Inst Trop Meteorol, Ctr Climate Change Res CCCR, Dr Homi Bhabha Rd, Pune 411008, Maharashtra, India; [Mohite, Prajakta] Savitribai Phule Pune Univ, Pune 411016, Maharashtra, India; [Soni, Vijay K.] Indian Meteorol Dept, Environm Monitoring &amp; Res Ctr, Lodi Rd, New Delhi 110003, India</t>
  </si>
  <si>
    <t>Ministry of Earth Sciences (MoES) - India; Indian Institute of Tropical Meteorology (IITM); Savitribai Phule Pune University; Ministry of Earth Sciences (MoES) - India; India Meteorological Department (IMD)</t>
  </si>
  <si>
    <t>Mahajan, AS (corresponding author), Indian Inst Trop Meteorol, Ctr Climate Change Res CCCR, Dr Homi Bhabha Rd, Pune 411008, Maharashtra, India.</t>
  </si>
  <si>
    <t>anoop@tropmet.res.in</t>
  </si>
  <si>
    <t>Hulswar, Shrivardhan/GMW-4749-2022; Mahajan, Anoop/D-2714-2012</t>
  </si>
  <si>
    <t>Hulswar, Shrivardhan/0000-0002-1346-9823; Mohite, Prajakta/0000-0002-2939-5451; Mahajan, Anoop/0000-0002-2909-5432</t>
  </si>
  <si>
    <t>Ministry of Earth Sciences (MOES), the Government of India</t>
  </si>
  <si>
    <t>IITM is funded by the Ministry of Earth Sciences (MOES), the Government of India. We are particularly grateful to the many researchers involved in the ozonesonde datasets at all the nine stations considered in this study along with the researchers working on the MLS ozone retrievals.</t>
  </si>
  <si>
    <t>1873-9652</t>
  </si>
  <si>
    <t>1876-4428</t>
  </si>
  <si>
    <t>POLAR SCI</t>
  </si>
  <si>
    <t>Polar Sci.</t>
  </si>
  <si>
    <t>10.1016/j.polar.2021.100688</t>
  </si>
  <si>
    <t>XN9BA</t>
  </si>
  <si>
    <t>WOS:000729791100002</t>
  </si>
  <si>
    <t>Luis, AJ; Lotlikar, VR</t>
  </si>
  <si>
    <t>Luis, Alvarinho J.; Lotlikar, Vinit R.</t>
  </si>
  <si>
    <t>Hydrographic characteristics along two XCTD sections between Africa and Antarctica during austral summer 2018</t>
  </si>
  <si>
    <t>Southern ocean; Hydrological fronts; Baroclinic transport; Water mass; Chlorophyll-a</t>
  </si>
  <si>
    <t>CIRCUMPOLAR CURRENT SOUTH; INDIAN-OCEAN SECTOR; WATER MASSES; AGULHAS CURRENT; POLAR FRONT; PHYTOPLANKTON PRODUCTION; THERMOHALINE STRUCTURE; SUBTROPICAL GYRE; VARIABILITY; SEA</t>
  </si>
  <si>
    <t>Using the Expendable CTDs (XCTDs) collected along two transects between Africa and Antarctica during 1-11 January (Cape Town-Prydz Bay, track-2) and 12-21 April 2018 (Prydz Bay-Cape Town, track-1), frontal locations are delineated and compared with the satellite-based maps of absolute dynamic topography (MADT). The MADT maps revealed that the intensity of the Agulhas Current (AC) was 1.3 ms(-1) during both periods; the southernmost limit of the Agulhas Retroflection (AR) was traced to 40 degrees S, 20.5 degrees E/42 degrees S, 15 degrees E on track-1/track-2. The vertical sections of temperature and salinity revealed the Agulhas anticyclonic eddy (AAE) whose core was detected at similar to 38.4 degrees 5/similar to 37.6 degrees S on track-1/track-2. The cumulative transport across track-2 was 50% higher than across track-1 which is attributed to deep-sea upwelling and its subsequent transport across the track-2 to the south of 50 degrees S. On both transects, the winter water was detected up to 50 degrees S in the upper 100 m. The highest AC transport in the upper 1000 m was detected at 37.75 degrees S/38.28 degrees S on track-1/track-2, which was related to the flow characteristics of the AC. The eddies that detached from the AC system transported nutrient-rich water southward which mixed with the ambient water resulting in peak chlorophyll-a concentration (Chl-a) exceeding 0.5 mg/m(3) to the north of 42 degrees S on both tracks. The shallow topographic features such as the Ob-Lena rise (54 degrees S) and the southwest Indian Ridge (44 degrees-46 degrees S) also enhanced Chl-a by 39% on track-2.</t>
  </si>
  <si>
    <t>[Luis, Alvarinho J.; Lotlikar, Vinit R.] Minist Earth Sci, Natl Ctr Polar &amp; Ocean Res, Headland Sada 403804, Goa, India</t>
  </si>
  <si>
    <t>Luis, AJ (corresponding author), Minist Earth Sci, Natl Ctr Polar &amp; Ocean Res, Headland Sada 403804, Goa, India.</t>
  </si>
  <si>
    <t>alvluis@ncpor.res.in</t>
  </si>
  <si>
    <t>Luis, Dr Alvarinho J./0000-0002-3425-8048</t>
  </si>
  <si>
    <t>Ministry of Earth Sciences, Govt. of India; NASA Physical Oceanography Program</t>
  </si>
  <si>
    <t>Ministry of Earth Sciences, Govt. of India; NASA Physical Oceanography Program(National Aeronautics &amp; Space Administration (NASA))</t>
  </si>
  <si>
    <t>We placed a deep sense of gratitude to the Ministry of Earth Sciences, Govt. of India, for funding the Hydrodynamics of the Indian Ocean sector of coastal Antarctica project under the umbrella of Polar Science and Cryosphere Research. Thanks to NCPOR Director, Dr. M. Ravichandran for infrastructural facilities and Mr. Javed Beg, Group Director, for the Antarctic logistic support. MADT and ERA5 were downloaded from European Copernicus Marine Environment Monitoring Service; merged microwave Ts data are produced by Remote Sensing Systems and sponsored by NASA Physical Oceanography Program. MODIS-AQUA Chlorophyll-a Concentration Level 3 data was downloaded from at http://oceancolor.gsfc.nasa.gov/cgi/l3.GrADS was used to make 2-D plots. We thank the reviewer for the constructive comments on the earlier draft version of the manuscript which led to improvement in the presentation and Science. This is NCPOR contribution J-16/2021-22.</t>
  </si>
  <si>
    <t>10.1016/j.polar.2021.100705</t>
  </si>
  <si>
    <t>XN8XK</t>
  </si>
  <si>
    <t>WOS:000729781600001</t>
  </si>
  <si>
    <t>Nagar, S; Antony, R; Thamban, M</t>
  </si>
  <si>
    <t>Nagar, Shipra; Antony, Runa; Thamban, Meloth</t>
  </si>
  <si>
    <t>Extracellular polymeric substances in Antarctic environments: A review of their ecological roles and impact on glacier biogeochemical cycles</t>
  </si>
  <si>
    <t>Extracellular Polymeric Substances; Exopolysaccharides; Chemical functionalities; Dissolved organic matter; Cryoconite</t>
  </si>
  <si>
    <t>KING GEORGE ISLAND; LAKE CAPE-RUSSELL; BAY ROSS SEA; EXOPOLYMERIC SUBSTANCES; MICROBIAL ECOLOGY; BACTERIAL EXOPOLYSACCHARIDES; CYANOBACTERIAL MATS; LIVINGSTON ISLAND; MARINE-SEDIMENTS; BYERS PENINSULA</t>
  </si>
  <si>
    <t>Antarctic continent comprises diverse ecosystems like snow, glacier ice, sea ice, melt pools, glacial soils, supraglacial and subglacial lakes that accommodate numerous microbial and algal communities. These biotic groups secrete matrices of biomacromolecules called Extracellular Polymeric Substances (EPSs), which enhance their ability to withstand extreme environmental conditions. EPSs are mainly composed of exopolysaccharides, proteins, lipids and nucleic acids, and exhibit assorted activities due to diverse functionalities of matrix like spatial conformation, molecular weight, rheology, charge, size and affinity. Several protective and ecological functions such as cryoprotection, anti-desiccation, buffering against high salinity and pH, trace metal uptake and binding, sequestration of dissolved organic matter and nutrients, aggregate formation and biofilm production have been attributed to microbial EPSs. They also contribute to production of dissolved and particulate organic matter and hence can influence biogeochemical cycling of elements, especially carbon and iron. Further, they aid in aggregation of dust particles on the glacier surface, substantially reducing the albedo of the ice and thereby accelerate melting of glaciers. This study provides an overview of role of EPSs in Antarctic ecosystems, its ecological significance and chemical functionalities, and discusses the approach for a better understanding of relevance of EPSs in biogeochemistry of Antarctic environments.</t>
  </si>
  <si>
    <t>[Nagar, Shipra; Antony, Runa; Thamban, Meloth] Natl Ctr Polar &amp; Ocean Res, Minist Earth Sci, Vasco Da Gama 403804, Goa, India; [Nagar, Shipra] Trinity Coll Dublin, NatPro Ctr Nat Prod, Sch Pharm &amp; Pharmaceut Sci, Dublin 2, Ireland</t>
  </si>
  <si>
    <t>Ministry of Earth Sciences (MoES) - India; National Centre for Polar and Ocean Research (NCPOR); Trinity College Dublin</t>
  </si>
  <si>
    <t>Nagar, S (corresponding author), Natl Ctr Polar &amp; Ocean Res, Minist Earth Sci, Vasco Da Gama 403804, Goa, India.;Nagar, S (corresponding author), Trinity Coll Dublin, NatPro Ctr Nat Prod, Sch Pharm &amp; Pharmaceut Sci, Dublin 2, Ireland.</t>
  </si>
  <si>
    <t>shhipranagar@gmail.com</t>
  </si>
  <si>
    <t>Nagar, Shipra/AAD-4609-2022</t>
  </si>
  <si>
    <t>Nagar, Shipra/0000-0003-3132-4211; Thamban, Meloth/0000-0003-3379-8189</t>
  </si>
  <si>
    <t>Ministry of Earth Sciences, New Delhi; DST-SERB [PDF/2018/001321]</t>
  </si>
  <si>
    <t>Ministry of Earth Sciences, New Delhi; DST-SERB(Department of Science &amp; Technology (India)Science Engineering Research Board (SERB), India)</t>
  </si>
  <si>
    <t>We are grateful to the Ministry of Earth Sciences, New Delhi and the Director NCPOR, Goa, for encouragement and support for the project PACER - Cryophere and Climate. We thank Midhun Mohan for help with one of the illustrations and Milind Mutnale for help with graphs. Shipra Nagar acknowledges DST-SERB for support through the project PDF/2018/001321. This is NCPOR Contribution No. J-5/2021-22.</t>
  </si>
  <si>
    <t>10.1016/j.polar.2021.100686</t>
  </si>
  <si>
    <t>WOS:000729791100004</t>
  </si>
  <si>
    <t>Pandey, M; Pant, NC; Arora, D; Gupta, R</t>
  </si>
  <si>
    <t>Pandey, Mayuri; Pant, Naresh Chandra; Arora, Devsamridhi; Gupta, Rashmi</t>
  </si>
  <si>
    <t>A review of Antarctic ice sheet fluctuations records during Cenozoic and its cause and effect relation with the climatic conditions</t>
  </si>
  <si>
    <t>Antarctic ice sheet; Cenozoic; Paleoclimate; Ice sheet fluctuations</t>
  </si>
  <si>
    <t>EOCENE THERMAL MAXIMUM; ATMOSPHERIC CARBON-DIOXIDE; MIDDLE MIOCENE CLIMATE; DEEP-WATER CIRCULATION; STABLE-ISOTOPE RECORDS; SEA-LEVEL CHANGES; OCEAN CIRCULATION; LATE OLIGOCENE; ROSS SEA; PLEISTOCENE TRANSITION</t>
  </si>
  <si>
    <t>Antarctic cryosphere has significant impact on the global climate system by influencing the ocean currents, the atmosphere, and the sea level for long term durations. Antarctic Ice Sheet (AIS) has evolved from temporary to permanent ice sheet during Oligocene (-32 Ma). Throughout its evolution, it witnessed severe climatic conditions leading to several phases of retreat and advancements. Major climatic events were directly associated with the evolution of AIS. Paleocene Eocene Thermal Maximum (PETM), Early Eocene Climatic Optimum (EECO,-44.9 Ma), Eocene Oligocene Boundary (Oi1 event,-34 Ma), Oligocene-Miocene Boundary (Mi1 event-25Ma), Mid Miocene Climatic Optimum (MMCO; -15Ma), Miocene-Pliocene Boundary (-3Ma) and Mid-late Pleistocene Transition (MPT, after-1.25 Ma) are the major reported global climatic events. This work summarises these events and critically reviews the role of various factors in the advancement and retreat of AIS and its coupled response to the global climate change including future global challenges. Existing knowledge gaps and challenges are outlined for each of the climatic events and priorities for future research are suggested.</t>
  </si>
  <si>
    <t>[Pandey, Mayuri; Gupta, Rashmi] Banaras Hindu Univ, Inst Sci, Dept Geol, Varanasi, Uttar Pradesh, India; [Pant, Naresh Chandra; Arora, Devsamridhi] Univ Delhi, Dept Geol, New Delhi, India; [Arora, Devsamridhi] Indian Inst Technol, Dept Earth Sci, Bombay, Maharashtra, India</t>
  </si>
  <si>
    <t>Banaras Hindu University (BHU); University of Delhi; Indian Institute of Technology System (IIT System); Indian Institute of Technology (IIT) - Bombay</t>
  </si>
  <si>
    <t>Pandey, M (corresponding author), Banaras Hindu Univ, Inst Sci, Dept Geol, Varanasi, Uttar Pradesh, India.</t>
  </si>
  <si>
    <t>mayuri.geo@bhu.ac.in</t>
  </si>
  <si>
    <t>GUPTA, RASHMI/JED-8985-2023</t>
  </si>
  <si>
    <t>GUPTA, RASHMI/0000-0001-7911-8025; PANDEY, MAYURI/0000-0001-8125-8051; Arora, Devsamridhi/0000-0003-1790-6960</t>
  </si>
  <si>
    <t>National Centre for Polar and Ocean Research [NCOR/MOES/DU-IODP/2010]</t>
  </si>
  <si>
    <t>National Centre for Polar and Ocean Research</t>
  </si>
  <si>
    <t>This work was funded by National Centre for Polar and Ocean Research in the project entitled Paleoclimatic and magmato-metamorphic history of Wilkes Land, East Antarctica: constraints from accessory minerals, clay mineralogy and micropaleontology in oceanic sediments (Grant No.: NCOR/MOES/DU-IODP/2010) and the support is duly acknowledged. Reviews by three anonymous reviewers greatly helped in improving the manuscript. We thank Prof. Takashi Yamanouchi and the guest editors of the special issue Polar Studies-Window to the Changing Earth for editorial handling of the manuscript.</t>
  </si>
  <si>
    <t>10.1016/j.polar.2021.100720</t>
  </si>
  <si>
    <t>XO0GP</t>
  </si>
  <si>
    <t>WOS:000729874200003</t>
  </si>
  <si>
    <t>Burgess, SC; Bode, M; Leis, JM; Mason, LB</t>
  </si>
  <si>
    <t>Burgess, Scott C.; Bode, Michael; Leis, Jeffrey M.; Mason, Luciano B.</t>
  </si>
  <si>
    <t>Individual variation in marine larval-fish swimming speed and the emergence of dispersal kernels</t>
  </si>
  <si>
    <t>OIKOS</t>
  </si>
  <si>
    <t>condition-dependent dispersal; dispersal kernel; marine; phenotype-dependent dispersal</t>
  </si>
  <si>
    <t>CORAL-REEF FISH; VERTICAL MIGRATION; PELAGIC LARVAE; BEHAVIOR; RECRUITMENT; CONNECTIVITY; SETTLEMENT; MORTALITY; ONTOGENY; ECOLOGY</t>
  </si>
  <si>
    <t>Dispersal emerges as a consequence of how an individual's phenotype interacts with the environment. Not all dispersing individuals have the same phenotype, and variation among individuals can generate complex variation in the distribution of dispersal distances and directions. While active locomotion performance is an obvious candidate for a dispersal phenotype, its effects on dispersal are difficult to measure or predict, especially in small organisms dispersing in wind or currents. Therefore, we analyzed the effects of larval swimming on dispersal and settlement of coral-reef fish larvae using a high-resolution biophysical model. The model is, to date, the only biophysical model of marine larval dispersal that has been statistically validated against genetic parentage estimates of larval origin and destination, and incorporates empirically-estimated larval behaviors and their ontogeny. Larval swimming, in combination with depth, orientation and navigation behaviors, actually reduced dispersal distances compared to those of passive larvae. Swimming had no consistent effects on long distance dispersal, but increased the spread of settlement locations. Swimming speed, in contrast, did not consistently affect median dispersal distances, but faster swimming larvae had greater mean and maximum dispersal distances than slower swimming larvae. Finally, faster larval swimming speeds consistently increased the probability of settlement. Our analysis shows how larval swimming differentially affects multiple properties of dispersal kernels. In doing so, it indicates how selection could favor faster larval swimming to increase settlement and local retention, which may actually result in longer dispersal distances as a by-product of larvae trying to locate habitat rather than to disperse greater distances.</t>
  </si>
  <si>
    <t>[Burgess, Scott C.] Florida State Univ, Dept Biol Sci, B-157, Tallahassee, FL 32306 USA; [Bode, Michael; Mason, Luciano B.] Queensland Univ Technol, Sch Math Sci, Brisbane, Qld, Australia; [Leis, Jeffrey M.] Australian Museum Res Inst, Sydney, NSW, Australia; [Leis, Jeffrey M.] Univ Tasmania, Inst Marine &amp; Antarctic Studies, Hobart, Tas, Australia</t>
  </si>
  <si>
    <t>State University System of Florida; Florida State University; Queensland University of Technology (QUT); Australian Museum; University of Tasmania</t>
  </si>
  <si>
    <t>Burgess, SC (corresponding author), Florida State Univ, Dept Biol Sci, B-157, Tallahassee, FL 32306 USA.</t>
  </si>
  <si>
    <t>sburgess@bio.fsu.edu</t>
  </si>
  <si>
    <t>Leis, Jeffrey M/E-7502-2012; Burgess, Scott C/B-4058-2010; Bode, Michael/P-1333-2019; Leis, Jeffrey M/JCE-0397-2023</t>
  </si>
  <si>
    <t>Leis, Jeffrey M/0000-0003-0603-3447; Bode, Michael/0000-0002-5886-4421; Leis, Jeffrey M/0000-0003-0603-3447</t>
  </si>
  <si>
    <t>National Science Foundation (NSF) [OCE 1829867]; Australian Department of Environment and Energy, through the Marine and Tropical Science Research Facility; National Environmental Research Program; National Environmental Science Program</t>
  </si>
  <si>
    <t>National Science Foundation (NSF)(National Science Foundation (NSF)); Australian Department of Environment and Energy, through the Marine and Tropical Science Research Facility; National Environmental Research Program; National Environmental Science Program</t>
  </si>
  <si>
    <t>This work was funded by a National Science Foundation (NSF) grant to SCB (OCE 1829867). Development of the dispersal model was supported by funding from the Australian Department of Environment and Energy, through the Marine and Tropical Science Research Facility, National Environmental Research Program and National Environmental Science Program () to GPJ, JML and LBM.</t>
  </si>
  <si>
    <t>0030-1299</t>
  </si>
  <si>
    <t>1600-0706</t>
  </si>
  <si>
    <t>Oikos</t>
  </si>
  <si>
    <t>10.1111/oik.08896</t>
  </si>
  <si>
    <t>ZK0GC</t>
  </si>
  <si>
    <t>WOS:000730340000001</t>
  </si>
  <si>
    <t>Chouksey, A; Thakur, PK; Sahni, G; Swain, AK; Aggarwal, SP; Kumar, AS</t>
  </si>
  <si>
    <t>Chouksey, Arpit; Thakur, Praveen K.; Sahni, Gaurav; Swain, Ashit K.; Aggarwal, S. P.; Kumar, A. S.</t>
  </si>
  <si>
    <t>Mapping and identification of ice-sheet and glacier features using optical and SAR data in parts of central Dronning Maud Land (cDML), East Antarctica</t>
  </si>
  <si>
    <t>Remote sensing; Blue ice area; Landsat-8; Sentinel-1; Antarctica</t>
  </si>
  <si>
    <t>ETM PLUS; SHELF; LAKES; SNOW; AREAS; ZONES; FIELD; DRY</t>
  </si>
  <si>
    <t>High-resolution satellite data is used to extract ice-sheet features in Princess-Astrid Coast of Queen Maud Land, in Droning Maud Land between 70 degrees and 72 degrees S and 5 degrees-20 degrees E, East Antarctica. Their mapping and monitoring is cumbersome and time-consuming using traditional survey methods. Therefore, to achieve desirable results, RS based methods were employed. The main ice-sheet and glacial features mapped are Bluelce-Area (BIA), melt water channels, glacier radar zones, crevasse, nunataks, moraine, supraglacial lakes, and wind scoop. Support-vector-machine (SVM) and supervised classification algorithm were applied over Landsat-8, RISAT-1 and Sentinel-1 data to classify these features. Surface patterns of snow and clouds were found in the continental icesheet, which becomes an obstacle to clearly extract sub-surface icesheet features in optical data. Therefore, to improve mapping of snow and ice features, high-resolution microwave data was also used. By comparing optical and microwave data, it was found that more sub-surface features could be mapped using microwave data. Further, RS was used to map the temporal change in the glacial features using two-year images for the austral summer of 2016 and 2017. It was found that diurnal as-well-as seasonal changes in surface ice features occur due to changes in local weather and can be mapped using temporal RS data.</t>
  </si>
  <si>
    <t>[Chouksey, Arpit; Thakur, Praveen K.; Sahni, Gaurav; Aggarwal, S. P.; Kumar, A. S.] Indian Inst Remote Sensing, Indian Space Res Org ISRO, IIRS, 4 Kalidas Rd, Dehra Dun 248001, Uttarakhand, India; [Swain, Ashit K.] Geol Survey India, Polar Studies Div, Faridabad 121001, India; [Kumar, A. S.] Kongu Engn Coll, 104 Rubi Gardens, Erode 638012, TN, India</t>
  </si>
  <si>
    <t>Department of Space (DoS), Government of India; Indian Space Research Organisation (ISRO); Indian Institute of Remote Sensing (IIRS); Geological Survey India; Kongu Engineering College</t>
  </si>
  <si>
    <t>Chouksey, A; Thakur, PK (corresponding author), Indian Inst Remote Sensing, Indian Space Res Org ISRO, IIRS, 4 Kalidas Rd, Dehra Dun 248001, Uttarakhand, India.</t>
  </si>
  <si>
    <t>arpit@iirs.gov.in; praveen@iirs.gov.in</t>
  </si>
  <si>
    <t>Thakur, Praveen Kumar/G-4295-2010</t>
  </si>
  <si>
    <t>Thakur, Praveen Kumar/0000-0002-2719-7021; Chouksey, Arpit/0000-0002-4701-9513; Sahni, Gaurav/0000-0002-4532-504X</t>
  </si>
  <si>
    <t>NCPOR; ISRO entitled Validation of remote sensing and model based high resolution ice sheet and glacier landform science products for parts of Antarctic</t>
  </si>
  <si>
    <t>Authors are thankful to Chairman, ISRO, Director, IIRS-Dehradun, Director NCPOR-Goa and Director General, GSI, Kolkata, for providing all the support, guidance and encouragement to undertake and complete this work. The present study was carried out under the 36th ISEA project sponsored by the NCPOR and ISRO entitled Validation of remote sensing and model based high resolution ice sheet and glacier landform science products for parts of Antarctic.</t>
  </si>
  <si>
    <t>10.1016/j.polar.2021.100740</t>
  </si>
  <si>
    <t>XO1DU</t>
  </si>
  <si>
    <t>WOS:000729934600003</t>
  </si>
  <si>
    <t>Gupta, S; Chatterjee, S; Arora, D; Bose, S; Dobe, R</t>
  </si>
  <si>
    <t>Gupta, Saibal; Chatterjee, Sandro; Arora, Devsamridhi; Bose, Subham; Dobe, Ritabrata</t>
  </si>
  <si>
    <t>Locating the Indo-Antarctica suture - Correlating the Rengali, Rauer and Ruker terranes in Gondwana</t>
  </si>
  <si>
    <t>Eastern Ghats Province; Rayner Province; Gondwana; Ruker Terrane; Rengali Province; Rauer Group</t>
  </si>
  <si>
    <t>PRINCE-CHARLES-MOUNTAINS; EASTERN GHATS BELT; U-PB ZIRCON; GRANULITE-FACIES METAMORPHISM; KORAPUT ALKALINE COMPLEX; PRYDZ BAY; MOBILE BELT; SM-ND; GEOLOGICAL RELATIONSHIPS; STRUCTURAL EVOLUTION</t>
  </si>
  <si>
    <t>The Rayner Complex of East Antarctica and the Eastern Ghats Province (EGP) of India are thought to have been contiguous in past supercontinents like Rodinia and Gondwana. These terranes have been correlated on the basis of similar granulite facies metamorphic imprints and isotopic age data that testify to Grenvillian (1100-900 Ma) and Pan-African (650-450 Ma) thermal signatures. The Grenvillian granulite facies metamorphic event is generally thought to represent collision between Antarctica and cratonic India, but the precise location of the Indo-Antarctic suture is disputed. The intensity of Pan-African age geological imprints is also variable in both continents, and their significance remains unclear. In this review, we correlate structural, metamorphic and geochronological data in both terranes and parts of their bounding cratons, and suggest that the Ruker Terrane and Rauer Group in Antarctica were continuous with the Rengali Province in India. Together with the established correlation between the EGP and the Rayner Complex, this implies that cratonic India along with the EGP-Rayner amalgam collided with the Archaean Ruker Terrane (part of the Crohn craton) at-520 Ma along the southern Prince Charles Mountain in East Antarctica. This suture is distinct from the Grenvillian suture between EGPRayner and cratonic India.</t>
  </si>
  <si>
    <t>[Gupta, Saibal; Chatterjee, Sandro; Bose, Subham; Dobe, Ritabrata] Indian Inst Technol, Dept Geol &amp; Geophys, Kharagpur 721302, W Bengal, India; [Arora, Devsamridhi] Univ Delhi, Dept Geol, Delhi 110007, India; [Arora, Devsamridhi] Indian Inst Technol, Dept Earth Sci, Mumbai, Maharashtra, India</t>
  </si>
  <si>
    <t>Indian Institute of Technology System (IIT System); Indian Institute of Technology (IIT) - Kharagpur; University of Delhi; Indian Institute of Technology System (IIT System); Indian Institute of Technology (IIT) - Bombay</t>
  </si>
  <si>
    <t>Gupta, S (corresponding author), Indian Inst Technol, Dept Geol &amp; Geophys, Kharagpur 721302, W Bengal, India.</t>
  </si>
  <si>
    <t>saibl2008@gmail.com</t>
  </si>
  <si>
    <t>Arora, Devsamridhi/0000-0003-1790-6960; Gupta, Saibal/0000-0002-1913-0126; Dobe, Ritabrata/0000-0003-0026-384X</t>
  </si>
  <si>
    <t>Department of Geology and Geophysics, IIT Kharagpur, India; Council for Scientific and Industrial Research (CSIR), India [09/081 (1242)/EMR-I]; IIT Kharagpur</t>
  </si>
  <si>
    <t>Department of Geology and Geophysics, IIT Kharagpur, India; Council for Scientific and Industrial Research (CSIR), India(Council of Scientific &amp; Industrial Research (CSIR) - India); IIT Kharagpur</t>
  </si>
  <si>
    <t>The authors are thankful to Department of Geology and Geophysics, IIT Kharagpur, India for funding the fieldwork and providing infrastructural facilities. RD acknowledges the Council for Scientific and Industrial Research (CSIR), India for his research grant (no. 09/081 (1242)/EMR-I). SC and SB are grateful to IIT Kharagpur for providing the scholarship through which sustenance was possible during their research. We thank two anonymous reviewers for excellent comments on the first submission, which has greatly helped us to focus the manuscript better. Finally, we are very grateful to Prof. Naresh Chandra Pant for his efficient and constructive editorial handling of the manuscript.</t>
  </si>
  <si>
    <t>10.1016/j.polar.2021.100689</t>
  </si>
  <si>
    <t>XO0GH</t>
  </si>
  <si>
    <t>WOS:000729873400001</t>
  </si>
  <si>
    <t>Kuttippurath, J; Lefèvre, F; Raj, S; Kumar, P; Abbhishek, K</t>
  </si>
  <si>
    <t>Kuttippurath, J.; Lefevre, F.; Raj, S.; Kumar, P.; Abbhishek, K.</t>
  </si>
  <si>
    <t>The ozone hole measurements at the Indian station Maitri in Antarctica</t>
  </si>
  <si>
    <t>Antarctic ozone hole; Stratosphere; Climate change; Maitri; Bharati</t>
  </si>
  <si>
    <t>TOTAL COLUMN; 3-DIMENSIONAL MODEL; TRENDS; DEPLETION; STRATOSPHERE; VARIABILITY; EMERGENCE; LOSSES</t>
  </si>
  <si>
    <t>Stratospheric ozone is a trace gas of great importance as it filters harmful ultraviolet radiations reaching the earth surface. Since ozone influences temperature and dynamics of the stratosphere, it is also a climate-relevant gas by modifyimg the tropospheric temperature. Significant changes in the stratospheric ozone are, therefore, a concern for human health and climate. India has a dedicated polar research programme with two stations in Antarctica; Maitri (70.4 degrees 5, 11.4 degrees E, since 1989) and Bharati (69.2 degrees 5, 76.2 degrees E, since 2012). Semi-regular measurements of total column ozone (TCO) are carried out to monitor the changes in the ozone layer there. Here, we use the available TCO measurements from Maitri in the winters of 1999-2003 and 2006, to estimate the chemical ozone depletion for the first time there. We estimate the largest ozone loss (59% or 180 DU) in 2006, and smallest in 2002 and 1999 (44% or 160 DU) among the winters; consistent with the meteorology, as the winter 2006 was the coldest and 2002 was the warmest with the first-ever major sudden stratospheric warming over Antarctica. The Maitri ozone loss analysis is found to be representative for the whole Antarctica as assessed from the comparisons with the average TCO from all Antarctic stations and satellite overpass TCO observations. The study, henceforth, demonstrates the value and significance of continuous monitoring of the ozone hole at Maitri to assist the policy decisions such as the Montreal Protocol and its amendments and adjustments.</t>
  </si>
  <si>
    <t>[Kuttippurath, J.; Raj, S.; Kumar, P.; Abbhishek, K.] Indian Inst Technol Kharagpur, CORAL, Kharagpur 721302, W Bengal, India; [Lefevre, F.] Sorbonne Univ, CNRS, LATMOS IPSL, UVSQ, Paris, France</t>
  </si>
  <si>
    <t>Indian Institute of Technology System (IIT System); Indian Institute of Technology (IIT) - Kharagpur; Universite Paris Saclay; Sorbonne Universite; Universite Paris Cite; Centre National de la Recherche Scientifique (CNRS)</t>
  </si>
  <si>
    <t>Kuttippurath, J (corresponding author), Indian Inst Technol Kharagpur, Ctr Oceans Rivers Atmosphere &amp; Land Sci CORAL, Kharagpur 721302, W Bengal, India.</t>
  </si>
  <si>
    <t>jayan@coral.iitkgp.ac.in</t>
  </si>
  <si>
    <t>Abbhishek, Kumar/AAJ-4078-2021; Raj, Sarath/AGO-2301-2022; Kuttippurath, Jayanarayanan/M-2878-2019; Raj, Sarath/GQZ-0671-2022</t>
  </si>
  <si>
    <t>Abbhishek, Kumar/0000-0002-4865-4180; Kuttippurath, Jayanarayanan/0000-0003-4073-8918; Raj, Sarath/0000-0001-9352-5356</t>
  </si>
  <si>
    <t>MoE; IIT KGP</t>
  </si>
  <si>
    <t>MoE(Ministry of Higher Education &amp; Scientific Research (MHESR)); IIT KGP</t>
  </si>
  <si>
    <t>We thank the Head CORAL, and the director of Indian Institute of Technology Kharagpur (IIT KGP), Ministry of Earth Science (MoE) , National Centre for Ocean Information Services (INCOIS), Hyderabad and Ministry of Earth Science (MoES) for facilitating the study. We also thank all the data managers and the scientists who made available those data for this study. PK and KA thank MoE and IIT KGP for their research fellowship.</t>
  </si>
  <si>
    <t>10.1016/j.polar.2021.100701</t>
  </si>
  <si>
    <t>WOS:000729873400004</t>
  </si>
  <si>
    <t>Mahesh, BS; Nair, A; Ghadi, P; Warrier, AK; Mohan, R</t>
  </si>
  <si>
    <t>Mahesh, B. S.; Nair, Abhilash; Ghadi, Pooja; Warrier, Anish Kumar; Mohan, Rahul</t>
  </si>
  <si>
    <t>Holocene sedimentology in an isolation basin in the Larsemann Hills, East Antarctica</t>
  </si>
  <si>
    <t>Paleoenvironmental changes; Particle size; Lake sediment; Larsemann hills; East Antarctica</t>
  </si>
  <si>
    <t>PRYDZ BAY-REGION; GRAIN-SIZE; LAKE-SEDIMENT; DEPOSITIONAL ENVIRONMENT; SCHIRMACHER OASIS; RADIOCARBON; CALIBRATION; HISTORY</t>
  </si>
  <si>
    <t>Holocene paleoenvironmental changes along the East Antarctic margin have been reconstructed using marine and lake sediment cores. Isolation basins in the coastal ice-free regions offer continuous sedimentary sequences to reconstruct marine-freshwater transitions and its environmental changes. In this study, we present the grain size (sand-silt-clay) and organic matter variations in a 51 cm radiocarbon-dated sediment core from Pup Lagoon, an isolation basin in Larsemann Hills (East Antarctica). The sediment core spans the last 6109 years and provides information on environmental changes in two different settings, i.e., (a) under the marine influence, and (b) as an isolated lake. Three cluster zones were identified viz., LZ1 (6109-2427 y BP: marine environment), LZ2 (2427-2101 y BP: transition zone) and LZ3 (2101-116 y BP: freshwater environment). Fine grain sediments (silt) are dominant in LZ1, indicating a strong hydrodynamic energy conditions affected by tidal currents with low organic matter. Higher sand content during the transition period (LZ2) indicates the strongest hydrodynamic condition and sediment deposition from sea ice. The increasing trend of OM (cyanobacterial benthic mat) beginning at similar to 2101 y BP suggests the isolation of the lake. The highest fine grained sediments (silt-clay) in LZ3 suggests lowered meltwater derived detritus in response to mild austral summer conditions during the Late Holocene.</t>
  </si>
  <si>
    <t>[Mahesh, B. S.; Nair, Abhilash; Mohan, Rahul] Natl Ctr Polar &amp; Ocean Res, Antarctic Sci, Vasco Da Gama 403804, Goa, India; [Warrier, Anish Kumar] Manipal Acad Higher Educ, Ctr Climate Studies, Dept Civil Engn, Manipal Inst Technol, Manipal 576104, Karnataka, India; [Ghadi, Pooja] Goa Univ, Sch Earth Ocean &amp; Atmospher Sci SEOAS, Taleigao Plateau 403206, Goa, India</t>
  </si>
  <si>
    <t>Ministry of Earth Sciences (MoES) - India; National Centre for Polar and Ocean Research (NCPOR); Manipal Academy of Higher Education (MAHE); Goa University</t>
  </si>
  <si>
    <t>Mahesh, BS (corresponding author), Natl Ctr Polar &amp; Ocean Res, Antarctic Sci, Vasco Da Gama 403804, Goa, India.</t>
  </si>
  <si>
    <t>mahesh@ncpor.res.in</t>
  </si>
  <si>
    <t>Warrier, Anish Kumar/AAW-8890-2020</t>
  </si>
  <si>
    <t>Warrier, Anish Kumar/0000-0003-0044-6224</t>
  </si>
  <si>
    <t>Secretary-Ministry of Earth Sciences, New Delhi and Director, NCPOR</t>
  </si>
  <si>
    <t>We thank the Secretary-Ministry of Earth Sciences, New Delhi and Director, NCPOR, for their encouragement and support under the project Past Climate and Oceanic Variability. We thank Pozna ' n Radiocarbon Laboratory, Poland for measuring the AMS 14-C dates. The authors thank the Indian Antarctic Program and members of the 36-Indian Scientific Expedition to Antarctica for their help in our field campaign. We thank the two anonymous reviewers for their valuable suggestions and insights in interpreting the data and improving the manuscript. This is NCPOR contribution No. J-23/2021-22.</t>
  </si>
  <si>
    <t>10.1016/j.polar.2021.100729</t>
  </si>
  <si>
    <t>XO1HJ</t>
  </si>
  <si>
    <t>WOS:000729943900002</t>
  </si>
  <si>
    <t>Mishra, P; Alok, S; Rajak, DR; Beg, JM; Bahuguna, IM; Talati, I</t>
  </si>
  <si>
    <t>Mishra, Poonam; Alok, Shivang; Rajak, D. Ram; Beg, Javed M.; Bahuguna, I. M.; Talati, Isha</t>
  </si>
  <si>
    <t>Investigating optimum ship route in the Antarctic in presence of sea ice and wind resistances - A case study between Bharati and Maitri</t>
  </si>
  <si>
    <t>Sea ice; Route optimization; Ice concentration; Sea ice thickness and Dijkstra's algorithm</t>
  </si>
  <si>
    <t>VARIABILITY; TRENDS</t>
  </si>
  <si>
    <t>This paper presents a technique of ship route optimization in the Antarctic sea ice region using Dijkstra's algorithm. It studies some of the major parameters that cause resistance to the ship movement through sea ice. It aims to optimize a safe ship route in the Antarctic sea ice between Bharati and Maitri (Indian Research Stations in Antarctica) coasts. The study region is divided into grids that results into unique nodes, which are studied for sea ice parameters and wind velocity. Resistances caused due to ice and wind are considered to calculate expected ship velocity between nodes. The calculated ship velocities are then used to estimate durations to cover distances from a node to all the neighboring nodes. It forms a mathematical route from source to destination through various nodes with time as weight that is then optimized through Dijkstra's algorithm to obtain optimal route. Satellite remote sensing data derived sea ice parameters (Scatsat-1 derived sea ice extent and NSIDC sea ice concentration) and modeled wind velocity (from ECMWF) have been used as inputs in this model. Ship parameters of Kapitan Khlebnikov (Russian icebreaker) are used to test and compare the proposed model. Results of model are validated with the actual ship route navigated by the 33rd Indian Scientific Expedition to Antarctica (33ISEA) ship. The proposed algorithm, which provides an optimal route when ship parameters are known in advance, can be useful to support future ship navigation in the Antarctic sea ice including Indian Scientific Expeditions to Antarctica.</t>
  </si>
  <si>
    <t>[Mishra, Poonam; Alok, Shivang] Pandit Deendayal Petr Univ, Sch Technol, Dept Math, Gandhinagar, Gujarat, India; [Rajak, D. Ram; Bahuguna, I. M.] Space Applicat Ctr ISRO, Cryosphere Sci Div, GHCAG EPSA, Ahmadabad, Gujarat, India; [Beg, Javed M.] Natl Ctr Polar &amp; Ocean Res, Vasco Da Gama, Goa, India; [Talati, Isha] Inst Adv Res, Gandhinagar, Gujarat, India</t>
  </si>
  <si>
    <t>Pandit Deendayal Energy University; Department of Space (DoS), Government of India; Indian Space Research Organisation (ISRO); Space Applications Centre (SAC); Ministry of Earth Sciences (MoES) - India; National Centre for Polar and Ocean Research (NCPOR)</t>
  </si>
  <si>
    <t>Mishra, P (corresponding author), Pandit Deendayal Petr Univ, Sch Technol, Dept Math, Gandhinagar, Gujarat, India.</t>
  </si>
  <si>
    <t>poonam.mishra1381@gmail.com</t>
  </si>
  <si>
    <t>Talati, Isha/GQB-3546-2022</t>
  </si>
  <si>
    <t>Space Application Centre - ISRO</t>
  </si>
  <si>
    <t>This work was supported by Space Application Centre - ISRO through a funded project.</t>
  </si>
  <si>
    <t>10.1016/j.polar.2021.100696</t>
  </si>
  <si>
    <t>WOS:000729873400005</t>
  </si>
  <si>
    <t>Prabhu, A; Mandke, SK; Kripalani, RH; Pandithurai, G</t>
  </si>
  <si>
    <t>Prabhu, Amita; Mandke, Sujata K.; Kripalani, R. H.; Pandithurai, G.</t>
  </si>
  <si>
    <t>Association between Antarctic Sea ice, Pacific SST and the Indian summer monsoon: An observational study</t>
  </si>
  <si>
    <t>Antarctic sea ice; WPO and BAS sectors; Pacific SST; ISMR; El Nino Modoki</t>
  </si>
  <si>
    <t>SOUTHERN ANNULAR MODE; OCEAN DIPOLE; SNOW DEPTH; EL-NINO; SURFACE TEMPERATURES; CLIMATE VARIABILITY; EQUATORIAL PACIFIC; TROPICAL PACIFIC; EURASIAN SNOW; ENSO</t>
  </si>
  <si>
    <t>In this paper, results of diagnostic analysis for the period 1983-2015, demonstrate a robust relationship between Indian Summer Monsoon Rainfall (ISMR) and sea ice area (SIA) over the two sectors of Antarctica namely, Western Pacific Ocean (WPO) and Bellingshausen and Amundsen Seas (BAS). A significant direct (inverse) relationship is observed between ISMR and SIA over the WPO (BAS) sector. Further, plausible physical mechanism governing this relationship is proposed. El Nino Modoki exhibit direct (inverse) relation with SIA over BAS (WPO) sector during summer monsoon season, which has prompted investigation of SIA-El Nino Modoki-ISMR connection. The linkage between southern polar sea ice and the Indian summer monsoon has been demonstrated through the Pacific Ocean, wherein above normal SIA over the BAS (WPO) sector is associated with concurrent warm equatorial central (western) Pacific Sea Surface Temperature (SST) anomalies. Associated meridional circulations supplemented by above normal BAS (WPO) SIA extremes is accompanied by an ascending motion over the equatorial central (western) Pacific. In turn, through large-scale zonal circulation, ascending branch of circulation over the central (western) Pacific Ocean contemporaneously impacts ISMR adversely (favourably). Large-scale atmospheric circulation modulated by equatorial Pacific SST signature is suggested as a possible link between Antarctic sea ice and ISMR.</t>
  </si>
  <si>
    <t>[Prabhu, Amita; Mandke, Sujata K.; Kripalani, R. H.; Pandithurai, G.] Indian Inst Trop Meteorol, Minist Earth Sci, Pune, Maharashtra, India</t>
  </si>
  <si>
    <t>Ministry of Earth Sciences (MoES) - India; Indian Institute of Tropical Meteorology (IITM)</t>
  </si>
  <si>
    <t>Prabhu, A (corresponding author), Indian Inst Trop Meteorol, Minist Earth Sci, Pune, Maharashtra, India.</t>
  </si>
  <si>
    <t>amitaprabhu@tropmet.res.in</t>
  </si>
  <si>
    <t>Prabhu, Amita/0000-0002-2474-6195</t>
  </si>
  <si>
    <t>Ministry of Earth Sciences, Government of India, New Delhi</t>
  </si>
  <si>
    <t>We thank Director, Indian Institute of Tropical Meteorology (IITM), Pune for all the support to carry out this work. IITM is funded by the Ministry of Earth Sciences, Government of India, New Delhi. We are grateful to Mr. Avinash Kumar, IITM, for assistance in estimation of correlation by bootstrap method. We also acknowledge two anonymous referees for providing valuable suggestions towards significant improvement of manuscript. Authors are thankful to NCEP and NCAR for the reanalysis data sets. Authors are also grateful to NSIDC, University of Colorado, Boulder, USA, for the sea ice data. Authors acknowledge other datasets such as gridded SST product from NOAA and rain gauge derived ISMR series from IITM. We acknowledge Center for Ocean Land Atmosphere, USA, for Grid Analysis and Display System (GrADS) software, which has been used to plot figures.</t>
  </si>
  <si>
    <t>10.1016/j.polar.2021.100746</t>
  </si>
  <si>
    <t>WOS:000729934600002</t>
  </si>
  <si>
    <t>Ray, Y; Sen, S; Sen, K; Beg, MJ</t>
  </si>
  <si>
    <t>Ray, Yogesh; Sen, Subhajit; Sen, Koushick; Beg, M. Javed</t>
  </si>
  <si>
    <t>Quantifying the past glacial movements in Schirmacher Oasis, East Antarctica</t>
  </si>
  <si>
    <t>Glacial striations; MARD-Moving average rose diagram; Schirmacher oasis; Central dronning maud land (cDML)</t>
  </si>
  <si>
    <t>HILLS; METAMORPHISM; GRANULITES; TOPOGRAPHY; EVOLUTION; LANDFORMS; SCOTLAND; ABRASION; ENCLAVES; HISTORY</t>
  </si>
  <si>
    <t>Glacier Striations are the scratches and grooves formed by abrasion on the surface of bedrock over which a glacier moves. In the Schirmacher Oasis, central Dronning Maud Land, East Antarctica systematic observations were made to collect the orientation data of well-preserved glacial striations. Orientation data for 276 glacial striations at 20 locations were collected and further analysed for quantification of the direction of past glacial movements. The majority of the data is unidirectional with few having bidirectional orientation suggesting changes in the movement of glaciers with time. The data shows NNW-NNE direction for the advance of palae-oglaciers which are in agreement with the present movement of glaciers deduced from the Global Positioning System reported earlier. The Moving Average Rose Diagram (MARD) calculated resultant direction for the flow of glacier in the Schirmacher Oasis deduced at 15 degrees E. It is also in concordance with the earlier reported subsurface geo-electrical structural trend inferred from magnetotelluric (MT) study and hence hints towards the possible link between the subsurface structures and processes as guiding control for the movement of glaciers.</t>
  </si>
  <si>
    <t>[Ray, Yogesh; Sen, Subhajit; Sen, Koushick; Beg, M. Javed] Govt India, Minist Earth Sci, Natl Ctr Polar &amp; Ocean Res, Vasco Da Gama 403804, Goa, India; [Sen, Subhajit] Indian Inst Technol Bhubaneswar, Sch Earth Ocean &amp; Climate Sci, Argul 752050, Odisha, India</t>
  </si>
  <si>
    <t>Ministry of Earth Sciences (MoES) - India; National Centre for Polar and Ocean Research (NCPOR); Indian Institute of Technology System (IIT System); Indian Institute of Technology (IIT) - Bhubaneswar</t>
  </si>
  <si>
    <t>Ray, Y (corresponding author), Govt India, Minist Earth Sci, Natl Ctr Polar &amp; Ocean Res, Vasco Da Gama 403804, Goa, India.</t>
  </si>
  <si>
    <t>yogesh@ncpor.res.in</t>
  </si>
  <si>
    <t>Ray, Yogesh/0000-0001-7236-9323; Sen, Koushick/0000-0003-0701-0626</t>
  </si>
  <si>
    <t>Indian Antarctic project [Ant/2017/ESG-08]</t>
  </si>
  <si>
    <t>Indian Antarctic project</t>
  </si>
  <si>
    <t>The authors are grateful to the Director, NCPOR for providing necessary facilities. This work is a tribute to Shri Subhajit Sen, a student participant of the XXXVII Indian Scientific Expedition to Antarctica (37ISEA) who died due to an accident on March 27, 2018 at Indian convoy route to Maitri Station, Antarctica. YR acknowledges the Indian Antarctic project Ant/2017/ESG-08 awarded for the 37-ISEA. We also thank two anonymous reviewers for their valuable comments and suggestions which significantly improved the manuscript. This is NCPOR contribution no. J-29/2021-22.</t>
  </si>
  <si>
    <t>10.1016/j.polar.2021.100733</t>
  </si>
  <si>
    <t>WOS:000729943900001</t>
  </si>
  <si>
    <t>Sadiq, M; Dharwadkar, A; Roy, SK; Arora, D; Shah, MY; Bhandari, A</t>
  </si>
  <si>
    <t>Sadiq, Mohammad; Dharwadkar, Amit; Roy, Sandip K.; Arora, Devsamridhi; Shah, Mohd Y.; Bhandari, Anubha</t>
  </si>
  <si>
    <t>Thermal evolution of mafic granulites of Princess Elizabeth Land, East Antarctica</t>
  </si>
  <si>
    <t>Mafic granulites; Larsemann Hills; Upper Tonian metamorphic event; Prydz Bay; Princess Elizabeth Land</t>
  </si>
  <si>
    <t>GARNET-ORTHO-PYROXENE; PRYDZ BAY; LARSEMANN HILLS; CHARLES MOUNTAINS; GEOLOGICAL RELATIONSHIPS; BRATTSTRAND BLUFFS; RAUER GROUP; GEOCHEMISTRY; METAMORPHISM; EXHUMATION</t>
  </si>
  <si>
    <t>Outcrops of East Antarctic Shield exposed along the coast of Princess Elizabeth Land (PEL) provide a peek into its Neoproterozoic evolution. The terrain comprises of interleaved pelitic, felsic and mafic granulites. Examination of mafic granulites from Sostrene Islands - Larsemann Hills - Brattstrand Bluffs terrain indicate multiple sources for their protolith. The ensemble of mafic rocks intimately associated with sedimentary protoliths are sourced from older mafic crust as well as syn-sedimentary intrusives, prior to multiple stages of deformation and high-grade metamorphism, often including felsic melt generation. High-grade metamorphism (peak conditions of similar to 900 degrees C and 11 kbar) followed by two stages of decompression, which are indicated by the presence of symplectitic growth of orthopyroxene over garnet and in cracks in garnetiferous mafic granulite. Pseudosection modelling confirms that the mafic granulites underwent a near isothermal decompression of similar to 2-3 kbar, indicating a clockwise PT path. Chemical dating of monazites from associated paragneisses show three growth zones viz. a Grenvillian aged core (884-940 Ma) followed by a thin Upper Tonian- Cryogenian aged middle rim (689-754 Ma) and a typical Pan African aged outer rim (523 Ma). We suggest that the thermo-tectonic evolution of PEL outcrops should be reassessed taking into account the newly emerging evidence of Tonian metamorphism.</t>
  </si>
  <si>
    <t>[Sadiq, Mohammad; Dharwadkar, Amit; Bhandari, Anubha] NCEGR, Geol Survey India, Faridabad, India; [Roy, Sandip K.] SU, Geol Survey India, Nagpur, Maharashtra, India; [Arora, Devsamridhi] Univ Delhi, Dept Geol, Delhi, India; [Shah, Mohd Y.] Geol Survey India UT, Srinagar, India; [Arora, Devsamridhi] Indian Inst Technol, Dept Earth Sci, Mumbai, Maharashtra, India</t>
  </si>
  <si>
    <t>Geological Survey India; Geological Survey India; University of Delhi; Indian Institute of Technology System (IIT System); Indian Institute of Technology (IIT) - Bombay</t>
  </si>
  <si>
    <t>Sadiq, M (corresponding author), NCEGR, Geol Survey India, Faridabad, India.</t>
  </si>
  <si>
    <t>mohd.sadiq@gsi.gov.in</t>
  </si>
  <si>
    <t>Roy, Sandip Kumar/AAE-4323-2019</t>
  </si>
  <si>
    <t>Sadiq, Mohammad/0000-0003-0812-1061; Arora, Devsamridhi/0000-0003-1790-6960</t>
  </si>
  <si>
    <t>10.1016/j.polar.2021.100641</t>
  </si>
  <si>
    <t>XO1ED</t>
  </si>
  <si>
    <t>WOS:000729935500001</t>
  </si>
  <si>
    <t>Warrier, AK; Mahesh, BS; Sebastian, JG; Mohan, R</t>
  </si>
  <si>
    <t>Warrier, Anish Kumar; Mahesh, B. S.; Sebastian, Joju George; Mohan, Rahul</t>
  </si>
  <si>
    <t>How strong was pedogenesis in Schirmacher Oasis during the Late Quaternary?</t>
  </si>
  <si>
    <t>Iron oxides; Magnetic grain size; Pedogenesis; Environmental magnetism; Schirmacher oasis; East Antarctica</t>
  </si>
  <si>
    <t>PRINCIPAL-COMPONENTS-ANALYSIS; MAGNETIC-PROPERTIES; EAST ANTARCTICA; LAKE; SOIL; SEDIMENTS; CLIMATE; SURFACE; VARIABILITY; CALIBRATION</t>
  </si>
  <si>
    <t>We compare the sediment magnetic properties of two lakes in Schirmacher Oasis, East Antarctica and discuss the intensity of pedogenesis during the Late Quaternary. The magnetic minerals are land-derived with no obliteration of the signal due to bacterial or anthropogenic sources. The magnetic grains of Lake L-49 are much smaller in size compared to Lake Sandy's (low ratio values of IRM20mT/ARM and S-20). The iron oxide minerals in Lake Sandy's sediments are coarse stable single domain (SSD) and multi-domain (MD) grains with the SSD concentration increasing during the Holocene. Percentage frequency-dependent susceptibility, a marker for pedogenic iron oxide minerals shows a similar trend for Lake Sandy, with the values remaining low during the Last Glacial Stage (LGS) and increasing towards the Holocene. Such a pattern is not observed in the sediments of Lake L-49. Principal Component Analysis reveals a relatively stronger intensity of pedogenesis in the Lake Sandy catchment during the deglaciation. From the data, we observe that even though pedogenesis is active, the intensity is not strong enough to form superparamagnetic (SP) grains. The peaks in chi(fd) for both the lakes show a direct relationship with Antarctic Isotope Maximum events recorded in an ice-core data suggesting that chi(fd) can be used as a proxy for paleo-pedogenesis in Antarctica.</t>
  </si>
  <si>
    <t>[Warrier, Anish Kumar; Sebastian, Joju George] Manipal Acad Higher Educ, Manipal Inst Technol, Dept Civil Engn, Manipal 576104, Karnataka, India; [Warrier, Anish Kumar] Manipal Acad Higher Educ, Ctr Climate Studies, Manipal 576104, Karnataka, India; [Mahesh, B. S.; Mohan, Rahul] Minist Earth Sci, Natl Ctr Polar &amp; Ocean Res, Vasco Da Gama 403804, Goa, India</t>
  </si>
  <si>
    <t>Manipal Academy of Higher Education (MAHE); Manipal Academy of Higher Education (MAHE); Ministry of Earth Sciences (MoES) - India; National Centre for Polar and Ocean Research (NCPOR)</t>
  </si>
  <si>
    <t>Warrier, AK (corresponding author), Manipal Acad Higher Educ, Manipal Inst Technol, Dept Civil Engn, Manipal 576104, Karnataka, India.</t>
  </si>
  <si>
    <t>akwarrier@gmail.com</t>
  </si>
  <si>
    <t>Warrier, Anish Kumar/0000-0003-0044-6224; Sebastian, Joju George/0000-0002-0342-2159</t>
  </si>
  <si>
    <t>ESSO-National Centre for Polar and Ocean Research, Ministry of Earth Sciences under the PACER Outreach Programme (POP) initiative [NCPOR/2019/PACER-POP/ES-02]</t>
  </si>
  <si>
    <t>ESSO-National Centre for Polar and Ocean Research, Ministry of Earth Sciences under the PACER Outreach Programme (POP) initiative</t>
  </si>
  <si>
    <t>This study was carried out as part of the Earth System Science Orga-nization of the Ministry of Earth Sciences, Government of India. We thank the Director, ESSO-NCPOR, Goa, for his constant support and encour-agement. AKW thanks R Shankar for providing access to the magnetic instrumentation facility for the measurements. We are thankful to the Antarctic Logistics Division, NCPOR and members of the 28th Indian Scientific Expedition to Antarctica for their assistance during coring op-erations. AKW acknowledges the financial support provided by the ESSO-National Centre for Polar and Ocean Research, Ministry of Earth Sciences, in the form of a research project (Sanction: NCPOR/2019/PACER-POP/ES-02 dated July 05, 2019) under the PACER Outreach Programme (POP) initiative, to undertake this research. This is NCPOR contribution no. J-94/2020-21.</t>
  </si>
  <si>
    <t>10.1016/j.polar.2021.100636</t>
  </si>
  <si>
    <t>WOS:000729935500004</t>
  </si>
  <si>
    <t>Novaglio, C; Blanchard, JL; Plank, MJ; Putten, EI; Audzijonyte, A; Porobic, J; Fulton, EA</t>
  </si>
  <si>
    <t>Novaglio, Camilla; Blanchard, Julia L.; Plank, Michael J.; Putten, Elizabeth, I; Audzijonyte, Asta; Porobic, Javier; Fulton, Elizabeth A.</t>
  </si>
  <si>
    <t>Exploring trade-offs in mixed fisheries by integrating fleet dynamics into multispecies size-spectrum models</t>
  </si>
  <si>
    <t>JOURNAL OF APPLIED ECOLOGY</t>
  </si>
  <si>
    <t>catch diversification; fisheries economy; fisheries management; fleet competition; fleet interaction; indicators; socio-ecological systems; specialisation</t>
  </si>
  <si>
    <t>MANAGEMENT; DIVERSIFICATION; CONSEQUENCES; POPULATION; OBJECTIVES</t>
  </si>
  <si>
    <t>Ecosystem-based fisheries management aims to ensure ecologically sustainable fishing while maximising socio-economic benefits. Achieving this goal for mixed fisheries requires better understanding of the effects of competing fishing fleets on shared resources and economic performance. Proposed management strategies that promote either specialisation or diversification of catches may result in unintended consequences for ecosystem-based management. Here, we ask the following questions: does increased or decreased competition among fleets lead to better ecological and socio-economic fishery outcomes? How effective are currently proposed management strategies for achieving these outcomes? We integrated fleet dynamics into a multispecies size-spectrum model and parameterised this model to represent Australian Southern and Eastern Scalefish and Shark Mixed Fishery. We compared the fishery status quo to two extreme scenarios: no competition, where each species is fished only by one fleet (specialisation); and maximal competition, where all fleets catch all species (diversification). To answer our second question, we considered three more plausible scenarios resulting from proposed management strategies: decreased competition due to reduced bycatch, and increased competition due to increased catches of under-utilised or valuable species. We used indicators to explore scenarios' outcomes. Our model reproduced observed trends in fishing effort and yield. Extreme scenarios showed that a fishery dependent on single species management structures is more likely to achieve ecosystem-based management objectives if fleets do not compete, while maximal competition can lead to socio-economic loss as management buffers the ecological impact of diversifying. The more plausible scenarios showed little improvement over the status quo, with mixed ecological and negative economic effects. Synthesis and applications. Our model can be applied to assess mixed fisheries ecosystem-based management strategies. Our results show that, under single species management approaches, greatest outcomes can be achieved when fleets are specialised, whereas managing fleets that catch similar species is unlikely to be successful. They question the effectiveness of these management approaches in providing resilience for mixed fisheries facing changes and highlight the need to account for fleet interactions in the evaluation of management strategies to avert unintended risks.</t>
  </si>
  <si>
    <t>[Novaglio, Camilla; Putten, Elizabeth, I; Porobic, Javier; Fulton, Elizabeth A.] CSIRO Oceans &amp; Atmosphere, Hobart, Tas, Australia; [Novaglio, Camilla; Blanchard, Julia L.; Putten, Elizabeth, I; Audzijonyte, Asta; Porobic, Javier; Fulton, Elizabeth A.] Univ Tasmania, Ctr Marine Socioecol, Hobart, Tas, Australia; [Novaglio, Camilla; Blanchard, Julia L.; Audzijonyte, Asta] Inst Marine &amp; Antarctic Studies, Hobart, Tas, Australia; [Plank, Michael J.] Univ Canterbury, Sch Math &amp; Stat, Christchurch, New Zealand; [Plank, Michael J.] Te Punaha Matatini, Auckland, New Zealand</t>
  </si>
  <si>
    <t>Commonwealth Scientific &amp; Industrial Research Organisation (CSIRO); University of Tasmania; University of Tasmania; University of Canterbury</t>
  </si>
  <si>
    <t>Novaglio, C (corresponding author), CSIRO Oceans &amp; Atmosphere, Hobart, Tas, Australia.;Novaglio, C (corresponding author), Univ Tasmania, Ctr Marine Socioecol, Hobart, Tas, Australia.;Novaglio, C (corresponding author), Inst Marine &amp; Antarctic Studies, Hobart, Tas, Australia.</t>
  </si>
  <si>
    <t>camilla.novaglio@gmail.com</t>
  </si>
  <si>
    <t>Plank, Michael J/H-8030-2019; Fulton, Beth/A-2871-2008; Porobic, Javier/J-7940-2015</t>
  </si>
  <si>
    <t>Plank, Michael J/0000-0002-7539-3465; Novaglio, Camilla/0000-0003-3681-1377; Porobic, Javier/0000-0001-5642-5372</t>
  </si>
  <si>
    <t>0021-8901</t>
  </si>
  <si>
    <t>1365-2664</t>
  </si>
  <si>
    <t>J APPL ECOL</t>
  </si>
  <si>
    <t>J. Appl. Ecol.</t>
  </si>
  <si>
    <t>10.1111/1365-2664.14086</t>
  </si>
  <si>
    <t>ZK7VH</t>
  </si>
  <si>
    <t>WOS:000728052500001</t>
  </si>
  <si>
    <t>Anderson, MPBC; Fenberg, PB; Griffiths, HJ; Linse, K</t>
  </si>
  <si>
    <t>Anderson, Madeline P. B. C.; Fenberg, Phillip B.; Griffiths, Huw J.; Linse, Katrin</t>
  </si>
  <si>
    <t>Macrobenthic Mollusca of the Prince Gustav Channel, Eastern Antarctic Peninsula: An Area Undergoing Colonisation</t>
  </si>
  <si>
    <t>assemblage structure; Bivalvia; Scaphopoda; biodiversity; Southern Ocean; Weddell Sea</t>
  </si>
  <si>
    <t>SOUTH-SHETLAND ISLANDS; ICE-SHELF; BIOGEOGRAPHICAL PATTERNS; BENTHIC ASSEMBLAGES; BELLINGSHAUSEN SEA; SIGNY ISLAND; SOFT-BOTTOM; ROSS SEA; DIVERSITY; GASTROPODA</t>
  </si>
  <si>
    <t>In 2018 RRS James Clark Ross investigated the marine benthic biodiversity of the Prince Gustav Channel area which separates the eastern coast of the Antarctic Peninsula from James Ross Island. The southern end of this channel had been covered by the Prince Gustav Ice Shelf until its collapse in 1995. Benthic samples were collected by an epibenthic sledge at six stations (200-1,200 m depth) in the channel and adjacent Duse Bay. In total 20,307 live collected mollusc specimens belonging to 50 species and 4 classes (Solenogastres, Bivalvia, Gastropoda, and Scaphopoda) were identified. The area may be characterised by it's low species richness (ranging from 7 to 39 species per station) but high abundances (specifically of the Scaphopods with 11,331 specimens). The functional traits of the community were dominated by motile development and mobility type. Assemblage analyses of the molluscan species abundances within the Prince Gustav Channel stations sit distinct, with no pattern by depth or location. However, when bivalve assemblages were analysed with reference to the wider Weddell Gyre region (15 stations from 300 to 2,000 m depth), the Prince Gustav Channel sits distinct from the other Weddell Gyre stations with a higher dissimilarity between the deeper or more geographically distant areas. The Prince Gustav Channel is undergoing colonisation following the recent ice shelf collapse. With many Antarctic ice shelves threatened under climate warming, this area, with future monitoring, may serve as a case study of benthic faunal succession.</t>
  </si>
  <si>
    <t>[Anderson, Madeline P. B. C.; Fenberg, Phillip B.] Univ Southampton Waterfront Campus, Natl Oceanog Ctr, Sch Ocean &amp; Earth Sci, Southampton, Hants, England; [Anderson, Madeline P. B. C.; Griffiths, Huw J.; Linse, Katrin] British Antarctic Survey, Biodivers Evolut &amp; Adaptat Team, Cambridge, England</t>
  </si>
  <si>
    <t>NERC National Oceanography Centre; University of Southampton; UK Research &amp; Innovation (UKRI); Natural Environment Research Council (NERC); NERC British Antarctic Survey</t>
  </si>
  <si>
    <t>Anderson, MPBC (corresponding author), Univ Southampton Waterfront Campus, Natl Oceanog Ctr, Sch Ocean &amp; Earth Sci, Southampton, Hants, England.;Anderson, MPBC (corresponding author), British Antarctic Survey, Biodivers Evolut &amp; Adaptat Team, Cambridge, England.</t>
  </si>
  <si>
    <t>ma8g17@soton.ac.uk</t>
  </si>
  <si>
    <t>Griffiths, Huw J/D-4234-2009</t>
  </si>
  <si>
    <t>Griffiths, Huw J/0000-0003-1764-223X; Anderson, Madeline/0000-0001-5967-311X</t>
  </si>
  <si>
    <t>NERC [NE/R012296/1, bas0100036] Funding Source: UKRI</t>
  </si>
  <si>
    <t>10.3389/fmars.2021.771369</t>
  </si>
  <si>
    <t>XS2MX</t>
  </si>
  <si>
    <t>WOS:000732750500001</t>
  </si>
  <si>
    <t>Thakur, PK; Swain, AK; Dhote, PR; Kumar, P; Kaushik, S; Gajbhiye, D; Mahagaonkar, A; Sharma, V; Dharwadkar, A; Aggarwal, SP; Beg, J; Chauhan, P; Kumar, AS</t>
  </si>
  <si>
    <t>Thakur, Praveen K.; Swain, Ashit K.; Dhote, Pankaj R.; Kumar, Pradeep; Kaushik, Suvrat; Gajbhiye, Deepak; Mahagaonkar, Anirudha; Sharma, Vishal; Dharwadkar, Amit; Aggarwal, S. P.; Beg, Javed; Chauhan, Prakash; Kumar, A. Senthil</t>
  </si>
  <si>
    <t>Satellite and ground based estimates for ice surface velocities in the part of central Dronning Maud Land, East Antarctica: Implications for ice flux calculations</t>
  </si>
  <si>
    <t>Icesheet; Interferometry; Ice stream velocity; Ice fluxes; Mass balance</t>
  </si>
  <si>
    <t>MASS-BALANCE; SCHIRMACHER OASIS; SHEET MOTION; RADAR INTERFEROMETRY; SNOW; GLACIER; FLOW; DYNAMICS; CLIMATE; DISCRIMINATION</t>
  </si>
  <si>
    <t>The ice sheet and glaciers of Antarctica and Greenland represent the largest sources of freshwater on planet Earth. The understanding and quantification of their dynamic properties such as albedo, precipitation, ice mass movement, and ice elevation changes are critical for the improved climate and mass balance models. The present study utilizes space-borne optical and synthetic aperture radar (SAR) imagery to measure the ice surface velocity at high spatial resolution for a part of the central Dronning Maud Land (cDML), East Antarctica. The datasets from Landsat-8 and Sentinel-1 SAR satellite are used for ice stream velocity estimation using feature-offset tracking and differential interferometric SAR (DInSAR) methods. The derived velocity products are validated with ground based stakes network at annual time scale. The fundamental ice flow laws are used to estimate the ice outflux or discharge for selected ice stream drainage basins of cDML at fluxgate locations. The ice stream basin has been delineated using combination of elevation, slope and continental scale velocity maps. The ice influx for study area is estimated using ECMWF fifth generation reanalysis (ERA5) and Regional Atmospheric Climate Model (RACMO) v2.3 model outputs. The estimated influx and outflux are in the ranges of 0.18-4.167 Gt/y and 0.201 to 1.278 Gt/y respectively, indicating net positive mass balance for the selected area.</t>
  </si>
  <si>
    <t>[Thakur, Praveen K.; Dhote, Pankaj R.; Kaushik, Suvrat; Mahagaonkar, Anirudha; Sharma, Vishal; Aggarwal, S. P.; Chauhan, Prakash; Kumar, A. Senthil] Indian Space Res Org ISRO, Indian Inst Remote Sensing, IIRS, 4 Kalidas Rd, Dehra Dun 248001, Uttarakhand, India; [Swain, Ashit K.; Kumar, Pradeep; Gajbhiye, Deepak; Dharwadkar, Amit] Geol Survey India, Polar Studies Div, Faridabad, India; [Kaushik, Suvrat] Univ Savoie Mt Blanc, EDYTEM CNRS, LISTIC, Annecy, France; [Mahagaonkar, Anirudha] Norwegian Polar Res Inst, Fram Ctr, Post Box 6606, N-9296 Tromso, Norway; [Mahagaonkar, Anirudha; Beg, Javed] NCPOR, Natl Ctr Polar &amp; Ocean Res, Vasco Da Gama, Goa, India; [Kumar, A. Senthil] Kongu Engn Coll, Erode 638060, TN, India</t>
  </si>
  <si>
    <t>Department of Space (DoS), Government of India; Indian Space Research Organisation (ISRO); Indian Institute of Remote Sensing (IIRS); Geological Survey India; Universite Savoie Mont Blanc; Norwegian Polar Institute; Ministry of Earth Sciences (MoES) - India; National Centre for Polar and Ocean Research (NCPOR); Kongu Engineering College</t>
  </si>
  <si>
    <t>Thakur, PK (corresponding author), Indian Space Res Org ISRO, Indian Inst Remote Sensing, IIRS, 4 Kalidas Rd, Dehra Dun 248001, Uttarakhand, India.</t>
  </si>
  <si>
    <t>praveen@iirs.gov.in</t>
  </si>
  <si>
    <t>Kaushik, Suvrat/0000-0002-8947-5234; Sharma, Vishal/0000-0002-1946-2868; Dhote, Pankaj R./0000-0002-3483-0059</t>
  </si>
  <si>
    <t>NCPOR; ISRO [ISEA-37-39]</t>
  </si>
  <si>
    <t>NCPOR; ISRO</t>
  </si>
  <si>
    <t>The authors are sincerely thankful to chairman, ISRO, Director General, GSI, and Ministry of Earth Science (MoES) to give full support and sponsorship to actively participate in the ISEA-36, 37, 38 and 39. We thank the infallible support and encouragement of Director, NCPOR, Goa, and DG, GSI, Kolkata to pursue and complete this work. Special thanks to Maitri station leaders of ISEA-35 to 38, along with many courageous and dedicated staff and logistic support personals of NCPOR Goa, who helped us to complete our scientific measurements during ISEA's summer field expeditions. Thanks are also due to Dr Ian Joughin for his help and suggestions to estimate the 2-D glacier velocity using combinations of ascending and descending pass InSAR datasets. The present study was supported by NCPOR and ISRO under project Ice sheet, glacier and lake dynamics study in parts of Antarctic using remote sensing and modelling approach, for ISEA-37-39. Our sincere thanks to anonymous reviewers for their critical comments and suggestions, which helped us immensely to improve our manuscript.</t>
  </si>
  <si>
    <t>10.1016/j.polar.2021.100737</t>
  </si>
  <si>
    <t>WOS:000729943900005</t>
  </si>
  <si>
    <t>Marcondes, MCC; Cheeseman, T; Jackson, JA; Friedlaender, AS; Pallin, L; Olio, M; Wedekin, LL; Daura-Jorge, FG; Cardoso, J; Santos, JDF; Fortes, RC; Araújo, MF; Bassoi, M; Beaver, V; Bombosch, A; Clark, CW; Denkinger, J; Boyle, A; Rasmussen, K; Savenko, O; Avila, IC; Palacios, DM; Kennedy, AS; Sousa-Lima, RS</t>
  </si>
  <si>
    <t>Marcondes, M. C. C.; Cheeseman, T.; Jackson, J. A.; Friedlaender, A. S.; Pallin, L.; Olio, M.; Wedekin, L. L.; Daura-Jorge, F. G.; Cardoso, J.; Santos, J. D. F.; Fortes, R. C.; Araujo, M. F.; Bassoi, M.; Beaver, V.; Bombosch, A.; Clark, C. W.; Denkinger, J.; Boyle, A.; Rasmussen, K.; Savenko, O.; Avila, I. C.; Palacios, D. M.; Kennedy, A. S.; Sousa-Lima, R. S.</t>
  </si>
  <si>
    <t>The Southern Ocean Exchange: porous boundaries between humpback whale breeding populations in southern polar waters</t>
  </si>
  <si>
    <t>MEGAPTERA-NOVAEANGLIAE POPULATIONS; GENETIC-STRUCTURE; FEEDING GROUNDS; ATLANTIC; PACIFIC; HEMISPHERE; WESTERN; CONSERVATION; MOVEMENTS; SCIENCE</t>
  </si>
  <si>
    <t>Humpback whales (Megaptera novaeangliae) are a cosmopolitan species and perform long annual migrations between low-latitude breeding areas and high-latitude feeding areas. Their breeding populations appear to be spatially and genetically segregated due to long-term, maternally inherited fidelity to natal breeding areas. In the Southern Hemisphere, some humpback whale breeding populations mix in Southern Ocean waters in summer, but very little movement between Pacific and Atlantic waters has been identified to date, suggesting these waters constituted an oceanic boundary between genetically distinct populations. Here, we present new evidence of summer co-occurrence in the West Antarctic Peninsula feeding area of two recovering humpback whale breeding populations from the Atlantic (Brazil) and Pacific (Central and South America). As humpback whale populations recover, observations like this point to the need to revise our perceptions of boundaries between stocks, particularly on high latitude feeding grounds. We suggest that this Southern Ocean Exchange may become more frequent as populations recover from commercial whaling and climate change modifies environmental dynamics and humpback whale prey availability.</t>
  </si>
  <si>
    <t>[Marcondes, M. C. C.; Santos, J. D. F.; Araujo, M. F.] Inst Baleia Jubarte, Caravelas, BA, Brazil; [Cheeseman, T.; Olio, M.] Happywhale, Santa Cruz, CA USA; [Cheeseman, T.] Southern Cross Univ, Lismore, NSW, Australia; [Jackson, J. A.] British Antarctic Survey, Cambridge, England; [Friedlaender, A. S.] Univ Calif Santa Cruz, Inst Marine Sci, Santa Cruz, CA 95064 USA; [Pallin, L.] Univ Calif Santa Cruz, Ecol &amp; Evolutionary Biol, Santa Cruz, CA 95064 USA; [Wedekin, L. L.] Socioambiental Consultores Associados, Florianopolis, SC, Brazil; [Daura-Jorge, F. G.] Univ Fed Santa Catarina, Dept Ecol &amp; Zool, Florianopolis, SC, Brazil; [Cardoso, J.] PROBAV, Projeto Baleia Vista, Ilhabela, SP, Brazil; [Fortes, R. C.] Coronado Sailboat, Caravelas, BA, Brazil; [Bassoi, M.; Sousa-Lima, R. S.] Univ Fed Rio Grande do Norte, Grad Program Psychobiol, Biosci Ctr, Natal, RN, Brazil; [Beaver, V.] Grand Circle Cruise Line, Boston, MA USA; [Bombosch, A.] Polar Citizen Sci Collect, Gables, Cumbria, England; [Clark, C. W.] Cornell Univ, Cornell Lab Ornithol, Ctr Conservat Bioacoust, Ithaca, NY USA; [Denkinger, J.] Univ San Francisco Quito, Col Ciencias Biol &amp; Ambient, Quito, Ecuador; [Boyle, A.] Quark Expedit, Toronto, ON, Canada; [Rasmussen, K.] Panacetacea, St Paul, MN USA; [Savenko, O.] Natl Antarctic Sci Ctr Ukraine, Kiev, Ukraine; [Savenko, O.] Ukrainian Sci Ctr Ecol, Sea, Odessa, Ukraine; [Avila, I. C.] Univ Valle, Dept Biol, Grp Ecol Anim, Cali, Colombia; [Palacios, D. M.] Oregon State Univ, Marine Mammal Inst, Dept Fisheries Wildlife &amp; Conservat Sci, Newport, OR USA; [Kennedy, A. S.] Univ Washington, Ocean &amp; Ecosyst Studies CICOES, Cooperat Inst Climate, Seattle, WA USA; [Sousa-Lima, R. S.] Univ Fed Rio Grande do Norte, Biosci Ctr, Dept Physiol &amp; Behav, Natal, RN, Brazil</t>
  </si>
  <si>
    <t>Southern Cross University; UK Research &amp; Innovation (UKRI); Natural Environment Research Council (NERC); NERC British Antarctic Survey; University of California System; University of California Santa Cruz; University of California System; University of California Santa Cruz; Universidade Federal de Santa Catarina (UFSC); Universidade Federal do Rio Grande do Norte; Cornell University; Universidad San Francisco de Quito; Ministry of Education &amp; Science of Ukraine; State Institution National Antarctic Scientific Center; Universidad del Valle; Oregon State University; University of Washington; University of Washington Seattle; Universidade Federal do Rio Grande do Norte</t>
  </si>
  <si>
    <t>Sousa-Lima, RS (corresponding author), Univ Fed Rio Grande do Norte, Grad Program Psychobiol, Biosci Ctr, Natal, RN, Brazil.;Sousa-Lima, RS (corresponding author), Univ Fed Rio Grande do Norte, Biosci Ctr, Dept Physiol &amp; Behav, Natal, RN, Brazil.</t>
  </si>
  <si>
    <t>sousalima.renata@gmail.com</t>
  </si>
  <si>
    <t>Sousa-Lima, Renata S./AAD-4096-2020; Avila, Isabel C./ABG-9672-2021; Jackson, Jennifer A/E-7997-2013; Wedekin, Leonardo L/F-7014-2012; Sousa-Lima, Renata S./O-7550-2015</t>
  </si>
  <si>
    <t>Sousa-Lima, Renata S./0000-0002-2638-1695; Avila, Isabel C./0000-0003-1389-8908; Sousa-Lima, Renata S./0000-0002-2638-1695</t>
  </si>
  <si>
    <t>Coordenacao de Aperfeicoamento de Pessoal de Nivel Superior - Brasil (CAPES) [001, AUXPE 541/2016]; Conselho Nacional de Desenvolvimento Cientifico e Tecnologico Fellowships [DTI 443305/2019-6, PPq 312763/2019-0]; Petroleo Brasileiro S. A. (PETROBRAS); Cheesemans' Ecology Safaris; EU BEST medium grant [1594]; DARWIN award [DPLUS057]; WWF UK; South Georgia Heritage Trust; Friends of South Georgia Island; British Antarctic Survey Polar Science for Planet Earth Programme; National Science Foundation Office of Polar Programs grants [1643877, 1440435]; Colombian Ministry of Science, Technology and Innovation; Society for Marine Mammalogy; Canon National Parks Science Scholars Program 2003 Technology Innovation grant; Canon U.S.A; Animal Behavior Society Cetacean Conservation grant; Fundacao O Boticario de Protecao a Natureza; MacArthur Foundation; Office of Polar Programs (OPP); Directorate For Geosciences [1643877, 1440435] Funding Source: National Science Foundation</t>
  </si>
  <si>
    <t>Coordenacao de Aperfeicoamento de Pessoal de Nivel Superior - Brasil (CAPES)(Coordenacao de Aperfeicoamento de Pessoal de Nivel Superior (CAPES)); Conselho Nacional de Desenvolvimento Cientifico e Tecnologico Fellowships; Petroleo Brasileiro S. A. (PETROBRAS)(Fundacao de Amparo a Pesquisa do Amapa (FAPEAP)Petrobras); Cheesemans' Ecology Safaris; EU BEST medium grant; DARWIN award; WWF UK; South Georgia Heritage Trust; Friends of South Georgia Island; British Antarctic Survey Polar Science for Planet Earth Programme; National Science Foundation Office of Polar Programs grants; Colombian Ministry of Science, Technology and Innovation; Society for Marine Mammalogy; Canon National Parks Science Scholars Program 2003 Technology Innovation grant; Canon U.S.A; Animal Behavior Society Cetacean Conservation grant; Fundacao O Boticario de Protecao a Natureza; MacArthur Foundation; Office of Polar Programs (OPP); Directorate For Geosciences(National Science Foundation (NSF)NSF - Directorate for Geosciences (GEO))</t>
  </si>
  <si>
    <t>Funding is provided by Coordenacao de Aperfeicoamento de Pessoal de Nivel Superior - Brasil (CAPES) finance code 001 and scholarship number AUXPE 541/2016 to R. S. Sousa-Lima, Conselho Nacional de Desenvolvimento Cientifico e Tecnologico Fellowships to M. Bassoi (DTI 443305/2019-6) and R. S. Sousa-Lima (PPq 312763/2019-0), Petroleo Brasileiro S. A. (PETROBRAS), Cheesemans' Ecology Safaris, EU BEST medium grant number 1594 awarded to J. A. Jackson, DARWIN award number DPLUS057 awarded to J. A. Jackson, WWF UK, South Georgia Heritage Trust, Friends of South Georgia Island, British Antarctic Survey Polar Science for Planet Earth Programme, National Science Foundation Office of Polar Programs grants 1643877 and 1440435 awarded to A.S. Friedlaender and L. Pallin, Colombian Ministry of Science, Technology and Innovation Call 848 of 2019 awarded to I. C. Avila, Society for Marine Mammalogy Small-Grants-in-Aid of Research Grant awarded to R. S. Sousa-Lima, The Canon National Parks Science Scholars Program 2003 Technology Innovation grant awarded to R. S. Sousa-Lima, Canon U.S.A, Animal Behavior Society Cetacean Conservation grant awarded to R. S. Sousa- Lima, Fundacao O Boticario de Protecao a Natureza, and MacArthur Foundation.</t>
  </si>
  <si>
    <t>XU8RD</t>
  </si>
  <si>
    <t>WOS:000734524200124</t>
  </si>
  <si>
    <t>Björnsdotter, MK; Hartz, WF; Kallenborn, R; Jogsten, IE; Humby, JD; Kärrman, A; Yeung, LWY</t>
  </si>
  <si>
    <t>Bjornsdotter, Maria K.; Hartz, William F.; Kallenborn, Roland; Jogsten, Ingrid Ericson; Humby, Jack D.; Karrman, Anna; Yeung, Leo W. Y.</t>
  </si>
  <si>
    <t>Levels and Seasonal Trends of C1-C4 Perfluoroalkyl Acids and the Discovery of Trifluoromethane Sulfonic Acid in Surface Snow in the Arctic</t>
  </si>
  <si>
    <t>ENVIRONMENTAL SCIENCE &amp; TECHNOLOGY</t>
  </si>
  <si>
    <t>perfluoroalkyl substances; ultrashort-chain perfluoroalkyl acids; trifluoroacetic acid; solar radiation; atmospheric oxidation; atmospheric deposition; precursors; Arctic</t>
  </si>
  <si>
    <t>TRIFLUOROACETIC-ACID; ATMOSPHERIC CHEMISTRY; POLYFLUOROALKYL SUBSTANCES; POLYFLUORINATED COMPOUNDS; PERFLUORINATED CHEMICALS; HALOACETIC ACIDS; WET DEPOSITION; CL ATOM; WATERS; PRECIPITATION</t>
  </si>
  <si>
    <t>C-1-C-4 perfluoroalkyl acids (PFAAs) are highly persistent chemicals that have been found in the environment. To date, much uncertainty still exists about their sources and fate. The importance of the atmospheric degradation of volatile precursors to C-1-C-4 PFAAs were investigated by studying their distribution and seasonal variation in remote Arctic locations. C-1-C-4 PFAAs were measured in surface snow on the island of Spitsbergen in the Norwegian Arctic during January-August 2019. Trifluoroacetic acid (TFA), perfluoropropanoic acid (PFPrA), perfluorobutanoic acid (PFBA), and trifluoromethane sulfonic acid (TFMS) were detected in most samples, including samples collected at locations presumably receiving PFAA input solely from long-range processes. The flux of TFA, PFPrA, PFBA, and TFMS per precipitation event was in the ranges of 22-1800, 0.79-16, 0.19-170, and 1.5-57 ng/m(2), respectively. A positive correlation between the flux of TFA, PFPrA, and PFBA with downward short-wave solar radiation was observed. No correlation was observed between the flux of TFMS and solar radiation. These findings suggest that atmospheric transport of volatile precursors and their subsequent degradation plays a major role in the global distribution of C-2-C-4 perfluoroalkyl carboxylic acids and their consequential deposition in Arctic environments. The discovery of TFMS in surface snow at these remote Arctic locations suggests that TFMS is globally distributed. However, the transport mechanism to the Arctic environment remains unknown.</t>
  </si>
  <si>
    <t>[Bjornsdotter, Maria K.; Jogsten, Ingrid Ericson; Karrman, Anna; Yeung, Leo W. Y.] Orebro Univ, Man Technol Environm Res Ctr MTM, SE-70182 Orebro, Sweden; [Hartz, William F.] Univ Oxford, Dept Earth Sci, Oxford OX1 3AN, England; [Hartz, William F.; Kallenborn, Roland] Univ Ctr Svalbard UNIS, Dept Arctic Geol, NO-9171 Longyearbyen, Svalbard, Svalbard; [Kallenborn, Roland] Norwegian Univ Life Sci NMBU, Fac Chem Biotechnol &amp; Food Sci KBM, NO-1432 As, Norway; [Humby, Jack D.] British Antarctic Survey, Ice Dynam &amp; Paleoclimate, Cambridge CB3 0ET, England</t>
  </si>
  <si>
    <t>Orebro University; University of Oxford; Norwegian University of Life Sciences; UK Research &amp; Innovation (UKRI); Natural Environment Research Council (NERC); NERC British Antarctic Survey</t>
  </si>
  <si>
    <t>Björnsdotter, MK (corresponding author), Orebro Univ, Man Technol Environm Res Ctr MTM, SE-70182 Orebro, Sweden.</t>
  </si>
  <si>
    <t>maria.bjornsdotter@oru.se</t>
  </si>
  <si>
    <t>黄, 微/JUU-4277-2023; Hartz, William/JJD-2403-2023; Kallenborn, Roland/F-8368-2011; Yeung, Leo/P-1967-2015</t>
  </si>
  <si>
    <t>Hartz, William/0000-0003-1735-3307; Kallenborn, Roland/0000-0003-1703-2538; Yeung, Leo/0000-0001-6800-5658; Bjornsdotter, Maria/0000-0002-8679-6841; humby, jack/0000-0003-0526-2766</t>
  </si>
  <si>
    <t>Swedish Research Council Formas [2016-01284]; Swedish Environmental Protection Agency [2219-16-030, 2219-17-012]; British National Environmental Research Council; Oxford Doctoral Training Partnership in Environmental Research [NE/L002612/1]; Burdett-Coutts Trust; Svalbard Science Forum Arctic Field Grant 2019 [11121]; Research Council of Norway (SvalPOP) [196218/S30]; Fram Centre Flagship program (PharmArctic) [534/75219]; Knowledge Foundation (Enforce Research Project) [20160019]; Formas [2016-01284] Funding Source: Formas; Swedish Research Council [2016-01284] Funding Source: Swedish Research Council</t>
  </si>
  <si>
    <t>Swedish Research Council Formas(Swedish Research Council Formas); Swedish Environmental Protection Agency; British National Environmental Research Council; Oxford Doctoral Training Partnership in Environmental Research; Burdett-Coutts Trust; Svalbard Science Forum Arctic Field Grant 2019; Research Council of Norway (SvalPOP)(Research Council of Norway); Fram Centre Flagship program (PharmArctic); Knowledge Foundation (Enforce Research Project); Formas(Swedish Research Council Formas); Swedish Research Council(Swedish Research Council)</t>
  </si>
  <si>
    <t>The authors gratefully acknowledge financial support from the Swedish Research Council Formas (2016-01284), the Swedish Environmental Protection Agency (2219-16-030 and 2219-17-012), the British National Environmental Research Council and the Oxford Doctoral Training Partnership in Environmental Research (NE/L002612/1), the Burdett-Coutts Trust, the Svalbard Science Forum Arctic Field Grant 2019 (RiS ID 11121), the Research Council of Norway (SvalPOP; 196218/S30), the Fram Centre Flagship program (PharmArctic; 534/75219), and the Knowledge Foundation (Enforce Research Project, 20160019). The authors would also like to thank the Logistics Department and colleagues at the University Centre in Svalbard for help in organizing and assisting with fieldwork.</t>
  </si>
  <si>
    <t>0013-936X</t>
  </si>
  <si>
    <t>1520-5851</t>
  </si>
  <si>
    <t>ENVIRON SCI TECHNOL</t>
  </si>
  <si>
    <t>Environ. Sci. Technol.</t>
  </si>
  <si>
    <t>DEC 7</t>
  </si>
  <si>
    <t>10.1021/acs.est.1c04776</t>
  </si>
  <si>
    <t>ZE2KP</t>
  </si>
  <si>
    <t>WOS:000758717600030</t>
  </si>
  <si>
    <t>Leistenschneider, C; Burkhardt-Holm, P; Mani, T; Primpke, S; Taubner, H; Gerdts, G</t>
  </si>
  <si>
    <t>Leistenschneider, Clara; Burkhardt-Holm, Patricia; Mani, Thomas; Primpke, Sebastian; Taubner, Heidi; Gerdts, Gunnar</t>
  </si>
  <si>
    <t>Microplastics in the Weddell Sea (Antarctica): A Forensic Approach for Discrimination between Environmental and Vessel-Induced Microplastics</t>
  </si>
  <si>
    <t>Antarctica; Weddell Sea; microplastics; ship paint; FTIR; mu XRF</t>
  </si>
  <si>
    <t>ROSS SEA; PARTICLES; SEDIMENTS; POLLUTION; RAMAN; SIZE; SPECTROSCOPY; ECOSYSTEMS; SAMPLES; WATERS</t>
  </si>
  <si>
    <t>Microplastic (MP) pollution has been found in the Southern Ocean surrounding Antarctica, but many local regions within this vast area remain uninvestigated. The remote Weddell Sea contributes to the global thermohaline circulation, and one of the two Antarctic gyres is located in that region. In the present study, we evaluate MP (&gt;300 mu m) concentration and composition in surface (n = 34) and subsurface water samples (n = 79, similar to 11.2 m depth) of the Weddell Sea. All putative MP were analyzed by attenuated total reflection Fourier transform infrared (ATR-FTIR) spectroscopy. MP was found in 65% of surface and 11.4% of subsurface samples, with mean (+/- standard deviation (SD)) concentrations of 0.01 (+/- 0.01 SD) MP m(-3) and 0.04 (+/- 0.1 SD) MP m(-3), respectively, being within the range of previously reported values for regions south of the Polar Front. Additionally, we aimed to determine whether identified paint fragments (n = 394) derive from the research vessel. Environmentally sampled fragments (n = 101) with similar ATR-FTIR spectra to reference paints from the research vessel and fresh paint references generated in the laboratory were further subjected to micro-X-ray fluorescence spectroscopy (mu XRF) to compare their elemental composition. This revealed that 45.5% of all recovered MP derived from vesselinduced contamination. However, 11% of the measured fragments could be distinguished from the reference paints via their elemental composition. This study demonstrates that differentiation based purely on visual characteristics and FTIR spectroscopy might not be sufficient for accurately determining sample contamination sources.</t>
  </si>
  <si>
    <t>[Leistenschneider, Clara; Burkhardt-Holm, Patricia; Mani, Thomas] Univ Basel, Dept Environm Sci, Man Soc Environm Program, CH-4051 Basel, Switzerland; [Leistenschneider, Clara; Primpke, Sebastian; Gerdts, Gunnar] Helmholtz Zentrum Polar &amp; Meeresforsch, Biol Anstalt Helgoland, Dept Microbial Ecol, Alfred Wegener Inst, D-27498 Helgoland, Germany; [Mani, Thomas] Ocean Cleanup Fdn, Batavierenstr 15, NL-3014 JH Rotterdam, Netherlands; [Taubner, Heidi] Univ Bremen, Organ Geochem Grp, MARUM Ctr Marine Environm Sci, D-28359 Bremen, Germany; [Taubner, Heidi] Univ Bremen, Fac Geosci, D-28359 Bremen, Germany</t>
  </si>
  <si>
    <t>University of Basel; Helmholtz Association; Alfred Wegener Institute, Helmholtz Centre for Polar &amp; Marine Research; University of Bremen; University of Bremen</t>
  </si>
  <si>
    <t>Leistenschneider, C (corresponding author), Univ Basel, Dept Environm Sci, Man Soc Environm Program, CH-4051 Basel, Switzerland.;Leistenschneider, C (corresponding author), Helmholtz Zentrum Polar &amp; Meeresforsch, Biol Anstalt Helgoland, Dept Microbial Ecol, Alfred Wegener Inst, D-27498 Helgoland, Germany.</t>
  </si>
  <si>
    <t>clara.leistenschneider@unibas.ch</t>
  </si>
  <si>
    <t>Primpke, Sebastian/Q-5606-2016; Leistenschneider, Clara/AAS-2933-2020</t>
  </si>
  <si>
    <t>Primpke, Sebastian/0000-0001-7633-8524; Leistenschneider, Clara/0000-0002-2350-5939; Burkhardt-Holm, Patricia/0000-0001-5396-6405</t>
  </si>
  <si>
    <t>Ricola Foundation, Laufen, Switzerland; Freiwillige Akademische Gesellschaft Basel (FAG), Switzerland; Alfred-Wegener Institute for Polar and Marine Research, Germany [AWI_ PS111_ 00, AWI_PS117_04]; Deutsche Forschungsgemeinschaft</t>
  </si>
  <si>
    <t>Ricola Foundation, Laufen, Switzerland; Freiwillige Akademische Gesellschaft Basel (FAG), Switzerland; Alfred-Wegener Institute for Polar and Marine Research, Germany; Deutsche Forschungsgemeinschaft(German Research Foundation (DFG))</t>
  </si>
  <si>
    <t>This work was supported by the Ricola Foundation, Laufen, Switzerland (no grant number), the Freiwillige Akademische Gesellschaft Basel (FAG), Switzerland (no grant number), and the Alfred-Wegener Institute for Polar and Marine Research, Germany (grant number AWI_ PS111_ 00 and AWI_PS117_04). The mu-XRF system was financed by the Deutsche Forschungsgemeinschaft with funds granted to the University of Bremen in the framework of the Excellence Initiative.</t>
  </si>
  <si>
    <t>10.1021/acs.est.1c05207</t>
  </si>
  <si>
    <t>WOS:000758717600035</t>
  </si>
  <si>
    <t>Jazdzewska, AM; Horton, T; Hendrycks, E; Mamos, T; Driskell, AC; Brix, S; Arbizu, PM</t>
  </si>
  <si>
    <t>Jazdzewska, Anna M.; Horton, Tammy; Hendrycks, Ed; Mamos, Tomasz; Driskell, Amy C.; Brix, Saskia; Arbizu, Pedro Martinez</t>
  </si>
  <si>
    <t>Pandora's Box in the Deep Sea -Intraspecific Diversity Patterns and Distribution of Two Congeneric Scavenging Amphipods</t>
  </si>
  <si>
    <t>biodiversity; biogeography; species connectivity; abyss; COI barcoding; 16S rRNA gene; 28S rRNA gene; species delimitation</t>
  </si>
  <si>
    <t>MID-ATLANTIC RIDGE; SPECIES DELIMITATION; POPULATION-STRUCTURE; CRUSTACEA-AMPHIPODA; STATISTICAL TESTS; ANTARCTIC SHELF; ABYSSAL; GENUS; DIVERSIFICATION; DECOMPRESSION</t>
  </si>
  <si>
    <t>Paralicella tenuipes Chevreux, 1908 and Paralicella caperesca Shulenberger and Barnard, 1976 are known as widely distributed deep-sea scavenging amphipods. Some recent studies based on genetic data indicated the presence of high intraspecific variation of P. caperesca suggesting it is a species complex. Based on published molecular data from the Pacific and Indian oceans and new material obtained from the North and South Atlantic, we integrated the knowledge on the intraspecific variation and species distribution of the two nominal taxa. The study included analysis of three genes (COI, 16S rRNA, 28S rRNA) and revealed the existence of a single Molecular Operational Taxonomic Unit (MOTU) within P. tenuipes and six different MOTUs forming P. caperesca. The distribution pattern of the recognized lineages varied with three (P. tenuipes, MOTU 1 and MOTU 5 of P. caperesca) being widely distributed. There was evidence of contemporary population connectivity expressed by the share of the same COI haplotypes by individuals from very distant localities. At the same time no signal of recent demographic changes was observed within the studied taxa. The time-calibrated phylogeny suggested the emergence of species to be at the time of Mesozoic/Cenozoic transition that may be associated with global changes of the ocean circulation and deep sea water cooling.</t>
  </si>
  <si>
    <t>[Jazdzewska, Anna M.; Mamos, Tomasz] Univ Lodz, Fac Biol &amp; Environm Protect, Dept Invertebrate Zool &amp; Hydrobiol, Lodz, Poland; [Horton, Tammy] Natl Oceanog Ctr, Southampton, Hants, England; [Hendrycks, Ed] Canadian Museum Nat Res &amp; Collect, Ottawa, ON, Canada; [Driskell, Amy C.] Smithsonian Inst, Natl Museum Nat Hist, Labs Analyt Biol, Washington, DC 20560 USA; [Brix, Saskia] CeNak Zool Museum, Dept Marine Biodivers Res DZMB, Bioctr Grindel, Hamburg, Germany; [Arbizu, Pedro Martinez] German Ctr Marine Biodivers Res DZMB, Wilhelmshaven, Germany</t>
  </si>
  <si>
    <t>University of Lodz; NERC National Oceanography Centre; Smithsonian Institution; Smithsonian National Museum of Natural History; University of Hamburg</t>
  </si>
  <si>
    <t>Jazdzewska, AM (corresponding author), Univ Lodz, Fac Biol &amp; Environm Protect, Dept Invertebrate Zool &amp; Hydrobiol, Lodz, Poland.</t>
  </si>
  <si>
    <t>anna.jazdzewska@biol.uni.lodz.pl</t>
  </si>
  <si>
    <t>Horton, Tammy/G-3590-2010; Mamos, Tomasz/E-4529-2015</t>
  </si>
  <si>
    <t>Horton, Tammy/0000-0003-4250-1068; Mamos, Tomasz/0000-0002-0524-3015; Jazdzewska, Anna/0000-0003-2529-0641</t>
  </si>
  <si>
    <t>German Science Foundation; Canadian Museum of Nature [RS01, RS16, RCZ09]; UK Seabed Resources Ltd.; NERC [NE/R015953/1]; Smithsonian Institution; Canadian Centre for DNA Barcoding/Guelph; University of Lodz [B2011000000069]; CeDaMar DNA barcoding deep-sea Peracarida project; NERC [NE/R015953/1] Funding Source: UKRI</t>
  </si>
  <si>
    <t>German Science Foundation(German Research Foundation (DFG)); Canadian Museum of Nature; UK Seabed Resources Ltd.; NERC(UK Research &amp; Innovation (UKRI)Natural Environment Research Council (NERC)); Smithsonian Institution(Smithsonian Institution); Canadian Centre for DNA Barcoding/Guelph; University of Lodz; CeDaMar DNA barcoding deep-sea Peracarida project; NERC(UK Research &amp; Innovation (UKRI)Natural Environment Research Council (NERC))</t>
  </si>
  <si>
    <t>We thank the Masters and crew of the R/V Meteor, the R/V Melville and the R/V Thomas G. Thompson, and the RRS James Cook Cruise 165 and RRS Discovery Cruise 103 for their assistance during Meteor 79/1 DIVA-3, ABYSSLINE-1, ABYSSLINE-2, and expeditions to the Porcupine Abyssal Plain Sustained Observatory, respectively. The M79/1 DIVA-3 expedition was carried out with the support of German Science Foundation. The participation of EH in DIVA-3 was supported by the Canadian Museum of Nature funding numbers RS01, RS16 and RCZ09. Both ABYSSLINE cruises were funded by the UK Seabed Resources Ltd., while expeditions to the Porcupine Abyssal Plain Sustained Observatory were supported by the NERC National Capability funding to the National Oceanography Centre, as part of the Climate Linked Atlantic Section Science (CLASS) program (Grant Reference NE/R015953/1). The sorting of the material from DIVA-3 expedition took place at the DZMB Hamburg with help of Karen Jeskulke and Antje Fischer. The molecular work was conducted with the support of Smithsonian Institution and Canadian Centre for DNA Barcoding/Guelph, the CeDaMar DNA barcoding deep-sea Peracarida project and internal funds of the University of Lodz (B2011000000069). This is publication 82 of the Senckenberg am Meer Metabarcoding and DNA Laboratory.</t>
  </si>
  <si>
    <t>10.3389/fmars.2021.750180</t>
  </si>
  <si>
    <t>YJ7KW</t>
  </si>
  <si>
    <t>WOS:000744710100001</t>
  </si>
  <si>
    <t>Evangelinos, D; Escutia, C; van de Flierdt, T; Valero, L; Flores, JA; Harwood, DM; Hoem, FS; Bijl, P; Etourneau, J; Kreissig, K; Nilsson-Kerr, K; Holder, L; López-Quirós, A; Salabarnada, A</t>
  </si>
  <si>
    <t>Evangelinos, Dimitris; Escutia, Carlota; van de Flierdt, Tina; Valero, Luis; Flores, Jose-Abel; Harwood, David M.; Hoem, Frida S.; Bijl, Peter; Etourneau, Johan; Kreissig, Katharina; Nilsson-Kerr, Katrina; Holder, Liam; Lopez-Quiros, Adrian; Salabarnada, Ariadna</t>
  </si>
  <si>
    <t>Absence of a strong, deep-reaching Antarctic Circumpolar Current zonal flow across the Tasmanian gateway during the Oligocene to early Miocene</t>
  </si>
  <si>
    <t>ACC; CDW; Neodymium isotope ratios; Deep ocean circulation; Tasmanian Gateway; Oligocene-early Miocene</t>
  </si>
  <si>
    <t>ICE-SHEET VARIABILITY; OFFSHORE WILKES LAND; RARE-EARTH-ELEMENTS; SOUTHERN-OCEAN CIRCULATION; ND ISOTOPIC STRUCTURE; ROSS SEA; INDIAN-OCEAN; NEODYMIUM; EOCENE; SEAWATER</t>
  </si>
  <si>
    <t>The vigorous eastward flow of the Antarctic Circumpolar Current (ACC) connects all major ocean basins and plays a prominent role in the transport of heat, carbon and nutrients around the globe. However, the establishment of a deep circumpolar flow, similar to the present-day ACC, remains controversial thereby obscuring our understanding of its climatic impact. Deciphering the chemical composition of Circumpolar Deep Water (CDW) within the ACC can provide critical insights about its development and evolution. Here we present new fossil fish teeth/bone debris neodymium isotope (epsilon(Nd)) records from Deep Sea Drilling Project (DSDP) Sites 278 and 274 in the southwest Pacific Ocean, with the aim to trace changes in deep water masses across the Tasmanian Gateway between the early Oligocene and early Miocene (similar to 33-22 Ma). Site 274 provides the first Nd isotope record proximal to the Ross Sea during the Oligocene (33.5-23.4 Ma). Its Nd isotope composition shows excursions to very radiogenic values, epsilon(Nd(t)=) -3.1 and epsilon(Nd(t)=) - 3.7, at 33.5 Ma and 23.8 Ma, respectively, in response to major steps in Antarctic ice sheet expansion. A shift to lower, more unradiogenic epsilon(Nd)((t)) values between 29.7 and 29.1 Ma is linked to an increased influence of proto-CDW upwelling at the site. In contrast, the Nd isotope record from Site 278 in the southern Emerald Basin shows little variability epsilon(Nd)((t)) = -6.0 to -6.7) throughout the Oligocene and early Miocene (30.9-21.8 Ma). Comparison with published data north of the ACC path, demonstrates the presence of two deep water masses in the South Pacific prior to the inferred onset of the ACC (33-30 Ma), one occupying depths between similar to 2500 and 3000 m (epsilon(Nd(t)) = -3 to -5) and a deep/bottom water mass (&gt; 3000 m) with a more unradiogenic Nd isotope composition (epsilon(Nd(t)=) similar to -6). Site 278 located close to the proto-polar front (proto-PF) indicates that following the inferred onset of the ACC, deep waters bathing the southern Emerald Basin remained more radiogenic in the Southwest Pacific compared to sites along the proto-PF in the South Atlantic and Indian Ocean (epsilon(Nd(t)()=) similar to -8.1). This indicates a provinciality in Nd isotope compositions of deep waters along the proto-PF across the Tasmanian Gateway. Our data are incompatible with the existence of a modern-like homogenous (lateral and vertical) Nd isotope composition of CDW along the main flow path of the ACC in all oceanic basins in the Oligocene to early Miocene. We attribute distinct Nd isotope compositions of deep waters across the Tasmanian Gateway to reflect a less deep reaching and weaker ACC (proto-ACC) than today. Our findings suggest that the modern strong and deep-reaching ACC flow must have been developed at a later point in the Neogene.</t>
  </si>
  <si>
    <t>[Evangelinos, Dimitris; Etourneau, Johan] Univ Bordeaux, UMR EPOC CNRS 5805, Bordeaux, France; [Evangelinos, Dimitris; Escutia, Carlota; Lopez-Quiros, Adrian; Salabarnada, Ariadna] Univ Granada, Inst Andaluz Ciencias Tierra, CSIC, Av Palmeras 4, Armilla 18100, Spain; [van de Flierdt, Tina; Kreissig, Katharina; Holder, Liam] Dept Earth Sci &amp; Engn, South Kensington Campus, London SW7 2AZ, England; [Valero, Luis] Univ Geneva, Dept Sci Terre, Rue Maraichers 13, CH-1205 Geneva, Switzerland; [Flores, Jose-Abel] Univ Salamanca, Dept Geol, Salamanca 37008, Spain; [Harwood, David M.] Univ Nebraska, Earth &amp; Atmospher Sci, Lincoln, NE USA; [Hoem, Frida S.; Bijl, Peter] Univ Utrecht, Inst Environm Biol, Lab Palaeobot &amp; Palynol, Palaeoecol,Fac Sci, Budapestlann 4, NL-3584 CD Utrecht, Netherlands; [Etourneau, Johan] PSL Univ, EPHE, Paris, France; [Nilsson-Kerr, Katrina] Open Univ, Fac Sci Technol Engn &amp; Math, Sch Environm Earth &amp; Ecosyst Sci, Milton, Keynes, England; [Lopez-Quiros, Adrian] Aarhus Univ, Dept Geosci, Hoegh Guldbergs Gade 2, DK-8000 Aarhus C, Denmark</t>
  </si>
  <si>
    <t>Universite de Bordeaux; University of Granada; Consejo Superior de Investigaciones Cientificas (CSIC); CSIC - Instituto Andaluz de Ciencias de la Tierra (IACT); University of Geneva; University of Salamanca; University of Nebraska System; University of Nebraska Lincoln; Utrecht University; Universite PSL; Ecole Pratique des Hautes Etudes (EPHE); Open University - UK; Aarhus University</t>
  </si>
  <si>
    <t>Evangelinos, D (corresponding author), Univ Bordeaux, UMR EPOC CNRS 5805, Bordeaux, France.</t>
  </si>
  <si>
    <t>dimitrios.evangelinos@u-bordeaux.fr</t>
  </si>
  <si>
    <t>VALERO, LUIS/ABA-2245-2021; Evangelinos, Dimitris/ABH-5910-2020; Evagelinos, Dimitris/ISU-3607-2023; López Quirós, Adrián/K-6513-2017; Escutia, Carlota/B-8614-2015</t>
  </si>
  <si>
    <t>VALERO, LUIS/0000-0003-1356-721X; Evangelinos, Dimitris/0000-0002-4978-3056; López Quirós, Adrián/0000-0002-7522-2834; Nilsson-Kerr, Katrina/0000-0001-7379-2684; Salabarnada, Ariadna/0000-0003-0858-8083</t>
  </si>
  <si>
    <t>Alexander S. Onassis Public Benefit Foundation Ph.D. research grant [F ZL 016-1/2015-2016]; Spanish Ministry of Economy, Industry and Competitivity [CTM2017-89711-C2-1/2-P]; European Union through FEDER funds; ECORD Research grant; European Research Council [802835 OceaNice]; NWO polar programme [ALWPP2016.001]; NERC [NE/J021636/1, NE/I006257/1, NE/R018219/1, NE/P019080/1, NE/L004607/1] Funding Source: UKRI</t>
  </si>
  <si>
    <t>Alexander S. Onassis Public Benefit Foundation Ph.D. research grant; Spanish Ministry of Economy, Industry and Competitivity(Spanish Government); European Union through FEDER funds(European Union (EU)Marie Curie Actions); ECORD Research grant; European Research Council(European Research Council (ERC)); NWO polar programme; NERC(UK Research &amp; Innovation (UKRI)Natural Environment Research Council (NERC))</t>
  </si>
  <si>
    <t>This research used samples provided by the International Ocean Discovery Program (IODP). We acknowledge the staff and shipboard party from Legs 28 and 29. We thank the staff at the Gulf Coast core repository (GCR) for curating these cores and assistance in core handling and shipping. We also acknowledge the Paleomagnetic Laboratory of Barcelona (CSIC-CCiTUB). We also thank Denise Kulhanek and an anonymous reviewer for their constructive comments, which improved this paper. Funding to this research is provided by the Alexander S. Onassis Public Benefit Foundation Ph.D. research grant: F ZL 016-1/2015-2016; the Spanish Ministry of Economy, Industry and Competitivity (grants CTM2017-89711-C2-1/2-P), co-funded by the European Union through FEDER funds; and an ECORD Research grant awarded to DE. PKB and FH acknowledge funding through the European Research Council starting grant #802835 OceaNice and NWO polar programme grant ALWPP2016.001. This paper is a contribution to the SCAR PAIS Programme.</t>
  </si>
  <si>
    <t>10.1016/j.gloplacha.2021.103718</t>
  </si>
  <si>
    <t>YD5UJ</t>
  </si>
  <si>
    <t>Green Published, hybrid, Green Submitted</t>
  </si>
  <si>
    <t>WOS:000740506800004</t>
  </si>
  <si>
    <t>Manno, C; Peck, LV; Corsi, I; Bergami, E</t>
  </si>
  <si>
    <t>Manno, C.; Peck, L., V; Corsi, I; Bergami, E.</t>
  </si>
  <si>
    <t>Under pressure: Nanoplastics as a further stressor for sub-Antarctic pteropods already tackling ocean acidification</t>
  </si>
  <si>
    <t>Southern Ocean; Limacina retroversa; Multiple stressors; Polystyrene nanoparticles</t>
  </si>
  <si>
    <t>LIMACINA-HELICINA; POLYSTYRENE NANOPARTICLES; SEA; VULNERABILITY; ACCUMULATION; TEMPERATURES; DEGRADATION; MECHANISM; ARAGONITE; SEAWATER</t>
  </si>
  <si>
    <t>In the Southern Ocean (SO), plastic debris has already been found in waters and sediments. Nanoplastics (&lt;1 mu m) are expected to be as pervasive as their larger counterparts, but more harmful to biological systems, being able to enter cells and provoke toxicity. In the SO, (nano)plastic pollution occurs concomitantly with other environmental threats such as ocean acidification (OA), but the potential cumulative impact of these two challenges on SO marine ecosystems is still overlooked. Here the single and combined effects of nanoplastics and OA on the sub-Antarctic pteropod Limacina retroversa are investigated under laboratory conditions, using two surface charged polystyrene nanoparticles (PS NPs) as a proxy for nanoplastics. Sub-Antarctic pteropods are threatened by OA due to the sensitivity of their shells to changes in seawater carbonate chemistry. Short-term exposure (48 h) to PS NPs compromised the ability of pteropods to counteract OA stress, resulting in a negative effect on their survival. Our results highlights the importance of addressing plastic pollution in the context of climate change to identify realistic critical thresholds of SO pteropods.</t>
  </si>
  <si>
    <t>[Manno, C.; Peck, L., V; Bergami, E.] NERC, British Antarctic Survey, Madingley Rd, Cambridge CB3 0ET, England; [Corsi, I; Bergami, E.] Univ Siena, Dept Phys Earth &amp; Environm Sci, I-53100 Siena, Italy</t>
  </si>
  <si>
    <t>UK Research &amp; Innovation (UKRI); Natural Environment Research Council (NERC); NERC British Antarctic Survey; University of Siena</t>
  </si>
  <si>
    <t>Manno, C (corresponding author), NERC, British Antarctic Survey, Madingley Rd, Cambridge CB3 0ET, England.</t>
  </si>
  <si>
    <t>clanno@bas.ac.uk</t>
  </si>
  <si>
    <t>Bergami, Elisa/JFJ-1703-2023; Corsi, Ilaria/D-3795-2012</t>
  </si>
  <si>
    <t>Bergami, Elisa/0000-0001-8149-9584; Corsi, Ilaria/0000-0002-1811-3041; manno, clara/0000-0002-3337-6173</t>
  </si>
  <si>
    <t>Italian National Antarctic Program [PNRA 16_00075 NANOPANTA]</t>
  </si>
  <si>
    <t>Italian National Antarctic Program</t>
  </si>
  <si>
    <t>The study was conducted within the project Nanopolymers in the Antarctic marine environment and biota founded by the Italian National Antarctic Program (PNRA 16_00075 NANOPANTA). The work was carried out as part of the Ecosystems programme and the Scotia Sea Open Ocean Laboratories (SCOOBIES) sustained observation programme at the British Antarctic Survey.</t>
  </si>
  <si>
    <t>10.1016/j.marpolbul.2021.113176</t>
  </si>
  <si>
    <t>XY9DG</t>
  </si>
  <si>
    <t>WOS:000737263600004</t>
  </si>
  <si>
    <t>Stutz, J; Mackintosh, A; Norton, K; Whitmore, R; Baroni, C; Jamieson, SSR; Jones, RS; Balco, G; Salvatore, MC; Casale, S; Lee, JI; Seong, YB; McKay, R; Vargo, LJ; Lowry, D; Spector, P; Christl, M; Ochs, SI; Di Nicola, L; Iarossi, M; Stuart, F; Woodruff, T</t>
  </si>
  <si>
    <t>Stutz, Jamey; Mackintosh, Andrew; Norton, Kevin; Whitmore, Ross; Baroni, Carlo; Jamieson, Stewart S. R.; Jones, Richard S.; Balco, Greg; Salvatore, Maria Cristina; Casale, Stefano; Lee, Jae Il; Seong, Yeong Bae; McKay, Robert; Vargo, Lauren J.; Lowry, Daniel; Spector, Perry; Christl, Marcus; Ivy Ochs, Susan; Di Nicola, Luigia; Iarossi, Maria; Stuart, Finlay; Woodruff, Tom</t>
  </si>
  <si>
    <t>Mid-Holocene thinning of David Glacier, Antarctica: chronology and controls</t>
  </si>
  <si>
    <t>NORTHERN VICTORIA LAND; TERRA-NOVA BAY; PLEISTOCENE-HOLOCENE RETREAT; COSMOGENIC NUCLIDES DOCUMENT; ICE-SURFACE FLUCTUATIONS; AMUNDSEN SEA EMBAYMENT; MARIE-BYRD-LAND; ROSS-SEA; HATHERTON GLACIER; EAST ANTARCTICA</t>
  </si>
  <si>
    <t>Quantitative satellite observations only provide an assessment of ice sheet mass loss over the last four decades. To assess long-term drivers of ice sheet change, geological records are needed. Here we present the first millennial-scale reconstruction of David Glacier, the largest East Antarctic outlet glacier in Victoria Land. To reconstruct changes in ice thickness, we use surface exposure ages of glacial erratics deposited on nunataks adjacent to fast-flowing sections of David Glacier. We then use numerical modelling experiments to determine the drivers of glacial thinning. Thinning profiles derived from 45 Be-10 and He-3 surface exposure ages show David Glacier experienced rapid thinning of up to 2 m/yr during the mid-Holocene (similar to 6.5 ka). Thinning slowed at 6 ka, suggesting the initial formation of the Drygalski Ice Tongue at this time. Our work, along with ice thinning records from adjacent glaciers, shows simultaneous glacier thinning in this sector of the Transantarctic Mountains occurred 4-7 kyr after the peak period of ice thinning indicated in a suite of published ice sheet models. The timing and rapidity of the reconstructed thinning at David Glacier is similar to reconstructions in the Amundsen and Weddell embayments. To identify the drivers of glacier thinning along the David Glacier, we use a glacier flowline model designed for calving glaciers and compare modelled results against our geological data. We show that glacier thinning and marine-based grounding-line retreat are controlled by either enhanced subice-shelf melting, reduced lateral buttressing or a combination of the two, leading to marine ice sheet instability. Such rapid glacier thinning events during the mid-Holocene are not fully captured in continental- or catchment-scale numerical modelling reconstructions. Together, our chronology and modelling identify and constrain the drivers of a similar to 2000-year period of dynamic glacier thinning in the recent geological past.</t>
  </si>
  <si>
    <t>[Stutz, Jamey; Whitmore, Ross; McKay, Robert; Vargo, Lauren J.; Lowry, Daniel] Victoria Univ Wellington, Antarctic Res Ctr, POB 600, Wellington 6140, New Zealand; [Mackintosh, Andrew; Whitmore, Ross; Jones, Richard S.] Monash Univ, Sch Earth Atmosphere &amp; Environm, Securing Antarcticas Environm Future, Clayton, Vic 3800, Australia; [Norton, Kevin] Victoria Univ Wellington, Sch Geog Earth &amp; Environm Sci, POB 600, Wellington 6140, New Zealand; [Baroni, Carlo; Salvatore, Maria Cristina; Casale, Stefano; Iarossi, Maria] Univ Pisa, Dipartimento Sci Terra, Via Santa Maria 53, I-56126 Pisa, Italy; [Jamieson, Stewart S. R.] Univ Durham, Dept Geog, South Rd, Durham DH1 3LE, England; [Balco, Greg; Spector, Perry] Berkeley Geochronol Ctr, 2455 Ridge Rd, Berkeley, CA 94709 USA; [Lee, Jae Il] Korean Polar Res Inst, 26 Songdomirae Ro, Incheon 21990, South Korea; [Seong, Yeong Bae] Korea Univ, Dept Geog, 145 Anam Ro, Seoul, South Korea; [Lowry, Daniel] GNS Sci, 1 Fairway Dr, Avalon 5010, New Zealand; [Christl, Marcus; Ivy Ochs, Susan] Swiss Fed Inst Technol, Dept Phys, Otto Stern Weg 5, CH-8093 Zurich, Switzerland; [Di Nicola, Luigia; Stuart, Finlay] Scottish Univ Environm Res Ctr, Scottish Enterprise Technol Pk,Rankine Ave, Glasgow G75 0QF, Lanark, Scotland; [Woodruff, Tom] Purdue Univ, PRIME Lab, 525 Northwestern Ave, W Lafayette, IN 47907 USA</t>
  </si>
  <si>
    <t>Victoria University Wellington; Monash University; Victoria University Wellington; University of Pisa; Durham University; Berkeley Geochronolgy Center; Korea University; GNS Science - New Zealand; Swiss Federal Institutes of Technology Domain; ETH Zurich; Scottish Universities Research &amp; Reactor Center; Purdue University System; Purdue University</t>
  </si>
  <si>
    <t>Stutz, J (corresponding author), Victoria Univ Wellington, Antarctic Res Ctr, POB 600, Wellington 6140, New Zealand.</t>
  </si>
  <si>
    <t>jamey.stutz@vuw.ac.nz</t>
  </si>
  <si>
    <t>Norton, Kevin/CAF-1290-2022; Baroni, Carlo/D-8184-2012; Jones, Richard Selwyn/AAJ-3949-2021; Salvatore, Maria Cristina/AAS-4000-2020; Stuart, Finlay M/E-7417-2010; Seong, Yeong Bae/K-2420-2019; Christl, Marcus/J-4769-2016</t>
  </si>
  <si>
    <t>Norton, Kevin/0000-0002-7995-6464; Baroni, Carlo/0000-0001-5905-4650; Jones, Richard Selwyn/0000-0003-2988-0999; Salvatore, Maria Cristina/0000-0002-1590-7284; Seong, Yeong Bae/0000-0001-6605-3912; Christl, Marcus/0000-0002-3131-6652; McKay, Robert/0000-0002-5602-6985; Stutz, Jamey/0000-0002-5645-3311; Mackintosh, Andrew/0000-0002-6430-4711</t>
  </si>
  <si>
    <t>NZARI [2017-1-3]; Antarctic Science Bursary; ARC SRIEAS grant [SR200100005]; Australian Research Council [SR200100005] Funding Source: Australian Research Council</t>
  </si>
  <si>
    <t>NZARI; Antarctic Science Bursary; ARC SRIEAS grant(Australian Research Council); Australian Research Council(Australian Research Council)</t>
  </si>
  <si>
    <t>Field work, AMS analyses and a research visit to BGC was funded by NZARI (grant 2017-1-3). Antarctic Science Bursary provided funding for a research visit to Durham University. Andrew Mackintosh was supported by ARC SRIEAS grant SR200100005, Securing Antarctica's Environmental Future.</t>
  </si>
  <si>
    <t>10.5194/tc-15-5447-2021</t>
  </si>
  <si>
    <t>XL9OV</t>
  </si>
  <si>
    <t>WOS:000728469500001</t>
  </si>
  <si>
    <t>Vereshchaka, AL; Lunina, AA; Mikaelyan, AS; Meireles, JE</t>
  </si>
  <si>
    <t>Vereshchaka, Alexander L.; Lunina, Anastasiia A.; Mikaelyan, Alexander S.; Meireles, Jose Eduardo</t>
  </si>
  <si>
    <t>Surface chlorophyll concentration as a mesoplankton biomass assessment tool in the Southern Ocean region</t>
  </si>
  <si>
    <t>GLOBAL ECOLOGY AND BIOGEOGRAPHY</t>
  </si>
  <si>
    <t>biomass; chlorophyll a; environmental factors; hydrological fronts; Southern Ocean; zooplankton distribution</t>
  </si>
  <si>
    <t>ANTARCTIC CIRCUMPOLAR CURRENT; AUSTRAL SUMMER 1997/1998; EASTERN ATLANTIC SECTOR; BODY-SIZE; ZOOPLANKTON DYNAMICS; CLIMATE-CHANGE; PART 1; SEA; COMMUNITIES; PHYTOPLANKTON</t>
  </si>
  <si>
    <t>Aim Mesoplankton of the Southern Ocean is the key trophic link between phytoplankton and other consumers and an important part of the biological carbon pump, a critical component of climate regulation. Although general patterns of mesoplankton distribution and life cycles are known, we still cannot estimate mesoplankton standing stocks at specified ocean-basin scales. Location Southern Ocean, 34.4-56.9 degrees S, 0-14.4 degrees E. Time period December 2009. Major taxa studied All mesoplankton 0.2-20.0 mm. Methods We assessed biomass of dominant taxa and total wet mesoplankton biomass (B, mg/m(3)) using surface chlorophyll a concentration (Chl) as a proxy of phytoplankton biomass and surface temperature (ST), a basic hydrological parameter. We sampled three strata within the layer 0-300 m at 43 stations with a Judey net (0.1 m(2), 180 mu m). Results We identified 163 taxa and calculated their biomass, biomass of major trophic groups, and total mesoplankton biomass. Monthly Chl and ST derived from satellite imaging were averaged at various temporal and spatial scales. B in the upper layer and in the integrated layer 0-300 m was significantly linked to antecedent Chl signals; the most significant regressions were found between B and monthly Chl and ST averaged two months prior to the survey and 10 degrees upstream of the Antarctic Circumpolar Current. Larger mesoplankton fractions showed longer response periods to Chl signal than smaller fractions. Main conclusions Our results suggest the integral mesoplankton stock is 2.47-3.69 Gt wet weight w(tot) (ww), or 0.12-0.18 Gt C, in the whole Southern Ocean. Mesoplankton was dominated by omnivores (69%-74%) followed by carnivores (25%) and herbivores (20%), which suggests the leading role of omnivory in the Southern Ocean pelagic during the austral summer. We anticipate that these results will help to provide a deeper insight into the Southern Ocean ecosystems and will benefit models predicting changes in the carbon-climate Earth system.</t>
  </si>
  <si>
    <t>[Vereshchaka, Alexander L.; Lunina, Anastasiia A.; Mikaelyan, Alexander S.; Meireles, Jose Eduardo] Russian Acad Sci, Shirshov Inst Oceanol, Nakhimovskii Prosp 36, Moscow 117997, Russia</t>
  </si>
  <si>
    <t>Vereshchaka, AL (corresponding author), Russian Acad Sci, Shirshov Inst Oceanol, Nakhimovskii Prosp 36, Moscow 117997, Russia.</t>
  </si>
  <si>
    <t>alv@ocean.ru</t>
  </si>
  <si>
    <t>Mikaelyan, Alexander S/E-6211-2014; Vereshchaka, Alexander/E-6205-2014; Lunina, Anastasia/L-3699-2014</t>
  </si>
  <si>
    <t>Vereshchaka, Alexander/0000-0002-6756-2468; Lunina, Anastasia/0000-0002-1105-8027</t>
  </si>
  <si>
    <t>Russian Science Foundation [18-17-00177]; Russian Science Foundation [18-17-00177] Funding Source: Russian Science Foundation</t>
  </si>
  <si>
    <t>We are grateful to Dr. A. V. Shatravin for his help in data analyses. We also thank the editor of this paper, Dr. Jose Eduardo Meireles, who insisted on the use of a bivariate (instead of a univariate) GLM model for global biomass predictions, which finally resulted in much better prediction of mesoplankton biomass in the Southern Ocean. This research was supported by the Russian Science Foundation (project no. 18-17-00177).</t>
  </si>
  <si>
    <t>1466-822X</t>
  </si>
  <si>
    <t>1466-8238</t>
  </si>
  <si>
    <t>GLOBAL ECOL BIOGEOGR</t>
  </si>
  <si>
    <t>Glob. Ecol. Biogeogr.</t>
  </si>
  <si>
    <t>10.1111/geb.13435</t>
  </si>
  <si>
    <t>Ecology; Geography, Physical</t>
  </si>
  <si>
    <t>Environmental Sciences &amp; Ecology; Physical Geography</t>
  </si>
  <si>
    <t>YS2VG</t>
  </si>
  <si>
    <t>WOS:000727322000001</t>
  </si>
  <si>
    <t>Palmer, TA; Klein, AG; Sweet, ST; Montagna, PA; Hyde, LJ; Wade, TL; Pollack, JB</t>
  </si>
  <si>
    <t>Palmer, Terence A.; Klein, Andrew G.; Sweet, Stephen T.; Montagna, Paul A.; Hyde, Larry J.; Wade, Terry L.; Beseres Pollack, Jennifer</t>
  </si>
  <si>
    <t>Anthropogenic effects on the marine environment adjacent to Palmer Station, Antarctica</t>
  </si>
  <si>
    <t>benthic; contamination; limpets; macrofauna; polar; pollution</t>
  </si>
  <si>
    <t>KING-GEORGE ISLAND; POLYCYCLIC AROMATIC-HYDROCARBONS; ARTHUR-HARBOR; ADMIRALTY BAY; MCMURDO SOUND; BAHIA-PARAISO; OIL-SPILL; BASE-LINE; SEDIMENTS; CONTAMINATION</t>
  </si>
  <si>
    <t>Localized contamination from research-related activities and its effects on macrofauna communities in the marine environment were investigated at Palmer Station, a medium-sized Antarctic research station. Relatively low concentrations of polycyclic aromatic hydrocarbons (PAHs; 32-302 ng g(-1)) and total petroleum hydrocarbons (TPHs; 0.9-8.9 mu g g(-1)) were detected in sediments adjacent to the sewage outfall and pier, where most human activities were expected to have occurred, and at even lower concentrations at two seemingly reference areas (PAHs 6-30 ng g(-1), TPHs 0.03-5.1 mu g g(-1)). Elevated concentrations of PAHs in one sample taken in one reference area (816 ng g(-1)) and polychlorinated biphenyls (353 ng g(-1)) and dichloro-diphenyl-trichloroethane (3.2 and 25.3 ng g(-1)) in two samples taken adjacent to the sewage outfall indicate spatial heterogeneity of localized sediment contamination. Limpet (Nacella concinna) tissues collected adjacent to Palmer Station had high concentrations of PAHs, copper, lead, zinc and several other metals relative to outlying islands. Sediment and limpet tissue contaminant concentrations have decreased since the early 1990s following the Bahia Paraiso spill. Natural sediment characteristics affected macrofaunal community composition more than contamination adjacent to Palmer Station, presumably because of the low overall contamination levels.</t>
  </si>
  <si>
    <t>[Palmer, Terence A.; Montagna, Paul A.; Hyde, Larry J.; Beseres Pollack, Jennifer] Texas A&amp;M Univ Christi, Harte Res Inst, 6300 Ocean Dr,Unit 5869, Corpus Christi, TX 78412 USA; [Klein, Andrew G.] Texas A&amp;M Univ, Dept Geog, College Stn, TX 77843 USA; [Sweet, Stephen T.; Wade, Terry L.] Texas A&amp;M Univ, Geochem &amp; Environm Res Grp, College Stn, TX 77843 USA</t>
  </si>
  <si>
    <t>Texas A&amp;M University System; Texas A&amp;M University Corpus Christi; Texas A&amp;M University System; Texas A&amp;M University College Station; Texas A&amp;M University System; Texas A&amp;M University College Station</t>
  </si>
  <si>
    <t>Palmer, TA (corresponding author), Texas A&amp;M Univ Christi, Harte Res Inst, 6300 Ocean Dr,Unit 5869, Corpus Christi, TX 78412 USA.</t>
  </si>
  <si>
    <t>terry.palmer@tamucc.edu</t>
  </si>
  <si>
    <t>Montagna, Paul A./J-8208-2017; Klein, Andrew/AGK-9609-2022</t>
  </si>
  <si>
    <t>Montagna, Paul A./0000-0003-4199-3312; Beseres Pollack, Jennifer/0000-0002-2995-4006; Wade, Terry/0000-0002-1715-3551; Klein, Andrew/0000-0003-3804-8205; Sweet, Stephen/0000-0002-1441-8198; Palmer, Terence/0000-0001-6602-9760</t>
  </si>
  <si>
    <t>US Army Corps of Engineers Cold Regions Research and Engineering Laboratory [W913E5-16-C-0006]</t>
  </si>
  <si>
    <t>US Army Corps of Engineers Cold Regions Research and Engineering Laboratory</t>
  </si>
  <si>
    <t>This study was funded by the US Army Corps of Engineers Cold Regions Research and Engineering Laboratory (grant number W913E5-16-C-0006). The funding sources had no involvement in study design, analysis and interpretation of data; in the writing of the manuscript; and in the decision to submit the article for publication.</t>
  </si>
  <si>
    <t>PII S0954102021000535</t>
  </si>
  <si>
    <t>10.1017/S0954102021000535</t>
  </si>
  <si>
    <t>WOS:000727537300001</t>
  </si>
  <si>
    <t>Khairy, M; Brault, E; Dickhut, R; Harding, KC; Harkonen, T; Karlsson, O; Lehnert, K; Teilmann, J; Lohmann, R</t>
  </si>
  <si>
    <t>Khairy, Mohammed; Brault, Emily; Dickhut, Rebecca; Harding, Karin C.; Harkonen, Tero; Karlsson, Olle; Lehnert, Kristine; Teilmann, Jonas; Lohmann, Rainer</t>
  </si>
  <si>
    <t>Bioaccumulation of PCBs, OCPs and PBDEs in Marine Mammals From West Antarctica</t>
  </si>
  <si>
    <t>Ross seal; Weddell seal; crabeater seal; killer whale; POPs; DDT; trophic magnification; gene transcription</t>
  </si>
  <si>
    <t>PERSISTENT ORGANIC POLLUTANTS; POLYBROMINATED DIPHENYL ETHERS; HYDROCARBON RECEPTOR AHR; KING GEORGE ISLAND; SEAL PUSA-SIBIRICA; WEDDELL SEALS; ORGANOCHLORINE PESTICIDES; POLYCHLORINATED-BIPHENYLS; STABLE-ISOTOPES; MOLECULAR BIOMARKERS</t>
  </si>
  <si>
    <t>To understand the bioaccumulation and food web dynamics of persistent organic pollutants (POPs) as a function of species, age and sex in Antarctic mammals, blubber samples of 3 killer whales (Type C) and 77 pinnipeds (Weddell, Ross and crabeater seals) were collected from the Southern Ocean, Antarctica. They were analyzed for polychlorinated biphenyls (PCBs), organochlorine pesticides (OCPs) and polybrominated diphenyl ethers (PBDEs). sigma DDTs, sigma(29)PCBs and chlordanes (12 - 4,600, 13 - 1,600, and &lt; 1.5 - 1,700 ng/g lipid, respectively) were the most abundant POPs. Killer whales typically displayed several times greater concentrations of POPs compared to seals, except for PBDEs. PCBs and PBDEs were consistently higher in adult crabeater and Weddell seal males, and in adult female Ross seals than in other sex and age groups reflecting an age accumulation and possible influence of segregated diet, foraging areas, and metabolic transformation rates. POPs concentrations significantly correlated with gene transcription of nuclear receptors involved in detoxification of contaminants and immune relevant cell mediators in the crabeater seals, indicating possible immunotoxic and deleterious health effects. This represents one of the largest studies on POPs in Antarctic marine predators and highlights the complexity of POPs bioaccumulation.</t>
  </si>
  <si>
    <t>[Khairy, Mohammed; Lohmann, Rainer] Univ Rhode Isl, Grad Sch Oceanog, Narragansett, RI 02882 USA; [Khairy, Mohammed] Alexandria Univ, Dept Environm Sci, Fac Sci, Alexandria, Egypt; [Brault, Emily] Univ Calif Santa Cruz, Dept Ocean Sci, Santa Cruz, CA 95064 USA; [Brault, Emily; Dickhut, Rebecca] Virginia Inst Marine Sci, Gloucester Point, VA 23062 USA; [Harding, Karin C.] Univ Gothenburg, Dept Biol &amp; Environm Sci, Gothenburg, Sweden; [Harkonen, Tero; Karlsson, Olle] Swedish Museum Nat Hist, Dept Environm Res &amp; Monitoring, Stockholm, Sweden; [Lehnert, Kristine] Univ Vet Med Hannover, Inst Terr &amp; Aquat Wildlife Res, Busum, Germany; [Teilmann, Jonas] Aarhus Univ, Dept Ecosci, Marine Mammal Res, Roskilde, Denmark</t>
  </si>
  <si>
    <t>University of Rhode Island; Egyptian Knowledge Bank (EKB); Alexandria University; University of California System; University of California Santa Cruz; William &amp; Mary; Virginia Institute of Marine Science; University of Gothenburg; Swedish Museum of Natural History; University of Veterinary Medicine Hannover; Aarhus University</t>
  </si>
  <si>
    <t>Lohmann, R (corresponding author), Univ Rhode Isl, Grad Sch Oceanog, Narragansett, RI 02882 USA.</t>
  </si>
  <si>
    <t>rlohmann@uri.edu</t>
  </si>
  <si>
    <t>Teilmann, Jonas/J-7828-2013; Lohmann, Rainer/B-1511-2008; Harding, Karin C/F-9957-2013</t>
  </si>
  <si>
    <t>Teilmann, Jonas/0000-0002-4376-4700;</t>
  </si>
  <si>
    <t>National Science Foundation [ANT 1332492]; Swedish Research Council [2008-6464, 2008-6239]; Centre for Evolutionary Marine Biology (CeMeb) at Gothenburg University [217-2008-1719]</t>
  </si>
  <si>
    <t>National Science Foundation(National Science Foundation (NSF)); Swedish Research Council(Swedish Research Council); Centre for Evolutionary Marine Biology (CeMeb) at Gothenburg University</t>
  </si>
  <si>
    <t>RL acknowledges funding from the National Science Foundation (ANT 1332492) to understand emerging pollutant dynamics in the Antarctic. The Swedish Polar Research Secretariat provided logistic support through the two Oden Southern Ocean expeditions (OSO 2008/2009 and OSO 2010/11) and the Swedish Research Council granted financial support to TH and KH (Grant Numbers: 2008-6464 and 2008-6239). The Centre for Evolutionary Marine Biology (CeMeb) at Gothenburg University also contributed financial support through a grant to KH (Grant Number: 217-2008-1719).</t>
  </si>
  <si>
    <t>DEC 6</t>
  </si>
  <si>
    <t>10.3389/fmars.2021.768715</t>
  </si>
  <si>
    <t>XR5EQ</t>
  </si>
  <si>
    <t>WOS:000732252500001</t>
  </si>
  <si>
    <t>Wagner, M; Brunauer, G; Bathke, AC; Cary, SC; Fuchs, R; Sancho, LG; Türk, R; Ruprecht, U</t>
  </si>
  <si>
    <t>Wagner, Monika; Brunauer, Georg; Bathke, Arne C.; Cary, S. Craig; Fuchs, Roman; Sancho, Leopoldo G.; Turk, Roman; Ruprecht, Ulrike</t>
  </si>
  <si>
    <t>Macroclimatic conditions as main drivers for symbiotic association patterns in lecideoid lichens along the Transantarctic Mountains, Ross Sea region, Antarctica</t>
  </si>
  <si>
    <t>MCMURDO DRY VALLEYS; HIGH PHOTOBIONT DIVERSITY; LATITUDINAL GRADIENT; ALGAL SYMBIONTS; SELECTIVITY; CLIMATE; BIODIVERSITY; BIOGEOGRAPHY; FLEXIBILITY; COMMUNITIES</t>
  </si>
  <si>
    <t>Lecideoid lichens as dominant vegetation-forming organisms in the climatically harsh areas of the southern part of continental Antarctica show clear preferences in relation to environmental conditions (i.e. macroclimate). 306 lichen samples were included in the study, collected along the Ross Sea coast (78 degrees S-85.5 degrees S) at six climatically different sites. The species compositions as well as the associations of their two dominant symbiotic partners (myco- and photobiont) were set in context with environmental conditions along the latitudinal gradient. Diversity values were nonlinear with respect to latitude, with the highest alpha diversity in the milder areas of the McMurdo Dry Valleys (78 degrees S) and the most southern areas (Durham Point, 85.5 degrees S; Garden Spur, 84.5 degrees S), and lowest in the especially arid and cold Darwin Area (similar to 79.8 degrees S). Furthermore, the specificity of mycobiont species towards their photobionts decreased under more severe climate conditions. The generalist lichen species Lecanora fuscobrunnea and Lecidea cancriformis were present in almost all habitats, but were dominant in climatically extreme areas. Carbonea vorticosa, Lecidella greenii and Rhizoplaca macleanii were confined to milder areas. In summary, the macroclimate is considered to be the main driver of species distribution, making certain species useful as bioindicators of climate conditions and, consequently, for assessing the consequences of climate change.</t>
  </si>
  <si>
    <t>[Wagner, Monika; Brunauer, Georg; Fuchs, Roman; Turk, Roman; Ruprecht, Ulrike] Paris Lodron Univ Salzburg, Dept Biosci, Salzburg, Austria; [Bathke, Arne C.] Paris Lodron Univ Salzburg, Dept Math, Salzburg, Austria; [Cary, S. Craig] Univ Waikato, Sch Sci, Hamilton, New Zealand; [Cary, S. Craig] Univ Waikato, Sch Sci, Int Ctr Terr Antarct Res, Hamilton, New Zealand; [Sancho, Leopoldo G.] Univ Complutense Madrid, Fac Farm, Bot Unit, Madrid, Spain</t>
  </si>
  <si>
    <t>Salzburg University; Salzburg University; University of Waikato; University of Waikato; Complutense University of Madrid</t>
  </si>
  <si>
    <t>Ruprecht, U (corresponding author), Paris Lodron Univ Salzburg, Dept Biosci, Salzburg, Austria.</t>
  </si>
  <si>
    <t>ulrike.ruprecht@plus.ac.at</t>
  </si>
  <si>
    <t>SANCHO, LEOPOLDO G/G-9120-2015</t>
  </si>
  <si>
    <t>Fuchs, Roman/0000-0001-9423-5588; Ruprecht, Ulrike/0000-0002-0898-7677; Cary, Stephen/0000-0002-2876-2387</t>
  </si>
  <si>
    <t>Austrian Science Fund (FWF) [P26638_B16]; FRST; NZTABS; Waikato University (NZ); CRYPTOCOVER (Spanish Ministry of Science) [CTM2015-64728-C2-1-R]</t>
  </si>
  <si>
    <t>Austrian Science Fund (FWF)(Austrian Science Fund (FWF)); FRST(New Zealand Foundation for Research, Science and Technology); NZTABS; Waikato University (NZ); CRYPTOCOVER (Spanish Ministry of Science)</t>
  </si>
  <si>
    <t>Austrian Science Fund (FWF) P26638_B16, Diversity, ecology, and specificity of Antarctic lichens; lichen collections: FRST-funded IPY Research Programme Understanding, valuing and protecting Antarctica's unique terrestrial ecosystems: Predicting biocomplexity in Dry Valley ecosystems and NZTABS supported through a grant to ICTAR at Waikato University. Antarctica New Zealand provided logistic and Waikato University (NZ) financial support. CRYPTOCOVER (Spanish Ministry of Science CTM2015-64728-C2-1-R).</t>
  </si>
  <si>
    <t>10.1038/s41598-021-02940-6</t>
  </si>
  <si>
    <t>XK7BH</t>
  </si>
  <si>
    <t>WOS:000727615800052</t>
  </si>
  <si>
    <t>Lo, HP; Lim, YW; Xiong, ZR; Martel, N; Ferguson, C; Ariotti, N; Giacomotto, J; Rae, J; Floetenmeyer, M; Moradi, SV; Gao, Y; Tillu, VA; Xia, D; Wang, H; Rahnama, S; Nixon, SJ; Bastiani, M; Day, RD; Smith, KA; Palpant, NJ; Johnston, WA; Alexandrov, K; Collins, BM; Hall, TE; Parton, RG</t>
  </si>
  <si>
    <t>Lo, Harriet P.; Lim, Ye-Wheen; Xiong, Zherui; Martel, Nick; Ferguson, Charles; Ariotti, Nicholas; Giacomotto, Jean; Rae, James; Floetenmeyer, Matthias; Moradi, Shayli Varasteh; Gao, Ya; Tillu, Vikas A.; Xia, Di; Wang, Huang; Rahnama, Samira; Nixon, Susan J.; Bastiani, Michele; Day, Ryan D.; Smith, Kelly A.; Palpant, Nathan J.; Johnston, Wayne A.; Alexandrov, Kirill; Collins, Brett M.; Hall, Thomas E.; Parton, Robert G.</t>
  </si>
  <si>
    <t>Cavin4 interacts with Bin1 to promote T-tubule formation and stability in developing skeletal muscle</t>
  </si>
  <si>
    <t>JOURNAL OF CELL BIOLOGY</t>
  </si>
  <si>
    <t>COILED-COIL PROTEIN; SARCOPLASMIC-RETICULUM; QUANTITATIVE-ANALYSIS; MEMBRANE CURVATURE; TRANSVERSE TUBULES; ZEBRAFISH MODELS; IN-SITU; CAVEOLAE; SYSTEM; CELLS</t>
  </si>
  <si>
    <t>The cavin proteins are essential for caveola biogenesis and function. Here, we identify a role for the muscle-specific component, Cavin4, in skeletal muscle T-tubule development by analyzing two vertebrate systems, mouse and zebrafish. In both models, Cavin4 localized to T-tubules, and loss of Cavin4 resulted in aberrant T-tubule maturation. In zebrafish, which possess duplicated cavin4 paralogs, Cavin4b was shown to directly interact with the T-tubule-associated BAR domain protein Bin1. Loss of both Cavin4a and Cavin4b caused aberrant accumulation of interconnected caveolae within the T-tubules, a fragmented T-tubule network enriched in Caveolin-3, and an impaired Ca2+ response upon mechanical stimulation. We propose a role for Cavin4 in remodeling the T-tubule membrane early in development by recycling caveolar components from the T-tubule to the sarcolemma. This generates a stable T-tubule domain lacking caveolae that is essential for T-tubule function.</t>
  </si>
  <si>
    <t>[Lo, Harriet P.; Lim, Ye-Wheen; Xiong, Zherui; Martel, Nick; Ferguson, Charles; Ariotti, Nicholas; Rae, James; Gao, Ya; Tillu, Vikas A.; Nixon, Susan J.; Bastiani, Michele; Day, Ryan D.; Smith, Kelly A.; Palpant, Nathan J.; Collins, Brett M.; Hall, Thomas E.; Parton, Robert G.] Univ Queensland, Inst Mol Biosci, Brisbane, Qld, Australia; [Floetenmeyer, Matthias; Parton, Robert G.] Univ Queensland, Ctr Microscopy &amp; Microanal, Brisbane, Qld, Australia; [Giacomotto, Jean] Univ Queensland, Queensland Brain Inst, Brisbane, Qld, Australia; [Giacomotto, Jean] West Moreton Hosp &amp; Hlth Serv, Queensland Ctr Mental Hlth Res, Brisbane, Qld, Australia; [Giacomotto, Jean] Univ Queensland, Brisbane, Qld, Australia; [Moradi, Shayli Varasteh; Rahnama, Samira; Johnston, Wayne A.; Alexandrov, Kirill] Queensland Univ Technol, CSIRO Queensland Univ Technol Synthet Biol Allian, ARC Ctr Excellence Synthet Biol, Ctr Agr &amp; Bioecon,Sch Biol &amp; Environm Sci, Brisbane, Qld, Australia; [Xia, Di] Univ Queensland, Genome Innovat Hub, Brisbane, Qld, Australia; [Wang, Huang] Univ Queensland, Translat Res Inst, Mater Res Inst, Brisbane, Qld, Australia; [Ariotti, Nicholas] Univ New South WaLes, Mark Wainwright Analyt Ctr, Sydney, NSW, Australia; [Day, Ryan D.] Univ Tasmania, Inst Marine &amp; Antarctic Studies, Hobart, Tas, Australia; [Smith, Kelly A.] Univ Melbourne, Dept Physiol, Parkville, Vic, Australia</t>
  </si>
  <si>
    <t>University of Queensland; University of Queensland; University of Queensland; Queensland Centre for Mental Health Research; University of Queensland; Queensland University of Technology (QUT); University of Queensland; Mater Research; University of Queensland; University of New South Wales Sydney; University of Tasmania; University of Melbourne</t>
  </si>
  <si>
    <t>Parton, RG (corresponding author), Univ Queensland, Inst Mol Biosci, Brisbane, Qld, Australia.;Parton, RG (corresponding author), Univ Queensland, Ctr Microscopy &amp; Microanal, Brisbane, Qld, Australia.</t>
  </si>
  <si>
    <t>r.parton@imb.uq.edu.au</t>
  </si>
  <si>
    <t>Xiong, Zherui/HGA-9290-2022; Day, Ryan D/J-7715-2014; Hall, Thomas E/J-2125-2014; Parton, Robert G/C-5673-2009; Martel, Nick/ABD-3138-2020; Ariotti, Nicholas/GXH-4833-2022; Collins, Brett/J-1563-2014; Ariotti, Nicholas/JBR-9401-2023; Palpant, Nathan J/B-1641-2017; Bastiani, Michele/J-1823-2014; Lim, Ye-Wheen/C-8012-2017; Smith, Kelly/J-1826-2014; Lo, Harriet/D-2052-2017; Tillu, Vikas/C-9157-2017; Johnston, Wayne/D-2095-2017; Varasteh Moradi, Shayli/R-8940-2016; Giacomotto, Jean/C-1613-2013</t>
  </si>
  <si>
    <t>Palpant, Nathan J/0000-0002-9334-8107; Lim, Ye-Wheen/0000-0001-5878-8708; Smith, Kelly/0000-0002-8283-9760; Day, Ryan/0000-0002-1834-6945; Lo, Harriet/0000-0002-3998-6132; Gao, Ya/0000-0001-9327-5051; Tillu, Vikas/0000-0002-1034-9543; Johnston, Wayne/0000-0002-7485-8363; Martel, Nick/0000-0003-2003-4147; Varasteh Moradi, Shayli/0000-0002-7755-8454; Rae, James/0000-0003-0525-2154; Ariotti, Nicholas/0000-0003-3901-0831; Giacomotto, Jean/0000-0002-2918-4689</t>
  </si>
  <si>
    <t>National Health and Medical Research Council of Australia [APP1156489, APP1099251]; National Health and Medical Research Council Emerging Leader Fellowship [1174145]; Australian Research Council [DP200102559]; Australian Research Council Centre of Excellence in Convergent Bio-Nano Science and Technology [CE140100036]; Australian Research Council Centre of Excellence in Synthetic Biology [CE200100029]; CSIRO- Queensland University of Technology Synthetic Biology Alliance; Australian Cancer Research Foundation; Australian Research Council [DP200102559] Funding Source: Australian Research Council; National Health and Medical Research Council of Australia [1174145] Funding Source: NHMRC</t>
  </si>
  <si>
    <t>National Health and Medical Research Council of Australia(National Health &amp; Medical Research Council (NHMRC) of Australia); National Health and Medical Research Council Emerging Leader Fellowship(National Health &amp; Medical Research Council (NHMRC) of Australia); Australian Research Council(Australian Research Council); Australian Research Council Centre of Excellence in Convergent Bio-Nano Science and Technology(Australian Research Council); Australian Research Council Centre of Excellence in Synthetic Biology(Australian Research Council); CSIRO- Queensland University of Technology Synthetic Biology Alliance; Australian Cancer Research Foundation; Australian Research Council(Australian Research Council); National Health and Medical Research Council of Australia(National Health &amp; Medical Research Council (NHMRC) of Australia)</t>
  </si>
  <si>
    <t>This work was supported by the National Health and Medical Research Council of Australia (APP1156489 to R.G. Parton; APP1099251 to R.G. Parton and T.E. Hall) , National Health and Medical Research Council Emerging Leader Fellowship (1174145 to J Giacomotto) , the Australian Research Council (DP200102559 to T.E. Hall and R.G. Parton) , Australian Research Council Centre of Excellence in Convergent Bio-Nano Science and Technology (CE140100036 to R.G. Parton) , and Australian Research Council Centre of Excellence in Synthetic Biology (CE200100029 to K. Alexandrov) . The work was supported in part by CSIRO- Queensland University of Technology Synthetic Biology Alli-ance. We are also grateful to The University of Queensland Major Equipment and Infrastructure Scheme. Confocal micros-copy was performed at the Australian Cancer Research Foun-dation/Institute for Molecular Bioscience Dynamic Imaging Facility for Cancer Biology, established with funding from the Australian Cancer Research Foundation. The authors acknowl-edge the use of the Australian Microscopy &amp; Microanalysis Re-search Facility at the Center for Microscopy and Microanalysis, The University of Queensland. Genome editing was performed by the Queensland Facility for Advanced Genome Editing, Ge-nome Innovation Hub and the Transgenic Animal Service of Queensland, The University of Queensland.</t>
  </si>
  <si>
    <t>ROCKEFELLER UNIV PRESS</t>
  </si>
  <si>
    <t>950 THIRD AVE, 2ND FLR, NEW YORK, NY 10022 USA</t>
  </si>
  <si>
    <t>0021-9525</t>
  </si>
  <si>
    <t>1540-8140</t>
  </si>
  <si>
    <t>J CELL BIOL</t>
  </si>
  <si>
    <t>J. Cell Biol.</t>
  </si>
  <si>
    <t>e201905065</t>
  </si>
  <si>
    <t>10.1083/jcb.201905065</t>
  </si>
  <si>
    <t>Cell Biology</t>
  </si>
  <si>
    <t>WH3DI</t>
  </si>
  <si>
    <t>WOS:000707562600001</t>
  </si>
  <si>
    <t>Tumanov, DV</t>
  </si>
  <si>
    <t>Tumanov, Denis, V</t>
  </si>
  <si>
    <t>End of a mystery: Integrative approach reveals the phylogenetic position of an enigmatic Antarctic tardigrade genus Ramajendas (Tardigrada, Eutardigrada)</t>
  </si>
  <si>
    <t>ZOOLOGICA SCRIPTA</t>
  </si>
  <si>
    <t>Eutardigrada; Isohypsibioidea; phylogeny; Tardigrada; taxonomy</t>
  </si>
  <si>
    <t>SEQUENCE ALIGNMENT; PHYLUM TARDIGRADA; HYPSIBIIDAE; GENES; CALOHYPSIBIIDAE; CYCLOMORPHOSIS; LINEAGES; DASTYCH; PILATO; LEVEL</t>
  </si>
  <si>
    <t>Phylogenetic position of the enigmatic Antarctic tardigrade genus Ramajendas was clarified using specimens from King George Island, Antarctic. Molecular phylogenetic analysis revealed a close affinity of Ramajendas to the superfamily Isohypsibioidea. At the same time, its standalone position within this clade prompted the erection of a new family Ramajendidae fam. nov. A detailed morphological description of the available specimens is given, and the diagnosis of the genus Ramajendas is amended. Taxonomical status of several previous findings of Ramajendas spp. in West Antarctica is discussed.</t>
  </si>
  <si>
    <t>[Tumanov, Denis, V] St Petersburg State Univ, Fac Biol, Dept Invertebrate Zool, Univ Skaya Nab 7-9, St Petersburg 199034, Russia; [Tumanov, Denis, V] Russian Acad Sci, Zool Inst, Marine Res Lab, St Petersburg, Russia</t>
  </si>
  <si>
    <t>Saint Petersburg State University; Russian Academy of Sciences; Zoological Institute of the Russian Academy of Sciences</t>
  </si>
  <si>
    <t>Tumanov, DV (corresponding author), St Petersburg State Univ, Fac Biol, Dept Invertebrate Zool, Univ Skaya Nab 7-9, St Petersburg 199034, Russia.</t>
  </si>
  <si>
    <t>d.tumanov@spbu.ru</t>
  </si>
  <si>
    <t>Tumanov, Denis/G-4124-2019</t>
  </si>
  <si>
    <t>Tumanov, Denis/0000-0002-4190-4175</t>
  </si>
  <si>
    <t>0300-3256</t>
  </si>
  <si>
    <t>1463-6409</t>
  </si>
  <si>
    <t>ZOOL SCR</t>
  </si>
  <si>
    <t>Zool. Scr.</t>
  </si>
  <si>
    <t>10.1111/zsc.12521</t>
  </si>
  <si>
    <t>YZ0CF</t>
  </si>
  <si>
    <t>WOS:000726319500001</t>
  </si>
  <si>
    <t>Increasing polarisation in attitudes to aquaculture: Evidence from sequential government inquiries</t>
  </si>
  <si>
    <t>Aquaculture; Conflict; Attitudes; Communication; Trust</t>
  </si>
  <si>
    <t>MARINE AQUACULTURE; SOCIAL LICENSE; ACCEPTABILITY; CONTROVERSY; GOVERNANCE; LESSONS</t>
  </si>
  <si>
    <t>Global aquaculture production has expanded rapidly over the past decade, accompanied by an increase in community concerns. In Tasmania, Australia, this trend has resulted in successive Federal and state government inquires into salmon farming. Submissions to these inquires have been used to analyse increasing polarisation of stakeholder attitudes across key issues including communication, governance, environmental sustainability and pollution and the role of science. The findings indicate that from 2015 to 2019 there has been a deterioration in community trust of government and industry and a heightening of public risk perceptions. Reducing conflict across stakeholder groups will require a co-ordinated approach to communication. One in which science, government, industry and communities are able to inform and be informed, and where knowledge that is viewed as relevant, credible and legitimate is created and disseminated.</t>
  </si>
  <si>
    <t>[Condie, Corrine M.; Alexander, Karen A.] Inst Marine &amp; Antarctic Studies, Hobart, Tas 7000, Australia; [Condie, Corrine M.; Vince, Joanna; Alexander, Karen A.] Univ Tasmania, Ctr Marine Socioecol, Hobart, Tas 7000, Australia; [Vince, Joanna] Univ Tasmania, Sch Social Sci, Launceston, Tas 7250, Australia</t>
  </si>
  <si>
    <t>Condie, CM (corresponding author), Inst Marine &amp; Antarctic Studies, Hobart, Tas 7000, Australia.</t>
  </si>
  <si>
    <t>Australian Government Research Training Program Scholarship</t>
  </si>
  <si>
    <t>Australian Government Research Training Program Scholarship(Australian GovernmentDepartment of Industry, Innovation and Science)</t>
  </si>
  <si>
    <t>Corrine Condie was supported by an Australian Government Research Training Program Scholarship. She would like to thank Dr Katie Cresswell and Professor Fred Gale for their advice and guidance.</t>
  </si>
  <si>
    <t>10.1016/j.marpol.2021.104867</t>
  </si>
  <si>
    <t>XY0CD</t>
  </si>
  <si>
    <t>WOS:000736651100002</t>
  </si>
  <si>
    <t>Goddard, KA; Craig, KJ; Schoombie, J; le Roux, PC</t>
  </si>
  <si>
    <t>Goddard, K. A.; Craig, K. J.; Schoombie, J.; le Roux, P. C.</t>
  </si>
  <si>
    <t>Investigation of ecologically relevant wind patterns on Marion Island using Computational Fluid Dynamics and measured data</t>
  </si>
  <si>
    <t>ECOLOGICAL MODELLING</t>
  </si>
  <si>
    <t>Atmospheric Boundary Layer; Computational Fluid Dynamics; sub-Antarctic islands; Mechanistic wind model; Complex terrain</t>
  </si>
  <si>
    <t>PLANT DISPERSAL; IMPACTS; FLOWS; MODEL</t>
  </si>
  <si>
    <t>A need was identified to have reliable quantitative wind pattern data for Marion Island (MI) in the study of terrestrial ecology (fauna and flora) on this well-preserved and remote territory in the sub-Antarctic Indian Ocean. The present work aims to estimate a high-resolution map of wind speed, direction, and turbulence on MI through the use of Computational Fluid Dynamics (CFD); an engineering-based discipline for modelling fluid physics. This paper presents the comparison between experimental measurements and numerical simulation results of the full-scale atmospheric flow around MI and its closely neighbouring Prince Edward Island (PEI). In particular, a Reynolds Averaged Navier-Stokes (RANS) approach was used with a k-epsilon turbulence closure model adapted to atmospheric boundary layer flows. This was implemented in the ANSYS FLUENT 2019R3 software and validated against wind measurements recorded over the span of two years. A 26.9% mean absolute error was seen when predicting wind speed, a 14.8 degrees error when predicting wind direction, and a 32.6% error when predicting turbulent kinetic energy. The Baseline CFD model provides future researchers on MI with a reliable means of estimating wind properties near ground level. Quantities such as average wind speed, turbulence, gusting and annual wind behaviour can now be recreated at any location on the island; something that was not previously possible without environmentally intrusive surveillance methods. This research has refined CFD modelling for islands and highlights the potential for the application of this methodology to estimate spatial variation in wind parameters at biologically-relevant scales on other islands.</t>
  </si>
  <si>
    <t>[Goddard, K. A.; Craig, K. J.; Schoombie, J.] Univ Pretoria, Dept Mech &amp; Aeronaut Engn, ZA-0002 Pretoria, South Africa; [le Roux, P. C.] Univ Pretoria, Dept Plant &amp; Soil Sci, ZA-0002 Pretoria, South Africa</t>
  </si>
  <si>
    <t>University of Pretoria; University of Pretoria</t>
  </si>
  <si>
    <t>Goddard, KA (corresponding author), Univ Pretoria, Dept Mech &amp; Aeronaut Engn, ZA-0002 Pretoria, South Africa.</t>
  </si>
  <si>
    <t>kyle.goddard@outlook.com</t>
  </si>
  <si>
    <t>Craig, Ken J/V-8784-2018; le Roux, Peter Christiaan/E-7784-2011</t>
  </si>
  <si>
    <t>Craig, Ken J/0000-0002-7960-2148; le Roux, Peter Christiaan/0000-0002-7941-7444; Schoombie, Janine/0000-0001-5085-9516; Goddard, Kyle/0000-0002-2053-2579</t>
  </si>
  <si>
    <t>University of Pretoria; South African National Antarctic Programme (SANAP) [110726]; National Research Foundation (NRF)</t>
  </si>
  <si>
    <t>University of Pretoria; South African National Antarctic Programme (SANAP); National Research Foundation (NRF)</t>
  </si>
  <si>
    <t>The authors would like to thank the University of Pretoria for the support throughout the project. Computational resources were provided by the CHPC (Centre for High Performance Computing). Historical climate records for Marion Island were provided by the South African Weather Service (SAWS). This project was funded and falls under the directives of the South African National Antarctic Programme (SANAP) [grant number 110726]. The financial assistance of the National Research Foundation (NRF) towards this research is hereby acknowledged. Opinions expressed and conclusions arrived at are those of the authors and are not necessarily to be attributed to any aforementioned parties. The authors would like to offer special thanks to the field assistants Elsa van Ginkel, Dineo Mogashoa, and Jenna van Berkel for their valued support during the Marion Island over-wintering expeditions.</t>
  </si>
  <si>
    <t>0304-3800</t>
  </si>
  <si>
    <t>1872-7026</t>
  </si>
  <si>
    <t>ECOL MODEL</t>
  </si>
  <si>
    <t>Ecol. Model.</t>
  </si>
  <si>
    <t>10.1016/j.ecolmodel.2021.109827</t>
  </si>
  <si>
    <t>XM4GD</t>
  </si>
  <si>
    <t>WOS:000728786900009</t>
  </si>
  <si>
    <t>Knorr, G; Barker, S; Zhang, X; Lohmann, G; Gong, X; Gierz, P; Stepanek, C; Stap, LB</t>
  </si>
  <si>
    <t>Knorr, Gregor; Barker, Stephen; Zhang, Xu; Lohmann, Gerrit; Gong, Xun; Gierz, Paul; Stepanek, Christian; Stap, Lennert B.</t>
  </si>
  <si>
    <t>A salty deep ocean as a prerequisite for glacial termination</t>
  </si>
  <si>
    <t>MERIDIONAL OVERTURNING CIRCULATION; EARTH SYSTEM MODEL; ANTARCTIC ICE-SHEET; SOUTHERN-OCEAN; ATMOSPHERIC CO2; ATLANTIC-OCEAN; CLIMATE-CHANGE; COUPLED MODEL; BOTTOM WATER; CARBON-CYCLE</t>
  </si>
  <si>
    <t>Deglacial transitions of the middle to late Pleistocene (terminations) are linked to gradual changes in insolation accompanied by abrupt shifts in ocean circulation. However, the reason these deglacial abrupt events are so special compared with their sub-glacial-maximum analogues, in particular with respect to the exaggerated warming observed across Antarctica, remains unclear. Here we show that an increase in the relative importance of salt versus temperature stratification in the glacial deep South Atlantic decreases the potential cooling effect of waters that may be upwelled in response to abrupt perturbations in ocean circulation, as compared with sub-glacial-maximum conditions. Using a comprehensive coupled atmosphere-ocean general circulation model, we then demonstrate that an increase in deep-ocean salinity stratification stabilizes relatively warm waters in the glacial deep ocean, which amplifies the high southern latitude surface ocean temperature response to an abrupt weakening of the Atlantic meridional overturning circulation during deglaciation. The mechanism can produce a doubling in the net rate of warming across Antarctica on a multicentennial timescale when starting from full glacial conditions (as compared with interglacial or subglacial conditions) and therefore helps to explain the large magnitude and rapidity of glacial terminations during the late Quaternary. Heat stored in the deep ocean due to salinity stratification contributed to rapid Antarctic warming during middle and late Pleistocene glacial terminations, according to coupled atmosphere-ocean general circulation model simulations.</t>
  </si>
  <si>
    <t>[Knorr, Gregor; Zhang, Xu; Lohmann, Gerrit; Gong, Xun; Gierz, Paul; Stepanek, Christian; Stap, Lennert B.] Alfred Wegener Inst, Helmholtz Ctr Polar &amp; Marine Res, Bremerhaven, Germany; [Barker, Stephen] Cardiff Univ, Sch Earth &amp; Environm Sci, Cardiff, Wales; [Zhang, Xu] Chinese Acad Sci, Inst Tibetan Plateau Res, State Key Lab Tibetan Plateau Earth Syst Resource, Grp Alpine Paleoecol &amp; Human Adaptat ALPHA, Beijing, Peoples R China; [Zhang, Xu] Lanzhou Univ, Coll Earth &amp; Environm Sci, Minist Educ, Key Lab Western Chinas Environm Syst, Lanzhou, Peoples R China; [Lohmann, Gerrit] Univ Bremen, MARUM Ctr Marine Environm Sci, Bremen, Germany; [Gong, Xun] China Univ Geosci, Hubei Key Lab Marine Geol Resources, Wuhan, Peoples R China; [Stap, Lennert B.] Univ Utrecht, Inst Marine &amp; Atmospher Res Utrecht, Utrecht, Netherlands</t>
  </si>
  <si>
    <t>Helmholtz Association; Alfred Wegener Institute, Helmholtz Centre for Polar &amp; Marine Research; Cardiff University; Chinese Academy of Sciences; Institute of Tibetan Plateau Research, CAS; Lanzhou University; University of Bremen; China University of Geosciences; Utrecht University</t>
  </si>
  <si>
    <t>Knorr, G (corresponding author), Alfred Wegener Inst, Helmholtz Ctr Polar &amp; Marine Res, Bremerhaven, Germany.</t>
  </si>
  <si>
    <t>gregor.knorr@awi.de</t>
  </si>
  <si>
    <t>Stepanek, Christian/ABA-9210-2021; Zhang, Xu/AFX-8847-2022; Stephen, Barker/C-2770-2009; Lohmann, Gerrit/M-7453-2016</t>
  </si>
  <si>
    <t>Zhang, Xu/0000-0003-1833-9689; Stepanek, Christian/0000-0002-3912-6271; Stap, Lennert/0000-0002-2108-3533; Lohmann, Gerrit/0000-0003-2089-733X; Knorr, Gregor/0000-0002-8317-5046; Gong, Xun/0000-0001-9308-4431</t>
  </si>
  <si>
    <t>PACES; REKLIM through the Helmholtz association; PalMod through the German Federal Ministry of Education and Research [01LP1504A, 01LP1915A]; National Science Foundation of China [41988101, 42075047]; UK NERC [NE/J008133/1, NE/L006405/1]; NSF [PLR-1603799, PLR-1644277]; NASA [NNX17AG65G]; CEA; CNRS; Programme National d'Etude de la Dynamique du Climat (PNEDC); NERC [NE/J008133/1, NE/L006405/1] Funding Source: UKRI</t>
  </si>
  <si>
    <t>PACES; REKLIM through the Helmholtz association; PalMod through the German Federal Ministry of Education and Research; National Science Foundation of China(National Natural Science Foundation of China (NSFC)); UK NERC(UK Research &amp; Innovation (UKRI)Natural Environment Research Council (NERC)); NSF(National Science Foundation (NSF)); NASA(National Aeronautics &amp; Space Administration (NASA)); CEA(French Atomic Energy Commission); CNRS(Centre National de la Recherche Scientifique (CNRS)); Programme National d'Etude de la Dynamique du Climat (PNEDC); NERC(UK Research &amp; Innovation (UKRI)Natural Environment Research Council (NERC))</t>
  </si>
  <si>
    <t>We thank colleagues in the Paleoclimate Dynamics group at the Alfred Wegener Institute Helmholtz Center for Polar and Marine Research (AWI) in Bremerhaven for general support and the AWI Computing Centre for keeping the supercomputer running. M. Fahrenberg is acknowledged for downloading PMIP4 data, and we thank X. Shi for providing LGM salinity data for AWI-ESM. We acknowledge financial support by PACES and REKLIM through the Helmholtz association, as well as from PalMod (01LP1504A and 01LP1915A) through the German Federal Ministry of Education and Research to G.K. We also acknowledge financial support from the National Science Foundation of China (41988101 and 42075047) to X.Z. and UK NERC (grants NE/J008133/1 and NE/L006405/1) to S.B. Development of PISM is supported by NSF grants PLR-1603799 and PLR-1644277 and NASA grant NNX17AG65G. Computational resources were made available by the infrastructure and support of the computing centre of the Alfred Wegener Institute in Bremerhaven and the DKRZ in Hamburg, Germany. The authors also thank all the modelling groups who provided the PMIP2, PMIP3 and PMIP4 output for analysis, WCRP, CMIP panel, PCMDI, ESGF infrastructures for sharing data, WCRP and CLIVAR for supporting the PMIP project. The Laboratoire des Sciences du Climat et de l'Environnement (LSCE) is acknowledged for collecting and archiving the PMIP2 model data. The PMIP2 Data Archive is supported by CEA, CNRS and the Programme National d'Etude de la Dynamique du Climat (PNEDC).</t>
  </si>
  <si>
    <t>10.1038/s41561-021-00857-3</t>
  </si>
  <si>
    <t>XK3KK</t>
  </si>
  <si>
    <t>WOS:000725987700001</t>
  </si>
  <si>
    <t>Lauvset, SK; Lange, N; Tanhua, T; Bittig, HC; Olsen, A; Kozyr, A; Alvarez, M; Becker, S; Brown, PJ; Carter, BR; da Cunha, LC; Feely, RA; van Heuven, S; Hoppema, M; Ishii, M; Jeansson, E; Jutterström, S; Jones, SD; Karlsen, MK; Lo Monaco, C; Michaelis, P; Murata, A; Pérez, FF; Pfeil, B; Schirnick, C; Steinfeldt, R; Suzuki, T; Tilbrook, B; Velo, A; Wanninkhof, R; Woosley, RJ; Key, RM</t>
  </si>
  <si>
    <t>Lauvset, Siv K.; Lange, Nico; Tanhua, Toste; Bittig, Henry C.; Olsen, Are; Kozyr, Alex; Alvarez, Marta; Becker, Susan; Brown, Peter J.; Carter, Brendan R.; da Cunha, Leticia Cotrim; Feely, Richard A.; van Heuven, Steven; Hoppema, Mario; Ishii, Masao; Jeansson, Emil; Jutterstrom, Sara; Jones, Steve D.; Karlsen, Maren K.; Lo Monaco, Claire; Michaelis, Patrick; Murata, Akihiko; Perez, Fiz F.; Pfeil, Benjamin; Schirnick, Carsten; Steinfeldt, Reiner; Suzuki, Toru; Tilbrook, Bronte; Velo, Anton; Wanninkhof, Rik; Woosley, Ryan J.; Key, Robert M.</t>
  </si>
  <si>
    <t>An updated version of the global interior ocean biogeochemical data product, GLODAPv2.2021</t>
  </si>
  <si>
    <t>POTENTIAL TEMPERATURE; SEA-WATER; CARBON; SOLUBILITY; SEAWATER; CO2; ALKALINITY; CONVECTION; PACIFIC; QUALITY</t>
  </si>
  <si>
    <t>The Global Ocean Data Analysis Project (GLODAP) is a synthesis effort providing regular compilations of surface-to-bottom ocean biogeochemical bottle data, with an emphasis on seawater inorganic carbon chemistry and related variables determined through chemical analysis of seawater samples. GLODAPv2.2021 is an update of the previous version, GLODAPv2.2020 (Olsen et al., 2020). The major changes are as follows: data from 43 new cruises were added, data coverage was extended until 2020, all data with missing temperatures were removed, and a digital object identifier (DOI) was included for each cruise in the product files. In addition, a number of minor corrections to GLODAPv2.2020 data were performed. GLODAPv2.2021 includes measurements from more than 1.3 million water samples from the global oceans collected on 989 cruises. The data for the 12 GLODAP core variables (salinity, oxygen, nitrate, silicate, phosphate, dissolved inorganic carbon, total alkalinity, pH, CFC-11, CFC-12, CFC-113, and CCl4) have undergone extensive quality control with a focus on systematic evaluation of bias. The data are available in two formats: (i) as submitted by the data originator but updated to World Ocean Circulation Experiment (WOCE) exchange format and (ii) as a merged data product with adjustments applied to minimize bias. For this annual update, adjustments for the 43 new cruises were derived by comparing those data with the data from the 946 quality controlled cruises in the GLODAPv2.2020 data product using crossover analysis. Comparisons to estimates of nutrients and ocean CO2 chemistry based on empirical algorithms provided additional context for adjustment decisions in this version. The adjustments are intended to remove potential biases from errors related to measurement, calibration, and data handling practices without removing known or likely time trends or variations in the variables evaluated. The compiled and adjusted data product is believed to be consistent with to better than 0.005 in salinity, 1% in oxygen, 2% in nitrate, 2% in silicate, 2% in phosphate, 4 mu mol kg(-1) in dissolved inorganic carbon, 4 mu mol kg(-1) in total alkalinity, 0.01-0.02 in pH (depending on region), and 5% in the halogenated transient tracers. The other variables included in the compilation, such as isotopic tracers and discrete CO2 fugacity (fCO(2)), were not subjected to bias comparison or adjustments. The original data, their documentation, and DOI codes are available at the Ocean Carbon Data System of NOAA NCEI (https://www.ncei.noaa.gov/access/ocean-carbon-data-system/oceans/GLODAPv2_2021/, last access: 7 July 2021). This site also provides access to the merged data product, which is provided as a single global file and as four regional ones - the Arctic, Atlantic, Indian, and Pacific oceans - under https://doi.org/10.25921/ttgq-n825 (Lauvset et al., 2021). These bias-adjusted product files also include significant ancillary and approximated data and can be accessed via https://www.glodap.info (last access: 29 June 2021). These were obtained by interpolation of, or calculation from, measured data. This living data update documents the GLODAPv2.2021 methods and provides a broad overview of the secondary quality control procedures and results.</t>
  </si>
  <si>
    <t>[Lauvset, Siv K.; Jeansson, Emil] NORCE Norwegian Res Ctr, Bjerknes Ctr Climate Res, Bergen, Norway; [Lange, Nico; Tanhua, Toste; Michaelis, Patrick; Schirnick, Carsten] GEOMAR Helmholtz Ctr Ocean Res Kiel, Kiel, Germany; [Bittig, Henry C.] Leibniz Inst Baltic Sea Res Warnemunde, Rostock, Germany; [Olsen, Are; Jones, Steve D.; Karlsen, Maren K.] Univ Bergen, Geophys Inst, Bergen, Norway; [Olsen, Are; Jones, Steve D.; Karlsen, Maren K.] Bjerknes Ctr Climate Res, Bergen, Norway; [Kozyr, Alex] NOAA, Natl Ctr Environm Informat, Silver Spring, MD USA; [Alvarez, Marta] IEO CSIC, Inst Espanol Oceanog, La Coruna, Spain; [Becker, Susan] Univ Calif San Diego, Scripps Inst Oceanog, San Diego, CA 92093 USA; [Brown, Peter J.] Natl Oceanog Ctr, Southampton, Hants, England; [Carter, Brendan R.] Univ Washington, Cooperat Inst Climate Ocean &amp; Ecosyst Studies, Seattle, WA USA; [Carter, Brendan R.; Feely, Richard A.] NOAA, Pacific Marine Environm Lab, 7600 Sand Point Way Ne, Seattle, WA 98115 USA; [da Cunha, Leticia Cotrim] Univ Estado Rio de Janeiro, Fac Oceanog, PPG Oceanog, Rio De Janeiro, RJ, Brazil; [van Heuven, Steven] Univ Groningen, Fac Sci &amp; Engn, Ctr Isotope Res, Groningen, Netherlands; [Hoppema, Mario] Helmholtz Ctr Polar &amp; Marine Res, Alfred Wegener Inst, Bremerhaven, Germany; [Ishii, Masao] Japan Meteorol Agcy, Meteorol Res Inst, Tsukuba, Ibaraki, Japan; [Jutterstrom, Sara; Pfeil, Benjamin] IVL Swedish Environm Res Inst, Gothenburg, Sweden; [Lo Monaco, Claire] Sorbonne Univ, LOCEAN, Paris, France; [Murata, Akihiko] Japan Agcy Marine Earth Sci &amp; Technol, Res Inst Global Change, Yokosuka, Kanagawa, Japan; [Perez, Fiz F.; Velo, Anton] IIM CSIC, Inst Invest Marinas, Vigo, Spain; [Steinfeldt, Reiner] Univ Bremen, Inst Environm Phys, Bremen, Germany; [Suzuki, Toru] Japan Hydrog Assoc, Marine Informat Res Ctr, Tokyo, Japan; [Tilbrook, Bronte] CSIRO, Oceans &amp; Atmosphere, Hobart, Tas, Australia; [Tilbrook, Bronte] Univ Tasmania, Australian Antarctic Program Partnership, Hobart, Tas, Australia; [Wanninkhof, Rik] NOAA, Atlantic Oceanog &amp; Meteorol Lab, Miami, FL 33149 USA; [Woosley, Ryan J.] MIT, Ctr Global Change Sci, Cambridge, MA USA; [Key, Robert M.] Princeton Univ, Atmospher &amp; Ocean Sci, Princeton, NJ 08540 USA</t>
  </si>
  <si>
    <t>Norwegian Research Centre (NORCE); Bjerknes Centre for Climate Research; Helmholtz Association; GEOMAR Helmholtz Center for Ocean Research Kiel; Leibniz Institut fur Ostseeforschung Warnemunde; University of Bergen; Bjerknes Centre for Climate Research; National Oceanic Atmospheric Admin (NOAA) - USA; Spanish Institute of Oceanography; University of California System; University of California San Diego; Scripps Institution of Oceanography; NERC National Oceanography Centre; University of Washington; University of Washington Seattle; National Oceanic Atmospheric Admin (NOAA) - USA; Universidade do Estado do Rio de Janeiro; University of Groningen; Helmholtz Association; Alfred Wegener Institute, Helmholtz Centre for Polar &amp; Marine Research; Japan Meteorological Agency; Meteorological Research Institute - Japan; IVL Swedish Environmental Research Institute; Sorbonne Universite; Museum National d'Histoire Naturelle (MNHN); Japan Agency for Marine-Earth Science &amp; Technology (JAMSTEC); Consejo Superior de Investigaciones Cientificas (CSIC); CSIC - Instituto de Investigaciones Marinas (IIM); University of Bremen; Commonwealth Scientific &amp; Industrial Research Organisation (CSIRO); University of Tasmania; National Oceanic Atmospheric Admin (NOAA) - USA; Atlantic Oceanographic &amp; Meteorological Laboratory (AOML); Massachusetts Institute of Technology (MIT); Princeton University</t>
  </si>
  <si>
    <t>Lauvset, SK (corresponding author), NORCE Norwegian Res Ctr, Bjerknes Ctr Climate Res, Bergen, Norway.</t>
  </si>
  <si>
    <t>siv.lauvset@norceresearch.no</t>
  </si>
  <si>
    <t>Tanhua, Toste/HLX-5402-2023; Cotrim da Cunha, Leticia/F-5732-2010; Lauvset, Siv K/AAA-3819-2022; Brown, Peter/AAN-4372-2020; Tilbrook, Bronte/A-1522-2012; Álvarez, Marta/D-4367-2009; Fernandez Perez, Fiz/B-9001-2011; Velo, Anton/B-4172-2019; Carter, Brendan/ABG-9706-2021; Olsen, Are/A-1511-2011; Lauvset, Siv K./H-7948-2016</t>
  </si>
  <si>
    <t>Cotrim da Cunha, Leticia/0000-0001-8035-1430; Brown, Peter/0000-0002-1152-1114; Álvarez, Marta/0000-0002-5075-9344; Fernandez Perez, Fiz/0000-0003-4836-8974; Velo, Anton/0000-0002-7598-5700; Olsen, Are/0000-0003-1696-9142; Lauvset, Siv K./0000-0001-8498-4067; Tanhua, Toste/0000-0002-0313-2557; Woosley, Ryan J./0000-0002-2008-7751; Bittig, Henry/0000-0002-8621-3095</t>
  </si>
  <si>
    <t>EU Horizon 2020 through the EuroSea action [862626]; Prociencia/UERJ; IEO RADIALES project; IEO RADPROF project; UK Climate Linked Atlantic Sector Science (CLASS) NERC National Capability Long-term Single Centre Science Programme [NE/R015953/1]; BOCATS2 project - MCIN/AEI [PID2019-104279GBC21]; NOAA Global Observations and Monitoring Division [100007298]; Office of Oceanic and Atmospheric Research of NOAA; BONUS INTEGRAL project [03F0773A]; Australian Antarctic Program Partnership; Integrated Marine Observing System; EU Horizon 2020 action SO-CHIC [821001]; Initiative and Networking Fund of the Helmholtz Association through the project Digital Earth [ZT-0025]; NORCE Climate; NERC [NE/R015953/1] Funding Source: UKRI</t>
  </si>
  <si>
    <t>EU Horizon 2020 through the EuroSea action; Prociencia/UERJ; IEO RADIALES project; IEO RADPROF project; UK Climate Linked Atlantic Sector Science (CLASS) NERC National Capability Long-term Single Centre Science Programme; BOCATS2 project - MCIN/AEI; NOAA Global Observations and Monitoring Division(National Oceanic Atmospheric Admin (NOAA) - USA); Office of Oceanic and Atmospheric Research of NOAA(National Oceanic Atmospheric Admin (NOAA) - USA); BONUS INTEGRAL project; Australian Antarctic Program Partnership; Integrated Marine Observing System; EU Horizon 2020 action SO-CHIC; Initiative and Networking Fund of the Helmholtz Association through the project Digital Earth; NORCE Climate; NERC(UK Research &amp; Innovation (UKRI)Natural Environment Research Council (NERC))</t>
  </si>
  <si>
    <t>This research has been supported by EU Horizon 2020 through the EuroSea action (grant no. 862626), internal strategic funding from NORCE Climate, Prociencia/UERJ (grant 2019-2021), IEO RADIALES and RADPROF projects, the UK Climate Linked Atlantic Sector Science (CLASS) NERC National Capability Long-term Single Centre Science Programme (grant no. NE/R015953/1), the BOCATS2 (PID2019-104279GBC21) project funded by MCIN/AEI/10.13039/501100011033 and contributing toWATER:iOS CSIC PTI, the NOAA Global Observations and Monitoring Division (fund reference 100007298), the Office of Oceanic and Atmospheric Research of NOAA, the BONUS INTEGRAL project (grant no. 03F0773A), the Australian Antarctic Program Partnership and the Integrated Marine Observing System, EU Horizon 2020 action SO-CHIC (grant no. 821001), and the Initiative and Networking Fund of the Helmholtz Association through the project Digital Earth (grant no. ZT-0025).</t>
  </si>
  <si>
    <t>DEC 3</t>
  </si>
  <si>
    <t>10.5194/essd-13-5565-2021</t>
  </si>
  <si>
    <t>XJ9JF</t>
  </si>
  <si>
    <t>Green Published, Green Accepted, gold, Green Submitted</t>
  </si>
  <si>
    <t>WOS:000727094000001</t>
  </si>
  <si>
    <t>Valdivia, N; Garces-Vargas, J; Garrido, I; Gomez, I; Huovinen, P; Navarro, NP; Macaya, EC; Pardo, LM</t>
  </si>
  <si>
    <t>Valdivia, Nelson; Garces-Vargas, Jose; Garrido, Ignacio; Gomez, Ivan; Huovinen, Pirjo; Navarro, Nelso P.; Macaya, Erasmo C.; Pardo, Luis Miguel</t>
  </si>
  <si>
    <t>Beta Diversity of Antarctic and Sub-Antarctic Benthic Communities Reveals a Major Role of Stochastic Assembly Processes</t>
  </si>
  <si>
    <t>neutral drift; niche; null models; physiology; priority effects; spatial scale</t>
  </si>
  <si>
    <t>BOTTOM POLYCHAETE DIVERSITY; SPECIES-DIVERSITY; MARINE; MAGELLAN; DISPERSAL; BIODIVERSITY; RECRUITMENT; TEMPERATE; GRADIENT; FOREST</t>
  </si>
  <si>
    <t>Community assembly is the result of both, deterministic and stochastic processes. The former encompasses niche-based local-scale mechanisms such as environmental filtering and biotic interactions; the latter includes ecological drift, probabilistic colonisation, and random extinctions. Using standardised sampling protocols, we show that the spatial variation in species composition (beta diversity) of shallow subtidal macrobenthic communities of sub-Antarctic (Strait of Magellan and Yendegaia Fjord [Beagle Channel]) and Antarctic (Fildes Bay [King George Island, West Antarctic Peninsula]) localities reflects a high contribution of stochastic processes to community assembly. Null model analyses indicated that random sampling from species pools of different sizes drove the observed among-locality differences in incidence- and abundance-based beta diversity. We analysed a normalised stochasticity ratio (NST), which delimits between more deterministic (&lt;50%) and more stochastic (&gt;50%) assembly. NST was notably larger than 50%, with mean values of 69.5% (95% CI = 69.2-69.8%), 62.5% (62.1-62.9%), and 72.8% (72.5-73.2%) in Strait of Magellan, Yendegaia Fjord, and Fildes Bay, respectively. Accordingly, environmental factors, such as depth, seawater temperature, salinity, and underwater light penetration, accounted for a small fraction of the spatial variation in community composition across the three localities. In this region, therefore, stochastic processes could have stronger effects on community assembly than deterministic niche-based factors. As anthropogenic biotic homogenisation continues apace, our study can give useful insights into the major ecological processes in Southern Ocean' coastal marine communities.</t>
  </si>
  <si>
    <t>[Valdivia, Nelson; Garces-Vargas, Jose; Gomez, Ivan; Huovinen, Pirjo; Pardo, Luis Miguel] Univers Austral Chile, Fac Ciencias, Inst Ciencias Marinas &amp; Limnol, Valdivia, Chile; [Valdivia, Nelson; Garces-Vargas, Jose; Garrido, Ignacio; Gomez, Ivan; Huovinen, Pirjo; Navarro, Nelso P.; Macaya, Erasmo C.; Pardo, Luis Miguel] Univers Austral Chile, Ctr FONDAP Invest Dinam Ecosistemas Marino Altas, Valdivia, Chile; [Garrido, Ignacio] Univers Austral Chile, Fac Ciencias, Lab Costero Recursos Acuaticos Calfuco, Valdivia, Chile; [Garrido, Ignacio] Univ Laval, Quebec Ocean, Dept Biol, Quebec City, PQ, Canada; [Navarro, Nelso P.] Univers Magallanes, Lab Ecofisiol &amp; Biotecnol Algas, Punta Arenas, Chile; [Macaya, Erasmo C.] Univ Concepcion, Dept Oceanog, Lab Estudios Alg, Concepcion, Chile; [Macaya, Erasmo C.] Nucl Milenio Ecol &amp; Manejo Sustentable Islas, Coquimbo, Chile</t>
  </si>
  <si>
    <t>Universidad Austral de Chile; Universidad Austral de Chile; Universidad Austral de Chile; Laval University; Universidad de Concepcion</t>
  </si>
  <si>
    <t>Valdivia, N (corresponding author), Univers Austral Chile, Fac Ciencias, Inst Ciencias Marinas &amp; Limnol, Valdivia, Chile.;Valdivia, N (corresponding author), Univers Austral Chile, Ctr FONDAP Invest Dinam Ecosistemas Marino Altas, Valdivia, Chile.</t>
  </si>
  <si>
    <t>nelson.valdivia@uach.cl</t>
  </si>
  <si>
    <t>Pardo, L M/A-3178-2008; Garces-Vargas, Jose JGV/F-8219-2013; Macaya, Erasmo C/B-8651-2011; Valdivia, Nelson/C-3613-2009</t>
  </si>
  <si>
    <t>Huovinen, Pirjo/0000-0002-7754-4933; Valdivia, Nelson/0000-0002-5394-2072; Gomez, Ivan/0000-0001-8381-3792; Garces-Vargas, Jose/0000-0002-6542-9348; Pardo, Luis Miguel/0000-0002-8179-5057</t>
  </si>
  <si>
    <t>FONDAP [15150003]; Centro de Investigacion en Dinamica de Ecosistemas Marinos de Altas Latitudes (IDEAL); Agencia Nacional de investigacion y Desarrollo (ANID) [72160109]; FONDECYT [1190529, 1181300, 1201069]</t>
  </si>
  <si>
    <t>FONDAP; Centro de Investigacion en Dinamica de Ecosistemas Marinos de Altas Latitudes (IDEAL); Agencia Nacional de investigacion y Desarrollo (ANID); FONDECYT(Comision Nacional de Investigacion Cientifica y Tecnologica (CONICYT)CONICYT FONDECYT)</t>
  </si>
  <si>
    <t>This study was financially supported by FONDAP grant #15150003, Centro de Investigacion en Dinamica de Ecosistemas Marinos de Altas Latitudes (IDEAL). IgG was financially supported by doctoral scholarship #72160109 (Becas Chile) granted by the Agencia Nacional de investigacion y Desarrollo (ANID). While writing, NV was supported by FONDECYT grants #1190529 and #1181300 and IvG and PH by FONDECYT grant #1201069. IM and two reviewers provided useful comments that improved a previous version of this manuscript.</t>
  </si>
  <si>
    <t>10.3389/fmars.2021.780268</t>
  </si>
  <si>
    <t>XQ3HX</t>
  </si>
  <si>
    <t>WOS:000731440400001</t>
  </si>
  <si>
    <t>Huang, LQ; Fischer, G; Hajnsek, I</t>
  </si>
  <si>
    <t>Huang, Lanqing; Fischer, Georg; Hajnsek, Irena</t>
  </si>
  <si>
    <t>Antarctic snow-covered sea ice topography derivation from TanDEM-X using polarimetric SAR interferometry</t>
  </si>
  <si>
    <t>CLASSIFICATION; BACKSCATTER; SIGNATURES; RETRIEVAL; THICKNESS; HEIGHT; WINTER; MODEL</t>
  </si>
  <si>
    <t>Single-pass interferometric synthetic aperture radar (InSAR) enables the possibility for sea ice topographic retrieval despite the inherent dynamics of sea ice. InSAR digital elevation models (DEMs) are measuring the radar scattering center height. The height bias induced by the penetration of electromagnetic waves into snow and ice leads to inaccuracies of the InSAR DEM, especially for thick and deformed sea ice with snow cover. In this study, an elevation difference between the satellite-measured InSAR DEM and the airborne-measured optical DEM is observed from a coordinated campaign over the western Weddell Sea in Antarctica. The objective is to correct the penetration bias and generate a precise sea ice topographic map from the single-pass InSAR data. With the potential of retrieving sea ice geophysical information by the polarimetric-interferometry (Pol-InSAR) technique, a two-layer-plus-volume model is proposed to represent the sea ice vertical structure and its scattering mechanisms. Furthermore, a simplified version of the model is derived, to allow its inversion with limited a priori knowledge, which is then applied to a topographic retrieval scheme. The experiments are performed across four polarizations: HH, VV, Pauli 1 (HH + VV), and Pauli 2 (HH-VV). The model-retrieved performance is validated with the optically derived DEM of the sea ice topography, showing an excellent performance with root-mean-square error as low as 0.26 m in Pauli-1 (HH + VV) polarization.</t>
  </si>
  <si>
    <t>[Huang, Lanqing; Hajnsek, Irena] Swiss Fed Inst Technol Zurich ETH, Inst Environm Engn, CH-8093 Zurich, Switzerland; [Fischer, Georg; Hajnsek, Irena] German Aerosp Ctr DLR, Microwaves &amp; Radar Inst, D-82234 Wessling, Germany</t>
  </si>
  <si>
    <t>Swiss Federal Institutes of Technology Domain; ETH Zurich; Helmholtz Association; German Aerospace Centre (DLR)</t>
  </si>
  <si>
    <t>Huang, LQ (corresponding author), Swiss Fed Inst Technol Zurich ETH, Inst Environm Engn, CH-8093 Zurich, Switzerland.</t>
  </si>
  <si>
    <t>huang@ifu.baug.ethz.ch</t>
  </si>
  <si>
    <t>Huang, Lanqing/AAR-4851-2021; Huang, Lanqing/ACF-9185-2022; Fischer, Georg/Y-3059-2019</t>
  </si>
  <si>
    <t>Huang, Lanqing/0000-0002-5180-7491; Huang, Lanqing/0000-0002-5180-7491; Fischer, Georg/0000-0002-4033-2005; Fischer, Georg/0000-0002-7987-5453; Hajnsek, Irena/0000-0002-0926-3283</t>
  </si>
  <si>
    <t>10.5194/tc-15-5323-2021</t>
  </si>
  <si>
    <t>XI9KQ</t>
  </si>
  <si>
    <t>WOS:000726421200001</t>
  </si>
  <si>
    <t>Kavan, J</t>
  </si>
  <si>
    <t>Kavan, Jan</t>
  </si>
  <si>
    <t>Fluvial transport in the deglaciated Antarctic catchment - Bohemian Stream, James Ross Island</t>
  </si>
  <si>
    <t>GEOGRAFISKA ANNALER SERIES A-PHYSICAL GEOGRAPHY</t>
  </si>
  <si>
    <t>Suspended sediment transport; fluvial processes; Antarctica</t>
  </si>
  <si>
    <t>SUSPENDED SEDIMENT CONCENTRATION; KING GEORGE ISLAND; BEDLOAD TRANSPORT; THERMAL REGIME; GLACIER; RIVER; MELTWATER; FLUX; PENINSULA; EROSION</t>
  </si>
  <si>
    <t>With the ongoing climate change and the prolongation of the summer melting season and increasing air temperature that this entails, fluvial transport is likely to become a more important process shaping the deglaciated areas of Antarctica. Quantification of suspended sediment transport in the deglaciated catchment of the Bohemian Stream is presented in this study. It was shown that a large amount of fine-grained material is being transported even in the relatively small catchment during the short period of the Antarctic summer. The average calculated suspended sediment concentration during the 2018 austral summer reached 274.6 mg l(-1), which corresponded to an average suspended sediment load of 3662 kg day(-1) and suspended sediment yield of 68 t km(-2) year(-1) when considering the flow season to be approximately 4 months per year. Such values are considerably higher than those reported from continental Antarctica; however, they are lower compared to most of the Arctic catchments.</t>
  </si>
  <si>
    <t>[Kavan, Jan] Masaryk Univ, Fac Sci, Dept Geog, Polar Geo Lab, Kotlarska 2, Brno 61137, Czech Republic</t>
  </si>
  <si>
    <t>Kavan, J (corresponding author), Masaryk Univ, Fac Sci, Dept Geog, Polar Geo Lab, Kotlarska 2, Brno 61137, Czech Republic.</t>
  </si>
  <si>
    <t>jan.kavan.cb@gmail.com</t>
  </si>
  <si>
    <t>Kavan, Jan/ACU-4986-2022</t>
  </si>
  <si>
    <t>Kavan, Jan/0000-0003-4524-3009</t>
  </si>
  <si>
    <t>Ministry of Education, Youth and Sports of the Czech Republic [LM2015078]; Czech Science Foundation [GC20-20240S]</t>
  </si>
  <si>
    <t>Ministry of Education, Youth and Sports of the Czech Republic(Ministry of Education, Youth &amp; Sports - Czech Republic); Czech Science Foundation(Grant Agency of the Czech Republic)</t>
  </si>
  <si>
    <t>This work was supported by the project of the Ministry of Education, Youth and Sports of the Czech Republic [grant number LM2015078] and Czech Science Foundation project GC20-20240S.</t>
  </si>
  <si>
    <t>0435-3676</t>
  </si>
  <si>
    <t>1468-0459</t>
  </si>
  <si>
    <t>GEOGR ANN A</t>
  </si>
  <si>
    <t>Geogr. Ann. Ser. A-Phys. Geogr.</t>
  </si>
  <si>
    <t>10.1080/04353676.2021.2010401</t>
  </si>
  <si>
    <t>Geography, Physical; Geology</t>
  </si>
  <si>
    <t>0K7QY</t>
  </si>
  <si>
    <t>WOS:000724680700001</t>
  </si>
  <si>
    <t>DeHolton, KL</t>
  </si>
  <si>
    <t>DeHolton, K. Leonard</t>
  </si>
  <si>
    <t>Low energy event classification in IceCube using boosted decision trees</t>
  </si>
  <si>
    <t>JOURNAL OF INSTRUMENTATION</t>
  </si>
  <si>
    <t>Article; Proceedings Paper</t>
  </si>
  <si>
    <t>Conference on Very Large Volume Neutrino Telescope</t>
  </si>
  <si>
    <t>MAY 18-21, 2021</t>
  </si>
  <si>
    <t>Valencia, SPAIN</t>
  </si>
  <si>
    <t>Neutrino detectors; Particle identification methods</t>
  </si>
  <si>
    <t>The DeepCore sub-array within the IceCube Neutrino Observatory is a densely instrumented region of Antarctic ice designed to observe atmospheric neutrino interactions above 5 GeV via Cherenkov radiation. An essential aspect of any neutrino oscillation analysis is the ability to accurately identify the flavor of neutrino events in the detector. This task is particularly difficult at low energies when very little light is deposited in the detector. Here we discuss the use of machine learning to perform event classification at low energies in IceCube using a boosted decision tree (BDT). A BDT is trained using reconstructed quantities to identify track-like events, which result from muon neutrino charged current interactions. This new method improves the accuracy of particle identification compared to traditional classification methods which rely on univariate straight cuts.</t>
  </si>
  <si>
    <t>[DeHolton, K. Leonard] Univ Wisconsin, Dept Phys, 1150 Univ Ave, Madison, WI 53706 USA; [DeHolton, K. Leonard] Univ Wisconsin, Wisconsin IceCube Particle Astrophys Ctr, 1150 Univ Ave, Madison, WI 53706 USA</t>
  </si>
  <si>
    <t>University of Wisconsin System; University of Wisconsin Madison; University of Wisconsin System; University of Wisconsin Madison</t>
  </si>
  <si>
    <t>DeHolton, KL (corresponding author), Univ Wisconsin, Dept Phys, 1150 Univ Ave, Madison, WI 53706 USA.;DeHolton, KL (corresponding author), Univ Wisconsin, Wisconsin IceCube Particle Astrophys Ctr, 1150 Univ Ave, Madison, WI 53706 USA.</t>
  </si>
  <si>
    <t>kayla.leonard@icecube.wisc.edu</t>
  </si>
  <si>
    <t>Sarkar, Subir/G-5978-2011</t>
  </si>
  <si>
    <t>Sarkar, Subir/0000-0002-3542-858X; Leonard DeHolton, Kayla/0000-0002-8795-0601</t>
  </si>
  <si>
    <t>1748-0221</t>
  </si>
  <si>
    <t>J INSTRUM</t>
  </si>
  <si>
    <t>J. Instrum.</t>
  </si>
  <si>
    <t>C12007</t>
  </si>
  <si>
    <t>10.1088/1748-0221/16/12/C12007</t>
  </si>
  <si>
    <t>Instruments &amp; Instrumentation</t>
  </si>
  <si>
    <t>Science Citation Index Expanded (SCI-EXPANDED); Conference Proceedings Citation Index - Science (CPCI-S)</t>
  </si>
  <si>
    <t>ZT0QA</t>
  </si>
  <si>
    <t>WOS:000768860400001</t>
  </si>
  <si>
    <t>Rothwell, DR</t>
  </si>
  <si>
    <t>Rothwell, Donald R.</t>
  </si>
  <si>
    <t>THE ANTARCTIC TREATY AT SIXTY YEARS: PAST, PRESENT AND FUTURE</t>
  </si>
  <si>
    <t>MELBOURNE JOURNAL OF INTERNATIONAL LAW</t>
  </si>
  <si>
    <t>MARINE PROTECTED AREAS; GEOPOLITICS; POSITION</t>
  </si>
  <si>
    <t>The 1959 Antarctic Treaty entered into force on 23 June 1961. It remains as a unique example of an international law instrument providing a governance mechanism for a single continent. The Treaty celebrates its 60th anniversary at a time when Antarctica is increasingly coming under the spotlight with debate as to whether a Cold War treaty is capable of continuing to provide an appropriate governance framework for Antarctica in the 21st century. The debate has raised issues with respect to the ongoing interests and motivations of the seven Antarctic claimant states (Argentina, Australia, Chile, France, New Zealand, Norway, United Kingdom), the role of historically prominent non-claimant states such as the United States and the Russian Federation, and the interests of others such as China. This article assesses whether the Treaty and the associated 'Antarctic Treaty System' are sufficiently resilient to address the challenges confronting Antarctic governance in the 2020s. These challenges extend to accommodating the interests of the founding Treaty parties and subsequent Treaty parties with respect to their Antarctic aspirations, and the ongoing interest of states in Antarctica's mineral resources. Particular attention is given to whether it remains possible for Treaty parties to request an art XII 'Review Conference' and the treaty review mechanisms that exist within the 1991 Madrid Protocol on Environmental Protection. If the Antarctic Treaty is not capable of amendment, the options for treaty withdrawal are assessed.</t>
  </si>
  <si>
    <t>[Rothwell, Donald R.] Australian Natl Univ, Coll Law, Int Law, Canberra, ACT, Australia</t>
  </si>
  <si>
    <t>Australian National University</t>
  </si>
  <si>
    <t>Rothwell, DR (corresponding author), Australian Natl Univ, Coll Law, Int Law, Canberra, ACT, Australia.</t>
  </si>
  <si>
    <t>Rothwell, Donald R/V-1403-2018</t>
  </si>
  <si>
    <t>UNIV MELBOURNE, MELBOURNE LAW SCH</t>
  </si>
  <si>
    <t>MELBOURNE</t>
  </si>
  <si>
    <t>MELBOURNE LAW SCH, MELBOURNE, VIC 3010, AUSTRALIA</t>
  </si>
  <si>
    <t>1444-8602</t>
  </si>
  <si>
    <t>1444-8610</t>
  </si>
  <si>
    <t>MELB J INT LAW</t>
  </si>
  <si>
    <t>Melb. J. Int. Law</t>
  </si>
  <si>
    <t>Law</t>
  </si>
  <si>
    <t>5D0PU</t>
  </si>
  <si>
    <t>WOS:000864654000007</t>
  </si>
  <si>
    <t>Hou, SS; Shi, JX</t>
  </si>
  <si>
    <t>Hou, Saisai; Shi, Jiuxin</t>
  </si>
  <si>
    <t>Variability and Formation Mechanism of Polynyas in Eastern Prydz Bay, Antarctica</t>
  </si>
  <si>
    <t>polynya; offshore fast ice; iceberg; remote sensing; eastern Prydz Bay; Antarctica</t>
  </si>
  <si>
    <t>SEA-ICE PRODUCTION; COASTAL POLYNYAS; BASAL MELT; WATER; SHELF; CIRCULATION; IMPACT</t>
  </si>
  <si>
    <t>Based on satellite remote sensing, several polynyas have been found in Prydz Bay, East Antarctica. Compared with the Mackenzie Bay Polynya, the only polynya in the west, the polynyas in eastern Prydz Bay have a larger area and higher ice production, but have never been studied individually. In this study, four recurrent polynyas were identified in eastern Prydz Bay from sea ice concentration data during 2002-2011. Their areas generally exhibit synchronous temporal variations and have good correlation with wind speed, which indicates that they are primarily wind-driven polynyas that need at least one stationary ice barrier to block the inflow of drifting sea ice. The components of the ice barriers of these four polynyas were identified through comparison of satellite remote sensing visible images and synthetic aperture radar images. All types of fast ice, including landfast ice, offshore fast ice and ice fingers serving as ice barriers for these polynyas are anchored by an assemblage of small icebergs and have an approximately year-round period of variations that also regulates the variability of polynyas. The movement and grounding of giant icebergs near the polynyas significantly affects the development of the polynyas. The results of this study illustrate the important impact of icebergs on Antarctic wind-driven polynyas and the formation of dense shelf water.</t>
  </si>
  <si>
    <t>[Hou, Saisai; Shi, Jiuxin] Ocean Univ China, Phys Oceanog Lab, Qingdao 266100, Peoples R China; [Hou, Saisai; Shi, Jiuxin] Pilot Natl Lab Marine Sci &amp; Technol Qingdao, Qingdao 266237, Peoples R China</t>
  </si>
  <si>
    <t>Shi, JX (corresponding author), Ocean Univ China, Phys Oceanog Lab, Qingdao 266100, Peoples R China.;Shi, JX (corresponding author), Pilot Natl Lab Marine Sci &amp; Technol Qingdao, Qingdao 266237, Peoples R China.</t>
  </si>
  <si>
    <t>housaisai@stu.ouc.edu.cn; shijiuxin@ouc.edu.cn</t>
  </si>
  <si>
    <t>Hou, Saisai/0000-0001-9878-4314; Shi, Jiuxin/0000-0002-5825-8894</t>
  </si>
  <si>
    <t>National Natural Science Foundation of China [41976217]; National Key R&amp;D Program of China [2018YFA0605701]; Chinese Arctic and Antarctic Administration (IRASCC2020-2022)</t>
  </si>
  <si>
    <t>National Natural Science Foundation of China(National Natural Science Foundation of China (NSFC)); National Key R&amp;D Program of China; Chinese Arctic and Antarctic Administration (IRASCC2020-2022)</t>
  </si>
  <si>
    <t>This study was supported by the National Natural Science Foundation of China (No. 41976217), the National Key R&amp;D Program of China (No. 2018YFA0605701), and the Chinese Arctic and Antarctic Administration (IRASCC2020-2022).</t>
  </si>
  <si>
    <t>10.3390/rs13245089</t>
  </si>
  <si>
    <t>ZX2KS</t>
  </si>
  <si>
    <t>WOS:000771728900019</t>
  </si>
  <si>
    <t>Li, LZ; Lu, P; Chi, H; Huang, HL; Cai, YQ</t>
  </si>
  <si>
    <t>Li, Lingzhi; Lu, Ping; Chi, Hai; Huang, Hongliang; Cai, Youqiong</t>
  </si>
  <si>
    <t>Sustainable development of antarctic krill environmental resources based on system dynamics</t>
  </si>
  <si>
    <t>ECOLOGICAL CHEMISTRY AND ENGINEERING S-CHEMIA I INZYNIERIA EKOLOGICZNA S</t>
  </si>
  <si>
    <t>system dynamics; Antarctic krill; resource protection; sustainable development</t>
  </si>
  <si>
    <t>MARINE PROTECTED AREAS; FISHERIES; INTERNET; DRIVERS; THINGS; MODEL</t>
  </si>
  <si>
    <t>Antarctic krill mainly inhabit the Antarctic Ocean, not far from Antarctica, especially the Weddell Sea, where krill is dense. Marine fisheries have reached new levels, but the topic of sustainable use of marine fishery resources is far from reaching the required levels. In order to study the sustainable development of the Antarctic krill environment, this paper studies the living environment and applicability of Antarctic krill based on system dynamics, and provides some references for the sustainable development of marine resources. Mentioned the use of case analysis method, literature analysis method and other methods to collect data, build a Model, and read and analyse a large number of related literatures through the literature survey method. The experimental results proved that the salinity has a significant effect on the survival rate of Antarctic krill (p &lt; 0.05). When the salinity is 34, the molting frequency reaches its maximum value, which is 70 %. It is concluded that the ability of Antarctic krill to adapt to gradual changes in salinity is stronger than that of sudden changes in salinity, and the suitable salinity for survival is 30-42. With 34 as the basic salinity, when the salinity rises within a certain range, the molting rate of krill will increase, and as the salinity decreases, the molting rate will gradually decrease. This shows that improving the environmental resources of Antarctic krill is an effective method for improving salinity.</t>
  </si>
  <si>
    <t>[Li, Lingzhi; Chi, Hai; Huang, Hongliang; Cai, Youqiong] Chinese Acad Fishery Sci, East China Sea Fisheries Res Inst, Shanghai 200090, Peoples R China; [Lu, Ping] Dalian Univ Sci &amp; Technol, Sch Econ &amp; Management, Dalian 116052, Liaoning, Peoples R China</t>
  </si>
  <si>
    <t>Chinese Academy of Fishery Sciences; East China Sea Fisheries Research Institute, CAFS; Dalian University of Technology</t>
  </si>
  <si>
    <t>Chi, H (corresponding author), Chinese Acad Fishery Sci, East China Sea Fisheries Res Inst, Shanghai 200090, Peoples R China.</t>
  </si>
  <si>
    <t>lilz@ecsf.ac.cn; annelp1013@hotmail.com; chih@ecsf.ac.cn; ecshhl@163.com; caiyouqiong@163.com</t>
  </si>
  <si>
    <t>Li, Lingzhi/K-9055-2016</t>
  </si>
  <si>
    <t>National Key R&amp;D Program of China [2017YFC1600706]; Central Public-interest Scientific Institution Basal Research Fund, CAFS [2020TD68]; Natural Science Foundation of Shanghai [18ZR1449900]</t>
  </si>
  <si>
    <t>National Key R&amp;D Program of China; Central Public-interest Scientific Institution Basal Research Fund, CAFS; Natural Science Foundation of Shanghai(Natural Science Foundation of Shanghai)</t>
  </si>
  <si>
    <t>This work was supported by the National Key R&amp;D Program of China (No. 2017YFC1600706); Central Public-interest Scientific Institution Basal Research Fund, CAFS (No. 2020TD68), Natural Science Foundation of Shanghai (18ZR1449900). We highly appreciated that the 36th Antarctic expedition of China supported the samples of Antarctic krill.</t>
  </si>
  <si>
    <t>1898-6196</t>
  </si>
  <si>
    <t>2084-4549</t>
  </si>
  <si>
    <t>ECOL CHEM ENG S</t>
  </si>
  <si>
    <t>Ecol. Chem. Eng. S-</t>
  </si>
  <si>
    <t>DEC 1</t>
  </si>
  <si>
    <t>10.2478/eces-2021-0031</t>
  </si>
  <si>
    <t>0D9HX</t>
  </si>
  <si>
    <t>WOS:000776300700002</t>
  </si>
  <si>
    <t>Zhuravskiy, DM; Ivanov, BV</t>
  </si>
  <si>
    <t>Zhuravskiy, D. M.; Ivanov, B., V</t>
  </si>
  <si>
    <t>A Technique for Photogrammetric Estimation of Albedo of Snow-Ice Surfaces</t>
  </si>
  <si>
    <t>IZVESTIYA ATMOSPHERIC AND OCEANIC PHYSICS</t>
  </si>
  <si>
    <t>remote methods; albedo; solar radiation; exposure metering; photogrammetry</t>
  </si>
  <si>
    <t>New ways to improve the original technique for assessing the albedo of snow-ice surfaces with the use of ground measurements of incoming solar radiation, photogrammetric information, and metadata on shooting parameters (Zhuravskiy et al., 2018) are considered. The first version of the technique was used to assess the albedo of natural and artificial snow-ice surfaces (fast ice, glacial-crack zones, ice-airfield runways) in the region of the Russian Antarctic station Progress (Zhuravskiy et al., 2020). However, that technique did not always allow assessment of the albedo under strong changing illumination of the surface and with limited source data. The new technique makes more correct estimation of the albedo under extreme conditions possible.</t>
  </si>
  <si>
    <t>[Zhuravskiy, D. M.; Ivanov, B., V] Arctic &amp; Antarctic Res Inst, St Petersburg 199397, Russia; [Ivanov, B., V] St Petersburg State Univ, St Petersburg 199034, Russia</t>
  </si>
  <si>
    <t>Ivanov, BV (corresponding author), Arctic &amp; Antarctic Res Inst, St Petersburg 199397, Russia.;Ivanov, BV (corresponding author), St Petersburg State Univ, St Petersburg 199034, Russia.</t>
  </si>
  <si>
    <t>b_ivanov@aari.ru</t>
  </si>
  <si>
    <t>[24 NITR/OPR]</t>
  </si>
  <si>
    <t>The work was performed within the framework of project 24 NITR/OPR of Roshydromet, section 5.1.4, Monitoring of the State and Pollution of the Natural Environment, Including the Cryosphere, in the Arctic Basin and the Regions of the Cape Baranov Research Base, the Tiksi Hydrometeorological Observatory, and the Russian Scientific Center on the Spitsbergen Archipelago.</t>
  </si>
  <si>
    <t>MAIK NAUKA/INTERPERIODICA/SPRINGER</t>
  </si>
  <si>
    <t>233 SPRING ST, NEW YORK, NY 10013-1578 USA</t>
  </si>
  <si>
    <t>0001-4338</t>
  </si>
  <si>
    <t>1555-628X</t>
  </si>
  <si>
    <t>IZV ATMOS OCEAN PHY+</t>
  </si>
  <si>
    <t>Izv. Atmos. Ocean. Phys.</t>
  </si>
  <si>
    <t>10.1134/S0001433821120252</t>
  </si>
  <si>
    <t>0C2BM</t>
  </si>
  <si>
    <t>WOS:000775125100005</t>
  </si>
  <si>
    <t>Alekseeva, TA; Sokolova, JV; Tikhonov, VV; Smolyanitsky, VM; Afanasyeva, EV; Raev, MD; Sharkov, EA</t>
  </si>
  <si>
    <t>Alekseeva, T. A.; Sokolova, J., V; Tikhonov, V. V.; Smolyanitsky, V. M.; Afanasyeva, E., V; Raev, M. D.; Sharkov, E. A.</t>
  </si>
  <si>
    <t>Analysis of Sea-Ice Areas Undetectable by the ASI Algorithm Based on Satellite Microwave Radiometry in the Arctic Ocean</t>
  </si>
  <si>
    <t>Arctic Ocean; satellite microwave radiometry; ice extent; ice concentration; ice destruction; ice pollution</t>
  </si>
  <si>
    <t>RETRIEVAL; TRANSPORT; SUMMER</t>
  </si>
  <si>
    <t>In the period of intense ice melting, algorithms retrieving sea-ice concentration from satellite microwave radiometry (SMR) data may fail to detect vast regions of floating ice. Late-stage melting is characterized by an abundance of melt ponds on ice, resulting in considerable underestimation of sea-ice concentration. Also, during melting, ice concentration decreases and ice breccias disintegrate; therefore the size of ice floes decreases. In winter, at river mouths in the shelf seas, ice is formed with a heavy load of terrigenous sediments carried by the rivers. A dirty ice surface becomes visible in summer when snow cover melts off. SMR techniques fail to adequately determine dirty ice concentration. The paper considers the impact of ice melt, concentration, floe size, and dirtiness on the determination of sea ice extent in the Arctic in summer using the ARTIST Sea Ice (ASI) algorithm. Our study shows that the portion of ice cover left undetected by the SMR technique may range in different years 5.7 to 23.3% of the total Arctic sea ice extent.</t>
  </si>
  <si>
    <t>[Alekseeva, T. A.; Sokolova, J., V; Smolyanitsky, V. M.; Afanasyeva, E., V] Arctic &amp; Antarctic Res Inst, St Petersburg 199397, Russia; [Alekseeva, T. A.; Sokolova, J., V; Tikhonov, V. V.; Raev, M. D.; Sharkov, E. A.] Russian Acad Sci, Space Res Inst, Moscow 117996, Russia; [Tikhonov, V. V.] Russian Acad Sci, Inst Water &amp; Environm Problems, Siberian Branch, Barnaul 656038, Russia</t>
  </si>
  <si>
    <t>Arctic &amp; Antarctic Research Institute; Russian Academy of Sciences; Space Research Institute of the Russian Academy of Sciences; Institute for Water &amp; Environmental Problems, Siberian Branch of the Russian Academy of Sciences; Russian Academy of Sciences</t>
  </si>
  <si>
    <t>Alekseeva, TA (corresponding author), Arctic &amp; Antarctic Res Inst, St Petersburg 199397, Russia.;Alekseeva, TA (corresponding author), Russian Acad Sci, Space Res Inst, Moscow 117996, Russia.</t>
  </si>
  <si>
    <t>taa@aari.ru</t>
  </si>
  <si>
    <t>Alekseeva, Tatiana A/K-5879-2015; Afanasyeva, Ekaterina/ABI-2167-2020</t>
  </si>
  <si>
    <t>Afanasyeva, Ekaterina/0000-0002-3005-4961</t>
  </si>
  <si>
    <t>Russian Foundation for Basic Research [18-05-60048]; [01.20.0.2.00164]</t>
  </si>
  <si>
    <t>Russian Foundation for Basic Research(Russian Foundation for Basic Research (RFBR)Spanish Government);</t>
  </si>
  <si>
    <t>The work with ice maps compiled at the Arctic and Antarctic Research Institute (AARRC) Ice and Hydrometeorological Information Center and AARI ice airborne reconnaissance data was supported by the Russian Foundation for Basic Research, project no. 18-05-60048 Investigation of the Interannual Variability of the Sea Ice Balance in the Arctic Ocean at the Turn of the 20th and 21st Centuries (T. A. Alekseeva and V.M. Smolyanitskiy). The work with the data of the ASI algorithm and satellite images in the visible range was carried out within the framework of the topic Monitoring, state registration no. 01.20.0.2.00164 (Yu.V. Sokolova, V.V. Tikhonov, M.D. Raev, and E.A. Sharkov).</t>
  </si>
  <si>
    <t>10.1134/S0001433821120033</t>
  </si>
  <si>
    <t>WOS:000775125100017</t>
  </si>
  <si>
    <t>Morino, S; Kurita, N; Hirasawa, N; Motoyama, H; Sugiura, K; Lazzara, M; Mikolajczyk, D; Welhouse, L; Keller, L; Weidner, G</t>
  </si>
  <si>
    <t>Morino, Shohei; Kurita, Naoyuki; Hirasawa, Naohiko; Motoyama, Hideaki; Sugiura, Konosuke; Lazzara, Matthew; Mikolajczyk, David; Welhouse, Lee; Keller, Linda; Weidner, George</t>
  </si>
  <si>
    <t>Comparison of Ventilated and Unventilated Air Temperature Measurements in Inland Dronning Maud Land on the East Antarctic Plateau</t>
  </si>
  <si>
    <t>JOURNAL OF ATMOSPHERIC AND OCEANIC TECHNOLOGY</t>
  </si>
  <si>
    <t>Antarctica; Data quality control; In situ atmospheric observations; Instrumentation/sensors</t>
  </si>
  <si>
    <t>ERRORS</t>
  </si>
  <si>
    <t>Surface temperature measurements with naturally ventilated (NV) sensors over the Antarctic Plateau are largely subject to systematic errors caused by solar radiative heating. Here we examined the radiative heating error in Dronning Maud Land on the East Antarctic Plateau using both the newly installed automatic weather stations (AWSs) at NDF and Relay Station and the existing AWSs at Relay Station and Dome Fuji. Two types of NV shields were used in these AWSs: a multiplate radiation shield and a simple cylinder-shaped shield. In austral summer, the temperature bias between the force-ventilated (FV) sensor and the NV sensor never reached zero because of continuous sunlight. The hourly mean temperature errors reached up to 8 &amp; DEG;C at noon on a sunny day with weak wind conditions. The errors increased linearly with increasing reflected shortwave radiation and decreased nonlinearly with increasing wind speed. These features were observed in both the multiplate and the cylinder-shaped shields. The magnitude of the errors of the multiplate shield was much larger than that of the cylinder-shaped shield. To quantify the radiative errors, we applied an existing correction model based on the regression approach and successfully reduced the errors by more than 70% after the correction. This indicates that we can use the corrected temperature data instead of quality controlled data, which removed warm bias during weak winds in inland Dronning Maud Land.</t>
  </si>
  <si>
    <t>[Morino, Shohei; Kurita, Naoyuki] Nagoya Univ, Grad Sch Environm Studies, Nagoya, Aichi, Japan; [Kurita, Naoyuki] Nagoya Univ, Inst Space Earth Environm Sci, Nagoya, Aichi, Japan; [Hirasawa, Naohiko; Motoyama, Hideaki] Natl Inst Polar Res, Tokyo, Japan; [Sugiura, Konosuke] Toyama Univ, Sch Sustainable Design, Dept Earth Syst Sci, Toyama, Japan; [Lazzara, Matthew; Mikolajczyk, David; Welhouse, Lee; Keller, Linda; Weidner, George] Univ Wisconsin, Antarctic Meteorol Res &amp; Data Ctr, Space Sci &amp; Engn Ctr, Madison, WI USA; [Lazzara, Matthew; Welhouse, Lee] Tech Coll, Dept Phys Sci, Madison Area, Sch Engn Sci &amp; Math, Madison, WI USA; [Mikolajczyk, David; Keller, Linda; Weidner, George] Univ Wisconsin, Dept Atmospher &amp; Ocean Sci, Madison, WI USA</t>
  </si>
  <si>
    <t>Nagoya University; Nagoya University; Research Organization of Information &amp; Systems (ROIS); National Institute of Polar Research (NIPR) - Japan; University of Toyama; University of Wisconsin System; University of Wisconsin Madison; University of Wisconsin System; University of Wisconsin Madison</t>
  </si>
  <si>
    <t>Kurita, N (corresponding author), Nagoya Univ, Grad Sch Environm Studies, Nagoya, Aichi, Japan.;Kurita, N (corresponding author), Nagoya Univ, Inst Space Earth Environm Sci, Nagoya, Aichi, Japan.</t>
  </si>
  <si>
    <t>nkurita@nagoya-u.jp</t>
  </si>
  <si>
    <t>Mikolajczyk, David/0000-0001-7931-5504; Welhouse, Lee/0000-0002-7466-5836; Lazzara, Matthew/0000-0002-4343-498X</t>
  </si>
  <si>
    <t>National Institute of Polar Research (NIPR) [KP-302]; Japanese Antarctic Research Expedition (JARE) [AP0911, AJ0903]; National Institute of Polar Research (NIPR) under MEXT; JSPS KAKENHI [18K19851]; U.S. National Science Foundation [1924730]; Grants-in-Aid for Scientific Research [18K19851] Funding Source: KAKEN</t>
  </si>
  <si>
    <t>National Institute of Polar Research (NIPR)(National Institute of Polar Research (NIPR) - Japan); Japanese Antarctic Research Expedition (JARE); National Institute of Polar Research (NIPR) under MEXT; JSPS KAKENHI(Ministry of Education, Culture, Sports, Science and Technology, Japan (MEXT)Japan Society for the Promotion of ScienceGrants-in-Aid for Scientific Research (KAKENHI)); U.S. National Science Foundation(National Science Foundation (NSF)); Grants-in-Aid for Scientific Research(Ministry of Education, Culture, Sports, Science and Technology, Japan (MEXT)Japan Society for the Promotion of ScienceGrants-in-Aid for Scientific Research (KAKENHI))</t>
  </si>
  <si>
    <t>This study was supported by National Institute of Polar Research (NIPR) through Project Research KP-302. This study was conducted as parts of two Scientific Programs under the Japanese Antarctic Research Expedition (JARE), which are titled Mechanism of variation in surface condition of the ice sheet and heat and moisture budget in east Antarctica (project AP0911) and Antarctic paleoenvironmental reconstructions for unraveling the Earth system variations (project AJ0903). It was supported by the National Institute of Polar Research (NIPR) under MEXT. This work was supported by JSPS KAKENHI Grant 18K19851. The UW-AWS program is funded by U.S. National Science Foundation Grant 1924730.</t>
  </si>
  <si>
    <t>0739-0572</t>
  </si>
  <si>
    <t>1520-0426</t>
  </si>
  <si>
    <t>J ATMOS OCEAN TECH</t>
  </si>
  <si>
    <t>J. Atmos. Ocean. Technol.</t>
  </si>
  <si>
    <t>10.1175/JTECH-D-21-0107.1</t>
  </si>
  <si>
    <t>Engineering, Ocean; Meteorology &amp; Atmospheric Sciences</t>
  </si>
  <si>
    <t>Engineering; Meteorology &amp; Atmospheric Sciences</t>
  </si>
  <si>
    <t>YK4XE</t>
  </si>
  <si>
    <t>WOS:000745216800004</t>
  </si>
  <si>
    <t>Jin, H; Park, E; Lee, J</t>
  </si>
  <si>
    <t>Jin, H.; Park, E.; Lee, J.</t>
  </si>
  <si>
    <t>A study on the effect of warming on Antarctic plant-pathogen interactions</t>
  </si>
  <si>
    <t>MOLECULAR PLANT-MICROBE INTERACTIONS</t>
  </si>
  <si>
    <t>[Jin, H.] Korea Polar Res Inst, Incheon, South Korea; [Park, E.] Univ Wyoming, Dept Mol Biol, Laramie, WY 82071 USA; [Lee, J.] Korea Polar Res Inst, Div Life Sci, Incheon, South Korea</t>
  </si>
  <si>
    <t>Korea Polar Research Institute (KOPRI); University of Wyoming; Korea Polar Research Institute (KOPRI)</t>
  </si>
  <si>
    <t>AMER PHYTOPATHOLOGICAL SOC</t>
  </si>
  <si>
    <t>ST PAUL</t>
  </si>
  <si>
    <t>3340 PILOT KNOB ROAD, ST PAUL, MN 55121 USA</t>
  </si>
  <si>
    <t>0894-0282</t>
  </si>
  <si>
    <t>1943-7706</t>
  </si>
  <si>
    <t>MOL PLANT MICROBE IN</t>
  </si>
  <si>
    <t>Mol. Plant-Microbe Interact.</t>
  </si>
  <si>
    <t>S</t>
  </si>
  <si>
    <t>Biochemistry &amp; Molecular Biology; Biotechnology &amp; Applied Microbiology; Plant Sciences</t>
  </si>
  <si>
    <t>ZY0QU</t>
  </si>
  <si>
    <t>WOS:000772296400043</t>
  </si>
  <si>
    <t>Shadwick, EH; Rigual-Hernández, AS; Eriksen, RS; Jansen, P; Davies, DM; Wynn-Edwards, CA; Sutton, A; Schallenberg, C; Shulz, E; Trull, TW</t>
  </si>
  <si>
    <t>Shadwick, Elizabeth H.; Rigual-Hernandez, Andres S.; Eriksen, Ruth S.; Jansen, Peter; Davies, Diana M.; Wynn-Edwards, Cathryn A.; Sutton, Adrienne; Schallenberg, Christina; Shulz, Eric; Trull, Thomas W.</t>
  </si>
  <si>
    <t>Changes in Southern Ocean Biogeochemistry and the Potential Impact on pH-Sensitive Planktonic Organisms</t>
  </si>
  <si>
    <t>OCEANOGRAPHY</t>
  </si>
  <si>
    <t>[Shadwick, Elizabeth H.; Eriksen, Ruth S.; Jansen, Peter; Davies, Diana M.; Wynn-Edwards, Cathryn A.; Trull, Thomas W.] CSIRO Oceans &amp; Atmosphere, Dutton Pk, Australia; [Shadwick, Elizabeth H.; Eriksen, Ruth S.; Davies, Diana M.; Wynn-Edwards, Cathryn A.; Schallenberg, Christina; Trull, Thomas W.] Univ Tasmania, Australian Antarctic Program Partnership, Hobart, Tas, Australia; [Rigual-Hernandez, Andres S.] Univ Salamanca, Dept Geol, Area Paleontol, Salamanca, Spain; [Eriksen, Ruth S.; Wynn-Edwards, Cathryn A.; Schallenberg, Christina] Univ Tasmania, Inst Marine &amp; Antarctic Studies, Hobart, Tas, Australia; [Sutton, Adrienne] NOAA, Pacific Marine Environm Lab, 7600 Sand Point Way Ne, Seattle, WA 98115 USA; [Shulz, Eric] Bur Meteorol, Ctr Australian Weather &amp; Climate Res, Melbourne, Vic, Australia</t>
  </si>
  <si>
    <t>Commonwealth Scientific &amp; Industrial Research Organisation (CSIRO); University of Tasmania; University of Salamanca; University of Tasmania; National Oceanic Atmospheric Admin (NOAA) - USA; Commonwealth Scientific &amp; Industrial Research Organisation (CSIRO); Bureau of Meteorology - Australia</t>
  </si>
  <si>
    <t>Shadwick, EH (corresponding author), CSIRO Oceans &amp; Atmosphere, Dutton Pk, Australia.;Shadwick, EH (corresponding author), Univ Tasmania, Australian Antarctic Program Partnership, Hobart, Tas, Australia.</t>
  </si>
  <si>
    <t>elizabeth.shadwick@csiro.au; ruth.eriksen@csiro.au</t>
  </si>
  <si>
    <t>Rigual-Hernández, Andrés/E-2041-2018; Sutton, Adrienne/C-7725-2015; Schallenberg, Christina/N-4187-2017; Eriksen, Ruth/J-7760-2014</t>
  </si>
  <si>
    <t>Rigual-Hernández, Andrés/0000-0003-1521-3896; Sutton, Adrienne/0000-0002-7414-7035; Schallenberg, Christina/0000-0002-3073-7500; Wynn-Edwards, Cathryn/0000-0001-9078-0394; Eriksen, Ruth/0000-0002-5184-2465</t>
  </si>
  <si>
    <t>Australian Antarctic Program Partnership through the Australian Government's Antarctic Science Collaboration Initiative; European Union's Horizon 2020 research and innovation programme under the Marie Skodowska-Curie [748690 - SONAR-CO2]</t>
  </si>
  <si>
    <t>Australian Antarctic Program Partnership through the Australian Government's Antarctic Science Collaboration Initiative; European Union's Horizon 2020 research and innovation programme under the Marie Skodowska-Curie(European Union (EU))</t>
  </si>
  <si>
    <t>Data were sourced from Australia's Integrated Marine Observing System (IMOS)-IMOS is enabled by the National Collaborative Research Infrastructure Strategy (NCRIS) . This work was supported by the Australian Antarctic Program Partnership through the Australian Government's Antarctic Science Collaboration Initiative. This is PMEL contribution 5302. RH acknowledges funding from the European Union's Horizon 2020 research and innovation programme under the Marie Skodowska-Curie grant agreement number 748690 - SONAR-CO2.</t>
  </si>
  <si>
    <t>OCEANOGRAPHY SOC</t>
  </si>
  <si>
    <t>ROCKVILLE</t>
  </si>
  <si>
    <t>P.O. BOX 1931, ROCKVILLE, MD USA</t>
  </si>
  <si>
    <t>1042-8275</t>
  </si>
  <si>
    <t>10.5670/oceanog.2021.supplement.02-06</t>
  </si>
  <si>
    <t>ZT7TY</t>
  </si>
  <si>
    <t>WOS:000769355300005</t>
  </si>
  <si>
    <t>Engelberts, JP; Robbins, SJ; Damjanovic, K; Webster, NS</t>
  </si>
  <si>
    <t>Engelberts, J. Pamela; Robbins, Steven J.; Damjanovic, Katarina; Webster, Nicole S.</t>
  </si>
  <si>
    <t>Integrating novel tools to elucidate the metabolic basis of microbial symbiosis in reef holobionts</t>
  </si>
  <si>
    <t>Coral reef; Holobiont; Microbiome; Symbiosis; Molecular techniques; Metabolic interactions</t>
  </si>
  <si>
    <t>IN-SITU HYBRIDIZATION; RIBOSOMAL-RNA; SINGLE-CELL; GENE-EXPRESSION; SCLERACTINIAN CORALS; PRIMARY PRODUCTIVITY; MASS-SPECTROMETRY; SYMBIODINIUM; IDENTIFICATION; BACTERIA</t>
  </si>
  <si>
    <t>Microorganisms form symbiotic relationships with the majority of animals and plants on earth and are integral to their health and functioning in the ecosystem. Coral reefs in particular, one of the most productive ecosystems in the world, depend upon a plethora of organisms (e.g., corals, sponges, and macroalgae) and their microbial symbionts to exist. Yet, little is known about the metabolic basis of microbial symbiosis in these reef holobionts. A wide array of molecular techniques to characterise symbiotic microbial communities and map their metabolic interactions can now be exploited to reveal the extent to which microorganisms underpin both holobiont and ecosystem functioning. However, despite their utility in revealing and validating the functional role of specific microbes, 'omic' tools, stable isotope probing, and advanced imaging approaches such as NanoSIMS and Raman spectroscopy are rarely utilised in complex environmental settings like coral reefs. In this review, we describe molecular techniques and experimental approaches that can be employed to provide insight into microbial interactions and symbiotic function in coral reef holobionts. We further describe the inherent challenges involved in their application and suggest methods to solve these challenges to unravel the metabolic interactions underpinning these complex reef symbioses.</t>
  </si>
  <si>
    <t>[Engelberts, J. Pamela; Robbins, Steven J.; Webster, Nicole S.] Univ Queensland, Australian Ctr Ecogen, Sch Chem &amp; Mol Biosci, Brisbane, Qld, Australia; [Damjanovic, Katarina; Webster, Nicole S.] Australian Inst Marine Sci, Townsville, Qld, Australia; [Webster, Nicole S.] Australian Antarctic Div, Kingston, Tas, Australia</t>
  </si>
  <si>
    <t>University of Queensland; Australian Institute of Marine Science; Australian Antarctic Division</t>
  </si>
  <si>
    <t>Engelberts, JP (corresponding author), Univ Queensland, Australian Ctr Ecogen, Sch Chem &amp; Mol Biosci, Brisbane, Qld, Australia.</t>
  </si>
  <si>
    <t>j.engelberts@uqconnect.edu.au</t>
  </si>
  <si>
    <t>Engelberts, J. Pamela/AAW-5997-2021; Damjanovic, Katarina/JLL-7083-2023; Robbins, Steven/R-7116-2019</t>
  </si>
  <si>
    <t>Engelberts, J. Pamela/0000-0002-1185-3741; Damjanovic, Katarina/0000-0002-3893-4381; Robbins, Steven/0000-0003-4592-084X</t>
  </si>
  <si>
    <t>Australian Institute of Marine Science</t>
  </si>
  <si>
    <t>We acknowledge a capability development grant provided by the Australian Institute of Marine Science to support a workshop on the application of novel technologies to progress the field of marine microbial symbiosis. We further thank Emmanuelle Botte for her valuable feedback as well as Michael Wagner for the stimulating workshop that was the basis for this review.</t>
  </si>
  <si>
    <t>10.1007/s00227-021-03952-6</t>
  </si>
  <si>
    <t>WS5BO</t>
  </si>
  <si>
    <t>WOS:000715196500002</t>
  </si>
  <si>
    <t>Grosfeld, NH; McGregor, S; Taschetto, AS</t>
  </si>
  <si>
    <t>Grosfeld, Nicholas H.; McGregor, Shayne; Taschetto, Andrea S.</t>
  </si>
  <si>
    <t>An Automated Climatology of Cool-Season Cutoff Lows over Southeastern Australia and Relationships with the Remote Climate Drivers</t>
  </si>
  <si>
    <t>MONTHLY WEATHER REVIEW</t>
  </si>
  <si>
    <t>Cutoff lows; Precipitation; Synoptic climatology; Climate variability; Australia; ENSO</t>
  </si>
  <si>
    <t>SURFACE-TEMPERATURE; INTERANNUAL VARIABILITY; RAINFALL VARIABILITY; SYNOPTIC CLIMATOLOGY; SOUTHERN-HEMISPHERE; SNOWY MOUNTAINS; LOW SYSTEMS; REANALYSIS; PRECIPITATION; FEATURES</t>
  </si>
  <si>
    <t>Cutoff low pressure systems have been found to be the synoptic system responsible for the majority of rainfall in southeastern Australia during the cool season (April-October inclusive). Meanwhile, rainfall in southeastern Australia at the seasonal and interannual scale is known to be related to remote climate drivers, such as El Nino-Southern Oscillation, the Indian Ocean dipole, and the southern annular mode. In this study, a new automated tracking scheme to identify synoptic scale cutoff lows is developed, and then applied to 500-hPa geopotential height data from the NCEP1 and ERA-Interim reanalyses, to create two databases of cool-season cutoff lows for southeastern Australia for the years 1979-2018 inclusive. Climatological characteristics of cutoff lows identified in both reanalyses are presented and compared, highlighting differences between the NCEP1 and ERA-Interim reanalyses over the Australian region. Finally, cool-season and monthly characteristics of cutoff low frequency, duration, and location are plotted against cool-season and monthly values of climate driver indices (oceanic Nino, dipole mode, and Antarctic Oscillation indices), to identify any evidence of linear correlation. Correlations between these aspects of cutoff low occurrence and the remote drivers were found to be statistically significant at the 95% level for only a single isolated month at a time, in contrast to results predicted by previous works. It is concluded that future studies of cutoff low variability over SEA should employ identification criteria that capture systems of only upper-level origin, and differentiate between cold-cored and cold-trough systems.</t>
  </si>
  <si>
    <t>[Grosfeld, Nicholas H.; Taschetto, Andrea S.] Univ New South Wales, Climate Change Res Ctr, Sydney, NSW, Australia; [McGregor, Shayne] Monash Univ, Sch Earth Atmosphere &amp; Environm, Clayton, Vic, Australia; [McGregor, Shayne; Taschetto, Andrea S.] Univ New South Wales, ARC Ctr Excellence Climate Extremes, Sydney, NSW, Australia</t>
  </si>
  <si>
    <t>University of New South Wales Sydney; Monash University; University of New South Wales Sydney</t>
  </si>
  <si>
    <t>Grosfeld, NH (corresponding author), Univ New South Wales, Climate Change Res Ctr, Sydney, NSW, Australia.</t>
  </si>
  <si>
    <t>n.grosfeld@unswalumni.com</t>
  </si>
  <si>
    <t>McGregor, Shayne/A-9059-2013</t>
  </si>
  <si>
    <t>McGregor, Shayne/0000-0003-3222-7042; Grosfeld, Nicholas/0000-0002-6259-4700; Taschetto, Andrea/0000-0001-6020-1603</t>
  </si>
  <si>
    <t>Australian Research Council (ARC) Centre of Excellence for Climate Extremes [CE170100023]; ARC [FT160100495, FT160100162]; Australian Government's National Environmental Science Program; University of New South Wales Faculty of Science Dean's honors relocation scholarship</t>
  </si>
  <si>
    <t>Australian Research Council (ARC) Centre of Excellence for Climate Extremes(Australian Research Council); ARC(Australian Research Council); Australian Government's National Environmental Science Program(Australian Government); University of New South Wales Faculty of Science Dean's honors relocation scholarship</t>
  </si>
  <si>
    <t>We acknowledge support from the Australian Research Council (ARC) Centre of Excellence for Climate Extremes (CE170100023). A.S.T. is supported by the ARC through Grant FT160100495. S.M. was supported by the ARC through Grant FT160100162. A.S.T. and S.M. acknowledge support from the Australian Government's National Environmental Science Program. N.H.G. was supported by a University of New South Wales Faculty of Science Dean's honors relocation scholarship. We thank Stuart Browning for providing an example of code for the detection of cyclones, which aided the development of the tracking scheme used in this study. We also thank Mike Pook for providing a copy of the manual identification of cutoff lows presented in his study, and for subsequent correspondence regarding the methods of his work. James Risbey and two other anonymous reviewers are thanked for their comments on the manuscript. Finally, the concept for this study was developed following valued discussions with Kevin Walsh and Wenju Cai.</t>
  </si>
  <si>
    <t>0027-0644</t>
  </si>
  <si>
    <t>1520-0493</t>
  </si>
  <si>
    <t>MON WEATHER REV</t>
  </si>
  <si>
    <t>Mon. Weather Rev.</t>
  </si>
  <si>
    <t>10.1175/MWR-D-21-0142.1</t>
  </si>
  <si>
    <t>YV6UD</t>
  </si>
  <si>
    <t>WOS:000752862000016</t>
  </si>
  <si>
    <t>Alley, RB; Holschuh, N; MacAyeal, DR; Parizek, BR; Zoet, L; Riverman, K; Muto, A; Christianson, K; Clyne, E; Anandakrishnan, S; Stevens, N</t>
  </si>
  <si>
    <t>Alley, R. B.; Holschuh, N.; MacAyeal, D. R.; Parizek, B. R.; Zoet, L.; Riverman, K.; Muto, A.; Christianson, K.; Clyne, E.; Anandakrishnan, S.; Stevens, N.</t>
  </si>
  <si>
    <t>GHOST Collaboration</t>
  </si>
  <si>
    <t>Bedforms of Thwaites Glacier, West Antarctica: Character and Origin</t>
  </si>
  <si>
    <t>ICE STREAM-B; PINE ISLAND GLACIER; SUBGLACIAL DRAINAGE; RIFT SYSTEM; WATER-FLOW; BENEATH; SHEET; SEDIMENT; EROSION; BED</t>
  </si>
  <si>
    <t>Bedforms of Thwaites Glacier, West Antarctica both record and affect ice flow, as shown by geophysical data and simple models. Thwaites Glacier flows across the tectonic fabric of the West Antarctic rift system with its bedrock highs and sedimentary basins. Swath radar and seismic surveys of the glacier bed have revealed soft-sediment flutes 100 m or more high extending 15 km or more across basins downglacier from bedrock highs. Flutes end at prominent hard-bedded moats on stoss sides of the next topographic highs. We use simple models to show that ice flow against topography increases pressure between ice and till upglacier along the bed over a distance that scales with the topography. In this basal zone of high pressure, ice-contact water would be excluded, thus increasing basal drag by increasing ice-till coupling and till flux, removing till to allow bedrock erosion that creates moats. Till carried across highlands would then be deposited in lee-side positions forming bedforms that prograde downglacier over time, and that remain soft on top through feedbacks that match till-deformational fluxes from well upglacier of the topography. The bedforms of the part of Thwaites surveyed here are prominent because ice flow has persisted over a long time on this geological setting, not because ice flow is anomalous. Bedform development likely has caused evolution of ice flow over time as till and lubricating water were redistributed, moats were eroded and bedforms grew. Plain Language Summary Thwaites Glacier, West Antarctica, is of great interest because ongoing retreat could lead to faster future changes that could notably increase sea-level rise. Wide-ranging studies are thus focused on gaining broad understanding of the glacier. Geophysical surveys discussed here show that the bed of the glacier has been sculpted by the flowing ice, eroding large moats upglacier and to the sides of bedrock obstacles, and depositing long tails of soft sediment downglacier of those obstacles. We use simple models to show that these features formed over time because of the interactions among ice, bedrock, and subglacial water and sediment, and that the behavior of the glacier must have changed as these features developed. This knowledge does not directly affect estimates of the potential for future sea-level rise, but does guide further studies to improve those estimates. This knowledge also may help understand the formation of glacially sculpted landscapes left in widespread regions by former ice sheets.</t>
  </si>
  <si>
    <t>[Alley, R. B.; Parizek, B. R.; Clyne, E.; Anandakrishnan, S.] Penn State Univ, Dept Geosci, University Pk, PA 16802 USA; [Alley, R. B.; Parizek, B. R.; Clyne, E.; Anandakrishnan, S.] Penn State Univ, Earth &amp; Environm Syst Inst, University Pk, PA 16802 USA; [Holschuh, N.; Christianson, K.] Univ Washington, Dept Earth &amp; Space Sci, Seattle, WA USA; [Holschuh, N.] Amherst Coll, Dept Geol, Amherst, MA USA; [MacAyeal, D. R.] Univ Chicago, Dept Geophys Sci, 5734 S Ellis Ave, Chicago, IL 60637 USA; [Zoet, L.; Stevens, N.] Univ Wisconsin, Dept Geosci, Madison, WI USA; [Riverman, K.] Oregon State Univ, Coll Earth Ocean &amp; Atmospher Sci, Corvallis, OR USA; [Riverman, K.] Univ Portland, Dept Environm Studies, Portland, OR USA; [Muto, A.] Temple Univ, Dept Earth &amp; Environm Sci, Philadelphia, PA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</si>
  <si>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Washington; University of Washington Seattle; Amherst College; University of Chicago; University of Wisconsin System; University of Wisconsin Madison; Oregon State University; University of Portland; Pennsylvania Commonwealth System of Higher Education (PCSHE); Temple University</t>
  </si>
  <si>
    <t>Alley, RB (corresponding author), Penn State Univ, Dept Geosci, University Pk, PA 16802 USA.;Alley, RB (corresponding author), Penn State Univ, Earth &amp; Environm Syst Inst, University Pk, PA 16802 USA.</t>
  </si>
  <si>
    <t>rba6@psu.edu</t>
  </si>
  <si>
    <t>Anandakrishnan, Sridhar/JCN-5026-2023</t>
  </si>
  <si>
    <t>Alley, Richard/0000-0003-1833-0115; Zoet, Lucas/0000-0002-9635-4051; Holschuh, Nicholas/0000-0003-1703-5085; Clyne, Elisabeth/0000-0002-2157-0980; Muto, Atsuhiro/0000-0002-1722-2457; MacAyeal, Douglas/0000-0003-0647-6176; Riverman, Kiya/0000-0002-8033-3096</t>
  </si>
  <si>
    <t>U.S. National Science Foundation [AGS-1338832, NSF-NERC-OPP-1738934]; Heising-Simons Foundation [2018-0769]</t>
  </si>
  <si>
    <t>U.S. National Science Foundation(National Science Foundation (NSF)); Heising-Simons Foundation</t>
  </si>
  <si>
    <t>This research was supported by the U.S. National Science Foundation under grants AGS-1338832, NSF-NERC-OPP-1738934 and by the Heising-Simons Foundation under grant 2018-0769.</t>
  </si>
  <si>
    <t>e2021JF006339</t>
  </si>
  <si>
    <t>10.1029/2021JF006339</t>
  </si>
  <si>
    <t>ZB9TY</t>
  </si>
  <si>
    <t>WOS:000757176700001</t>
  </si>
  <si>
    <t>Rodas, C; Pulido, M</t>
  </si>
  <si>
    <t>Rodas, Claudio; Pulido, Manuel</t>
  </si>
  <si>
    <t>Gravity Wave Focusing on the Antarctic Polar Vortex Using Gaussian Beam Approximation in Horizontally Nonuniform Flows</t>
  </si>
  <si>
    <t>JOURNAL OF THE ATMOSPHERIC SCIENCES</t>
  </si>
  <si>
    <t>Forcing; Momentum; Subgrid-scale processes</t>
  </si>
  <si>
    <t>GENERAL-CIRCULATION; MOMENTUM FLUX; LINEAR-THEORY; DRAG; PARAMETERIZATION; REPRESENTATION; PROPAGATION; COMPUTATION; FIELDS; ANDES</t>
  </si>
  <si>
    <t>Ray path theory is an asymptotic approximation to the wave equations. It represents efficiently gravity wave propagation in nonuniform background flows so that it is useful to develop schemes of gravity wave effects in general circulation models. One of the main limitations of ray path theory to be applied in realistic flows is in caustics where rays intersect and the ray solution has a singularity. Gaussian beam approximation is a higher-order asymptotic ray path approximation that considers neighboring rays to the central one, and thus, it is free of the singularities produced by caustics. A previous implementation of the Gaussian beam approximation assumes a horizontally uniform flow. In this work, we extend the Gaussian beam approximation to include horizontally nonuniform flows. Under these conditions, the wave packet can undergo horizontal wave refraction producing changes in the horizontal wavenumber, which affects the ray path as well as the ray tube cross-sectional area and so the wave amplitude via wave action conservation. As an evaluation of the Gaussian beam approximation in horizontally nonuniform flows, a series of proof-of-concept experiments is conducted comparing the approximation with the linear wave solution given by theWRFModel. Avery good agreement in the wave field is found. An evaluation is conducted with conditions that mimic the Antarctic polar vortex and the orography of the southern flank of South America. The Gaussian beam approximation nicely reproduces the expected asymmetry of the wave field. A much stronger disturbance propagates toward higher latitudes (polar vortex) compared to lower latitudes.</t>
  </si>
  <si>
    <t>[Rodas, Claudio; Pulido, Manuel] Univ Nacl Nordeste, Dept Phys, FaCENA, Corrientes, Argentina; [Pulido, Manuel] Consejo Nacl Invest Cient &amp; Tecn, IMIT, Corrientes, Argentina; [Pulido, Manuel] Consejo Nacl Invest Cient &amp; Tecn, IFAECI, Corrientes, Argentina</t>
  </si>
  <si>
    <t>Pulido, M (corresponding author), Univ Nacl Nordeste, Dept Phys, FaCENA, Corrientes, Argentina.;Pulido, M (corresponding author), Consejo Nacl Invest Cient &amp; Tecn, IMIT, Corrientes, Argentina.;Pulido, M (corresponding author), Consejo Nacl Invest Cient &amp; Tecn, IFAECI, Corrientes, Argentina.</t>
  </si>
  <si>
    <t>pulido@exa.unne.edu.ar</t>
  </si>
  <si>
    <t>0022-4928</t>
  </si>
  <si>
    <t>1520-0469</t>
  </si>
  <si>
    <t>J ATMOS SCI</t>
  </si>
  <si>
    <t>J. Atmos. Sci.</t>
  </si>
  <si>
    <t>10.1175/JAS-D-21-0066.1</t>
  </si>
  <si>
    <t>ZC3NW</t>
  </si>
  <si>
    <t>WOS:000757431900001</t>
  </si>
  <si>
    <t>Zhang, C; Li, T; Li, SL</t>
  </si>
  <si>
    <t>Zhang, Chao; Li, Tim; Li, Shuanglin</t>
  </si>
  <si>
    <t>Impacts of CP and EP El Nino Events on the Antarctic Sea Ice in Austral Spring</t>
  </si>
  <si>
    <t>Air-sea interaction; El Nino; ENSO; Sea ice</t>
  </si>
  <si>
    <t>INDIAN-OCEAN DIPOLE; SOUTHERN-HEMISPHERE CIRCULATION; ATMOSPHERIC CIRCULATION; SURFACE TEMPERATURE; CLIMATE VARIABILITY; ATLANTIC-OCEAN; ENSO; PACIFIC; OSCILLATION; TROPICS</t>
  </si>
  <si>
    <t>Based on observational data analyses and idealized modeling experiments, we investigated the distinctive impacts of central Pacific (CP) El Nino and eastern Pacific (EP) El Nino on the Antarctic sea ice concentration (SIC) in austral spring (September-November). The tropical heat sources associated with EP El Nino and the co-occurring positive phase of the Indian Ocean dipole (IOD) excite two branches of Rossby wave trains that propagate southeastward, causing an anomalous anticyclone over the eastern Ross-Amundsen-Bellingshausen Seas. Anomalous northerly (southerly) wind to the west (east) of the anomalous anticyclone favors poleward (offshore) movements of sea ice, resulting in a sea ice loss (growth) in the eastern Ross-Amundsen Seas (the Bellingshausen-Weddell Seas). Meanwhile, the anomalous northerly (southerly) wind also advects warmer and wetter (colder and drier) air into the eastern Ross-Amundsen Seas (the Bellingshausen-Weddell Seas), causing surface warming (cooling) through the enhanced (reduced) surface heat fluxes and thus contributing to the sea ice melting (growth). CP El Nino, however, forces a Rossby wave train that generates an anomalous anticyclone in the eastern Ross-Amundsen Seas, 20 degrees west of that caused by EP El Nino. Consequently, a positive SIC anomaly occurs in the Bellingshausen Sea. A dry version of the Princeton atmospheric general circulation model was applied to verify the roles of anomalous heating in the tropics. The result showed that EP El Nino can remotely induce an anomalous anticyclone and associated dipole temperature pattern in the Antarctic region, whereas CP El Nino generates a similar anticyclone pattern with its location shift westward by 20 degrees in longitudes.</t>
  </si>
  <si>
    <t>[Zhang, Chao; Li, Shuanglin] China Univ Geosci, Sch Environm Studies, Dept Atmospher Sci, Wuhan, Peoples R China; [Li, Tim] Univ Hawaii Manoa, Sch Ocean &amp; Earth Sci &amp; Technol, Int Pacific Res Ctr, Honolulu, HI 96822 USA; [Li, Tim] Univ Hawaii Manoa, Sch Ocean &amp; Earth Sci &amp; Technol, Dept Atmospher Sci, Honolulu, HI 96822 USA; [Li, Tim] Nanjing Univ Informat Sci &amp; Technol, Collaborat Innovat Ctr Forecast &amp; Evaluat Meteoro, Joint Int Res Lab Climate &amp; Environm Change ILCEC, Key Lab Meteorol Disaster Minist Educ KLME, Nanjing, Peoples R China; [Li, Shuanglin] Chinese Acad Sci, Inst Atmospher Phys, Climate Change Res Ctr, Beijing, Peoples R China; [Li, Shuanglin] Univ Chinese Acad Sci, Coll Earth &amp; Planetary Sci, Beijing, Peoples R China</t>
  </si>
  <si>
    <t>China University of Geosciences; University of Hawaii System; University of Hawaii Manoa; University of Hawaii System; University of Hawaii Manoa; Nanjing University of Information Science &amp; Technology; Chinese Academy of Sciences; Institute of Atmospheric Physics, CAS; Chinese Academy of Sciences; University of Chinese Academy of Sciences, CAS</t>
  </si>
  <si>
    <t>Li, SL (corresponding author), China Univ Geosci, Sch Environm Studies, Dept Atmospher Sci, Wuhan, Peoples R China.;Li, T (corresponding author), Univ Hawaii Manoa, Sch Ocean &amp; Earth Sci &amp; Technol, Int Pacific Res Ctr, Honolulu, HI 96822 USA.;Li, T (corresponding author), Univ Hawaii Manoa, Sch Ocean &amp; Earth Sci &amp; Technol, Dept Atmospher Sci, Honolulu, HI 96822 USA.;Li, T (corresponding author), Nanjing Univ Informat Sci &amp; Technol, Collaborat Innovat Ctr Forecast &amp; Evaluat Meteoro, Joint Int Res Lab Climate &amp; Environm Change ILCEC, Key Lab Meteorol Disaster Minist Educ KLME, Nanjing, Peoples R China.;Li, SL (corresponding author), Chinese Acad Sci, Inst Atmospher Phys, Climate Change Res Ctr, Beijing, Peoples R China.;Li, SL (corresponding author), Univ Chinese Acad Sci, Coll Earth &amp; Planetary Sci, Beijing, Peoples R China.</t>
  </si>
  <si>
    <t>timli@hawaii.edu; shuanglin.li@mail.iap.ac.cn</t>
  </si>
  <si>
    <t>Zhang, Chao/GYJ-2408-2022; Li, Shuanglin/D-5695-2013</t>
  </si>
  <si>
    <t>Zhang, Chao/0000-0003-1701-775X;</t>
  </si>
  <si>
    <t>Strategic Project of Chinese Academy of Science [XDA19070402]; NSFC [42088101, 41630423]; NSF [AGS-2006553]</t>
  </si>
  <si>
    <t>Strategic Project of Chinese Academy of Science; NSFC(National Natural Science Foundation of China (NSFC)); NSF(National Science Foundation (NSF))</t>
  </si>
  <si>
    <t>This work is jointly supported by the Strategic Project of Chinese Academy of Science (Grant XDA19070402), NSFC Grants 42088101 and 41630423, and NSF AGS-2006553. This is SOEST contribution number 11415 and IPRC contribution number 1542.</t>
  </si>
  <si>
    <t>10.1175/JCLI-D-21-0002.1</t>
  </si>
  <si>
    <t>YV3RX</t>
  </si>
  <si>
    <t>WOS:000752649500008</t>
  </si>
  <si>
    <t>Biasi, J; Kirschvink, JL; Fu, RR</t>
  </si>
  <si>
    <t>Biasi, Joseph; Kirschvink, Joseph L.; Fu, Roger R.</t>
  </si>
  <si>
    <t>Characterizing the Geomagnetic Field at High Southern Latitudes: Evidence From the Antarctic Peninsula</t>
  </si>
  <si>
    <t>JOURNAL OF GEOPHYSICAL RESEARCH-SOLID EARTH</t>
  </si>
  <si>
    <t>JAMES-ROSS-ISLAND; DEMAGNETIZATION CHARACTERISTICS; VOLCANIC PROVINCE; DECEPTION ISLAND; MAGNETIC-FIELD; PALEOINTENSITY; TEMPERATURE; MIOCENE; LAVAS; HYALOCLASTITES</t>
  </si>
  <si>
    <t>Due to a dearth of data from high-latitude paleomagnetic sites, it is not currently clear if the geocentric axial dipole (GAD) hypothesis accurately describes the long-term behavior of the geomagnetic field at high latitudes. Here we present new paleomagnetic and paleointensity data from the James Ross Island (JRI) volcanic group, located on the Antarctic Peninsula. This data set addresses a notable lack of data from the 60 degrees-70 degrees S latitude bin and includes 251 samples from 31 sites, spanning 0.99-6.8 Ma in age. We also include positive fold, conglomerate, and baked contact tests. Paleointensity data from three methods (Thellier-Thellier, pseudo-Thellier, and Tsunakawa-Shaw) were collected from all sites. The Thellier-Thellier method had low yields and produced unreliable data, likely due to sample alteration during heating. Results from the Tsunakawa-Shaw and pseudo-Thellier methods were more consistent, and we found a bimodal distribution of paleointensity estimates. Most sites yielded either &lt;15 mu T or &gt;40 mu T, which together span a range of estimates from long-term geomagnetic field models, but do not favor any model in particular. Alternating-field demagnetization of these samples, when combined with preexisting data, yields a revised paleomagnetic pole of -87.5 degrees, 025 degrees, alpha 95 = 3.6 degrees for the Antarctic Peninsula over the last similar to 5 Ma, which suggests that the current data set is sufficiently large to average out secular variation. Finally, the C2r/C2n transition was probably found at a site on JRI, and further geochronological and paleomagnetic study of these units could refine the age of this reversal. Plain Language Summary In Antarctica, the history of Earth's magnetic field is not well understood, due to a lack of measurements. However, understanding the history of Earth's magnetic field is important, because it can help us understand the earth's core, which generates the magnetic field. Here we present new data from the James Ross Island (JRI) volcanic group, located on the northeastern tip of the Antarctic Peninsula. These data tell us how strong the earth's field was, and what direction it was pointing in the geologic past. We used 251 samples from 31 sites, spanning 0.99-6.8 million years ago in age. Only some of the samples were useful for determining how strong the field was. Most sites gave strengths of &lt;15 microtesla (mu T) or &gt;40 mu T. Earlier studies have tried to estimate how strong the field was at this location, and our results do not support or disprove any of the previous studies. Our data on the direction of the field suggests that the Antarctic Peninsula has not experienced large scale tectonic movement over the last five million years, and that our data set is large enough to capture a long-term average of the magnetic field direction in this area.</t>
  </si>
  <si>
    <t>[Biasi, Joseph; Kirschvink, Joseph L.] CALTECH, Div Geol &amp; Planetary Sci, Pasadena, CA 91125 USA; [Biasi, Joseph] Dartmouth Coll, Dept Earth Sci, Hanover, NH 03755 USA; [Biasi, Joseph] Univ Oregon, Dept Earth Sci, Eugene, OR 97403 USA; [Kirschvink, Joseph L.] Tokyo Inst Technol, Earth Life Sci Inst, Tokyo, Japan; [Fu, Roger R.] Harvard Univ, Dept Earth &amp; Planetary Sci, Cambridge, MA 02138 USA</t>
  </si>
  <si>
    <t>California Institute of Technology; Dartmouth College; University of Oregon; Tokyo Institute of Technology; Harvard University</t>
  </si>
  <si>
    <t>Biasi, J (corresponding author), CALTECH, Div Geol &amp; Planetary Sci, Pasadena, CA 91125 USA.;Biasi, J (corresponding author), Dartmouth Coll, Dept Earth Sci, Hanover, NH 03755 USA.;Biasi, J (corresponding author), Univ Oregon, Dept Earth Sci, Eugene, OR 97403 USA.</t>
  </si>
  <si>
    <t>biasi@dartmouth.edu</t>
  </si>
  <si>
    <t>Kirschvink, Joseph L/U-5844-2017</t>
  </si>
  <si>
    <t>Biasi, Joseph/0000-0003-1196-7877; Kirschvink, Joseph/0000-0001-9486-6689</t>
  </si>
  <si>
    <t>NSF Polar Programs [ANT-1341729]; NSF EAR Postdoctoral Fellowship grant [2052963]; Directorate For Geosciences; Division Of Earth Sciences [2052963] Funding Source: National Science Foundation</t>
  </si>
  <si>
    <t>NSF Polar Programs(National Science Foundation (NSF)); NSF EAR Postdoctoral Fellowship grant; Directorate For Geosciences; Division Of Earth Sciences(National Science Foundation (NSF)NSF - Directorate for Geosciences (GEO))</t>
  </si>
  <si>
    <t>The authors would like to thank their fellow team members: Jennifer Buz, David Flannery, Ross Mitchell, Joe O'Rourke, Steve Skinner, Sarah Slotznick, David Smith, Frank Sousa, and Tom Tobin for their patience and assistance with sample collection. The authors also thank the crew of the Nathaniel B. Palmer and Air Center Helicopters for their logistical support. This work was funded by NSF Polar Programs grant ANT-1341729 to J. L. Kirschvink and an NSF EAR Postdoctoral Fellowship grant (2052963) to J. Biasi. The authors are not aware of any conflicts of interest that would affect this manuscript.</t>
  </si>
  <si>
    <t>2169-9313</t>
  </si>
  <si>
    <t>2169-9356</t>
  </si>
  <si>
    <t>J GEOPHYS RES-SOL EA</t>
  </si>
  <si>
    <t>J. Geophys. Res.-Solid Earth</t>
  </si>
  <si>
    <t>e2021JB023273</t>
  </si>
  <si>
    <t>10.1029/2021JB023273</t>
  </si>
  <si>
    <t>YT5EM</t>
  </si>
  <si>
    <t>WOS:000751383000083</t>
  </si>
  <si>
    <t>Fan, S; Cross, AJ; Prior, DJ; Goldsby, DL; Hager, TF; Negrini, M; Qi, C</t>
  </si>
  <si>
    <t>Fan, Sheng; Cross, Andrew J.; Prior, David J.; Goldsby, David L.; Hager, Travis F.; Negrini, Marianne; Qi, Chao</t>
  </si>
  <si>
    <t>Crystallographic Preferred Orientation (CPO) Development Governs Strain Weakening in Ice: Insights From High-Temperature Deformation Experiments</t>
  </si>
  <si>
    <t>high-temperature deformation; ice; strain weakening; grain size; crystallographic preferred orientation (CPO); electron backscatter diffraction (EBSD)</t>
  </si>
  <si>
    <t>GRAIN-SIZE DISTRIBUTION; COMPOSITE FLOW LAW; DYNAMIC RECRYSTALLIZATION; POLYCRYSTALLINE ICE; MICROSTRUCTURAL EVOLUTION; SIMPLE SHEAR; MODEL DEFORMATION; TERTIARY CREEP; HIGH-PRESSURE; 2ND PHASES</t>
  </si>
  <si>
    <t>Strain weakening leads to the formation of high-strain shear zones and strongly influences terrestrial ice discharge. In glacial flow models, strain weakening is assumed to arise from the alignment of weak basal planes-the development of a crystallographic preferred orientation, CPO-during flow. However, in experiments, ice strain weakening also coincides with grain size reduction, which has been invoked as a weakening mechanism in other minerals. To interrogate the relative contributions of CPO development and grain size reduction toward ice strain weakening, we deformed initially isotropic polycrystalline ice samples to progressively higher strains between -4 and -30 degrees C. Microstructural measurements were subsequently combined with flow laws to separately model the mechanical response expected to arise from CPO development and grain size reduction. Magnitudes of strain weakening predicted by the constitutive flow laws were then compared with the experimental measurements. Flow laws that only consider grain size do not predict weakening with strain despite grain size reduction. In contrast, flow laws solely considering CPO effects can reproduce the measured strain weakening. Thus, it is reasonable to assume that strain weakening in ice is dominated by CPO development, at least under high temperature (T-h &gt;= 0.9) and high stress (&gt;1 MPa), like those in our experiments. We speculate that at high homologous temperatures (T-h &gt;= 0.9), CPO development will also govern the strain weakening behavior of other viscously anisotropic minerals, like olivine and quartz. Overall, we emphasize that geodynamic and glaciological models should incorporate CPOs to account for strain weakening, especially at high homologous temperatures.</t>
  </si>
  <si>
    <t>[Fan, Sheng; Prior, David J.; Negrini, Marianne] Univ Otago, Dept Geol, Dunedin, New Zealand; [Cross, Andrew J.] Woods Hole Oceanog Inst, Dept Geol &amp; Geophys, Woods Hole, MA 02543 USA; [Goldsby, David L.; Hager, Travis F.] Univ Penn, Dept Earth &amp; Environm Sci, Philadelphia, PA 19104 USA; [Qi, Chao] Chinese Acad Sci, Inst Geol &amp; Geophys, Beijing, Peoples R China</t>
  </si>
  <si>
    <t>University of Otago; Woods Hole Oceanographic Institution; University of Pennsylvania; Chinese Academy of Sciences; Institute of Geology &amp; Geophysics, CAS</t>
  </si>
  <si>
    <t>Fan, S (corresponding author), Univ Otago, Dept Geol, Dunedin, New Zealand.</t>
  </si>
  <si>
    <t>sheng.fan@otago.ac.nz</t>
  </si>
  <si>
    <t>Prior, David/0000-0002-4653-2112; Fan, Sheng/0000-0002-0404-1374</t>
  </si>
  <si>
    <t>NASA fund [NNX15AM69G]; Royal Society of New Zealand [UOO1116, UOO052]; University of Otago doctoral scholarship; Antarctica New Zealand doctoral scholarship; New Zealand Ministry of Business, Innovation and Employment through the Antarctic Science Platform [ANTA1801, ASP-023-03]; New Zealand Antarctic Research Institute (NZARI) Early Career Researcher Seed Grant [NZARI 2020-1-5]</t>
  </si>
  <si>
    <t>NASA fund; Royal Society of New Zealand(Royal Society of New Zealand); University of Otago doctoral scholarship; Antarctica New Zealand doctoral scholarship; New Zealand Ministry of Business, Innovation and Employment through the Antarctic Science Platform(New Zealand Ministry of Business, Innovation and Employment (MBIE)); New Zealand Antarctic Research Institute (NZARI) Early Career Researcher Seed Grant</t>
  </si>
  <si>
    <t>We are thankful to Pat Langhorne for providing the cold-room facility at University of Otago. This work was supported by a NASA fund (grant no. NNX15AM69G) to David L. Goldsby and two Marsden Funds of the Royal Society of New Zealand (grant nos. UOO1116, UOO052) to David J. Prior. Sheng Fan was supported by the University of Otago doctoral scholarship, the Antarctica New Zealand doctoral scholarship, a research grant from New Zealand Ministry of Business, Innovation and Employment through the Antarctic Science Platform (ANTA1801) (grant no. ASP-023-03), and a New Zealand Antarctic Research Institute (NZARI) Early Career Researcher Seed Grant (grant no. NZARI 2020-1-5). We thank Christopher J. L. Wilson and an anonymous reviewer and editor Yves Bernabe for their insightful reviews and editorial handling that helped to improve the manuscript.</t>
  </si>
  <si>
    <t>e2021JB023173</t>
  </si>
  <si>
    <t>10.1029/2021JB023173</t>
  </si>
  <si>
    <t>WOS:000751383000067</t>
  </si>
  <si>
    <t>Zuev, VV; Savelieva, ES</t>
  </si>
  <si>
    <t>Zuev, V. V.; Savelieva, E. S.</t>
  </si>
  <si>
    <t>Anomalous Ozone Depletion in the Arctic from January to April 2020: Polar Vortex Dynamics under the Influence of Planetary Waves</t>
  </si>
  <si>
    <t>Arctic ozone anomaly; polar vortex; planetary waves; Eliassen-Palm Flux</t>
  </si>
  <si>
    <t>SUDDEN STRATOSPHERIC WARMINGS; CIRCULATION; EVENTS; FLUX</t>
  </si>
  <si>
    <t>In the winter-spring period of 2020, the unprecedented destruction of stratospheric ozone over the Arctic (in terms of duration and depth) was observed. For the first time in 42 years of observations, a decrease in ozone was recorded within 4 months, which is comparable in duration to the Antarctic ozone hole. At the same time, the average total ozone content over the Arctic reached its minimum values for 1979-2020 for 57% of the time from January to April 2020. The duration and depth of ozone depletion over the polar region are determined by the dynamics of the stratospheric polar vortex. The polar vortex weakening, as a rule, is observed under conditions of high activity of vertically propagating planetary waves. In the winter-spring period 2019/2020, a relatively low activity of planetary waves was observed. In this paper, the Arctic ozone anomaly of 2020 is considered, which was formed in the conditions of strengthening in the polar vortex with a decrease in wave activity.</t>
  </si>
  <si>
    <t>[Zuev, V. V.; Savelieva, E. S.] Russian Acad Sci, Inst Monitoring Climat &amp; Ecol Syst, Siberian Branch, Tomsk 634055, Russia</t>
  </si>
  <si>
    <t>Institute of Monitoring of Climatic &amp; Ecological Systems of the Siberian Branch of the RAS; Russian Academy of Sciences</t>
  </si>
  <si>
    <t>Savelieva, ES (corresponding author), Russian Acad Sci, Inst Monitoring Climat &amp; Ecol Syst, Siberian Branch, Tomsk 634055, Russia.</t>
  </si>
  <si>
    <t>esav.pv@gmail.com</t>
  </si>
  <si>
    <t>Savelieva, Ekaterina S/E-4782-2014; Savelieva, Ekaterina/HCH-5908-2022; Zuev, Vladimir Vladimirovich/E-5470-2014</t>
  </si>
  <si>
    <t>Savelieva, Ekaterina S/0000-0002-6560-7386;</t>
  </si>
  <si>
    <t>[.....-.17-117013050038-7]</t>
  </si>
  <si>
    <t>This study was carried out as part of state budgetary theme no.....-.17-117013050038-7.</t>
  </si>
  <si>
    <t>10.1134/S0001433821090681</t>
  </si>
  <si>
    <t>YZ0EM</t>
  </si>
  <si>
    <t>WOS:000755156500014</t>
  </si>
  <si>
    <t>Alekseeva, TA; Raev, MD; Tikhonov, VV; Sokolova, JV; Sharkov, EA; Frolov, SV; Serovetnikov, SS</t>
  </si>
  <si>
    <t>Alekseeva, T. A.; Raev, M. D.; Tikhonov, V. V.; Sokolova, J., V; Sharkov, E. A.; Frolov, S., V; Serovetnikov, S. S.</t>
  </si>
  <si>
    <t>Comparative Analysis of Arctic Sea Ice Area Derived from Satellite Microwave Radiometry Data (VASIA2 Algorithm) with Ice Charts of the Arctic and Antarctic Research Institute</t>
  </si>
  <si>
    <t>satellite microwave radiometry; sea ice; Arctic; VASIA2 algorithm; ice charts; ice concentration; ice cover area</t>
  </si>
  <si>
    <t>POLAR-REGIONS; PARAMETERS</t>
  </si>
  <si>
    <t>The Arctic Sea ice area, calculated by the VASIA2 algorithm using the SSMIS data during the most intensive melting of the ice cover in 2019, is compared with ice charts of the Arctic and Antarctic Research Institute (AARI). The results of estimating the total area of the ocean surface covered by sea ice of any concentration from 0.1 to 10 tenths have revealed a difference by -1.1% with the ice chart dated August 25-27 and by +3.4% with the ice chart dated September 1-3. An analysis of ice area distribution by the ranges of ice concentration has shown that the VASIA2 algorithm determines the area of very close pack and compact ice in the ice massif with high accuracy, overestimates the area of very open and open ice, and underestimates the area of close ice. The results have indicated the potential application of the VASIA2 algorithm in the different scientific problems concerned with changes in the ice cover area and ice concentration, as well as the necessity of a more in-depth and large-scale comparison of the algorithm results with the ice charts.</t>
  </si>
  <si>
    <t>[Alekseeva, T. A.; Sokolova, J., V; Frolov, S., V; Serovetnikov, S. S.] Arctic &amp; Antarctic Res Inst, St Petersburg, Russia; [Raev, M. D.; Tikhonov, V. V.; Sharkov, E. A.] Russian Acad Sci, Space Res Inst, Moscow, Russia</t>
  </si>
  <si>
    <t>Arctic &amp; Antarctic Research Institute; Russian Academy of Sciences; Space Research Institute of the Russian Academy of Sciences</t>
  </si>
  <si>
    <t>Alekseeva, TA (corresponding author), Arctic &amp; Antarctic Res Inst, St Petersburg, Russia.</t>
  </si>
  <si>
    <t>Alekseeva, Tatiana/K-5879-2015</t>
  </si>
  <si>
    <t>Alekseeva, Tatiana/0000-0002-1575-8784</t>
  </si>
  <si>
    <t>Russian Foundation for Basic Research [18-05-60048, 01.20.0.2.00164]</t>
  </si>
  <si>
    <t>Work with the ice charts composed at the Center of Ice and Hydrometeorological Information of the Arctic and Antarctic Research Institute was supported by the Russian Foundation for Basic Research, grant no. 18-05-60048, Study of Interannual Balance Variation in Arctic Ocean Ice at the Turn of the 21st Century (T.A. Alekseeva, S.V. Frolov, and S.S. Serovetnikov). Work with the satellite data and their interpretation by the VASIA2 algorithm was carried out as part of Monitoring, state registration no. 01.20.0.2.00164 (M.D. Raev, V.V. Tikhonov, and E.A. Sharkov).</t>
  </si>
  <si>
    <t>10.1134/S0001433821090383</t>
  </si>
  <si>
    <t>WOS:000755156500015</t>
  </si>
  <si>
    <t>Dyment, LN; Aksenov, PV; Losev, SM; Porubaev, VS</t>
  </si>
  <si>
    <t>Dyment, L. N.; Aksenov, P., V; Losev, S. M.; Porubaev, V. S.</t>
  </si>
  <si>
    <t>Influence of the Spatial Resolution of Satellite Images on the Values of the Characteristics of Ice-Cover Leads in the Arctic Seas</t>
  </si>
  <si>
    <t>satellite images; spatial resolution; ice-cover leads</t>
  </si>
  <si>
    <t>The values of the characteristics of ice-cover leads in the Laptev and East Siberian Seas calculated from satellite images with spatial resolution of 250, 375, and 500 m are compared. It is shown that the modal orientation of leads practically does not depend on the spatial resolution of images. It is established that there is a good relationship between the values of spatial density of leads calculated from the data of images of different resolutions. Regression equations that allow estimating the values of the specific extent of leads with a width equal to or greater than 250 m from images with lower spatial resolution are obtained.</t>
  </si>
  <si>
    <t>[Dyment, L. N.; Aksenov, P., V; Losev, S. M.; Porubaev, V. S.] Arctic &amp; Antarctic Res Inst, State Sci Ctr Russian Federat, St Petersburg, Russia</t>
  </si>
  <si>
    <t>Dyment, LN (corresponding author), Arctic &amp; Antarctic Res Inst, State Sci Ctr Russian Federat, St Petersburg, Russia.</t>
  </si>
  <si>
    <t>ldyment@yandex.ru</t>
  </si>
  <si>
    <t>10.1134/S0001433821090462</t>
  </si>
  <si>
    <t>WOS:000755156500016</t>
  </si>
  <si>
    <t>Karaevskaya, ES; Demidov, NE; Kazantsev, VS; Elizarov, IM; Kaloshin, AG; Petrov, AL; Karlov, DS; Schirrmeister, L; Belov, AA; Wetterich, S</t>
  </si>
  <si>
    <t>Karaevskaya, E. S.; Demidov, N. E.; Kazantsev, V. S.; Elizarov, I. M.; Kaloshin, A. G.; Petrov, A. L.; Karlov, D. S.; Schirrmeister, L.; Belov, A. A.; Wetterich, S.</t>
  </si>
  <si>
    <t>Archaeal Communities of Frozen Quaternary Sediments of Marine Origin on the Coast of Western Spitsbergen</t>
  </si>
  <si>
    <t>Western Spitsbergen; permafrost; marine sediments; domain Archaea; V4 region of 16S rRNA; methane</t>
  </si>
  <si>
    <t>AMMONIA-OXIDIZING ARCHAEON; METHANE TRANSITION ZONE; SP NOV.; METHANOBREVIBACTER-SMITHII; PROFUNDAL SEDIMENT; GENOME SEQUENCE; GEN. NOV.; PHYLUM; DIVERSITY; ENRICHMENT</t>
  </si>
  <si>
    <t>The archaeal composition of permafrost samples taken during the drilling of frozen marine sediments in the area of the Barentsburg coal mine on the east coast of Gronfjord Bay of Western Spitsbergen has been studied. This study is based on an analysis of the V4 region of the 16S rRNA gene, carried out using next-generation sequencing. The general phyla of the Archaea domain are Euryarchaeota, Bathyarchaeota,Thaumarchaeota, and Asgardarchaea. As a result of a phylogenetic analysis of the dominant operational taxonomic units, representatives of methanogenic and methane- and ammonium-oxidizing archaea, as well as heterotrophic archaea, are found. The methanogenic archaea of Euryarchaeota phylum, Methanobacteria class, are found in permafrost with controversial genesis, while the methane-oxidizing archaea of Methanomicrobia class Methanosarcinales order are found in the marine permafrost at cape Finneset: the ANME-2a, -2b group in layers of 8.6 and 11.7 m and the ANME-2d group (Candidatus Methanoperedens) in a layer of 6.5 m. Ammonium-oxidizing archaea of phylum Thaumarchaeota is present in all types of permafrost, while the order of Nitrososphaerales is found in permafrost with controversial genesis and the order Nitrosopumilales is in permafrost with marine and controversial genesis. Representatives of phylum Bathyarchaeota are found stratigraphically in the most ancient samples under study. Asgardarchaeota superfylum is excluded in the layers of permafrost with marine genesis and is represented by the phyla Lokiarchaeota,Thorarchaeota, and an unclassified group belonging to this superphylum. The presence of methane, ethylene, and ethane in the permafrost of the first sea terrace of Cape Finnemet at a depth of 11.7 m, as well as the composition of the archaeal community, give us reason to assume that, before freezing, microbiological processes of anaerobic methane oxidation took place in it, probably received from Tertiary rocks. The results of both this and previous works present the Spitsberen permafrost as a rich archive of genetic information of little-studied prokaryotic groups.</t>
  </si>
  <si>
    <t>[Karaevskaya, E. S.; Demidov, N. E.] Arctic &amp; Antarctic Res Inst, St Petersburg 199397, Russia; [Karaevskaya, E. S.] Russian Acad Sci, Vavilov Inst Gen Genet, Moscow 119991, Russia; [Kazantsev, V. S.] Russian Acad Sci, Obukhov Inst Atmospher Phys, Moscow 119017, Russia; [Elizarov, I. M.] Russian Acad Sci, Vinogradsky Inst Microbiol, Moscow 117312, Russia; [Kaloshin, A. G.; Petrov, A. L.] All Russian Res Geol Oil Inst, Moscow 143360, Russia; [Karlov, D. S.] All Russia Res Inst Agr Microbiol, St Petersburg 196608, Pushkin, Russia; [Schirrmeister, L.; Wetterich, S.] Helmholtz Ctr Polar &amp; Marine, Alfred Wegener Inst, D-14473 Potsdam, Germany; [Belov, A. A.] Moscow MV Lomonosov State Univ, Fac Soil Sci, Moscow 119991, Russia</t>
  </si>
  <si>
    <t>Arctic &amp; Antarctic Research Institute; Russian Academy of Sciences; Vavilov Institute of General Genetics; Russian Academy of Sciences; Obukhov Institute of Atmospheric Physics of Russian Academy of Sciences; Research Center of Biotechnology RAS; Russian Academy of Sciences; Helmholtz Association; Alfred Wegener Institute, Helmholtz Centre for Polar &amp; Marine Research; Lomonosov Moscow State University</t>
  </si>
  <si>
    <t>Karaevskaya, ES (corresponding author), Arctic &amp; Antarctic Res Inst, St Petersburg 199397, Russia.;Karaevskaya, ES (corresponding author), Russian Acad Sci, Vavilov Inst Gen Genet, Moscow 119991, Russia.</t>
  </si>
  <si>
    <t>katya_k_s@mail.ru; nikdemidov@mail.ru; kazantsev@ifaran.ru; ivan.elizarov@gmail.com; a.petrov@vnigni.ru; deniskarlov23@gmail.com; Lutz.Schirrmeister@awi.de; and.ant.be@gmail.com; sebastian.wetterich@awi.de</t>
  </si>
  <si>
    <t>Schirrmeister, Lutz/AGW-0545-2022; Elizarov, Ivan/AAU-4415-2021; Schirrmeister, Lutz/O-5584-2015; Belov, Anton/AAQ-9879-2021</t>
  </si>
  <si>
    <t>Schirrmeister, Lutz/0000-0001-9455-0596; Elizarov, Ivan/0000-0002-8197-5971; Schirrmeister, Lutz/0000-0001-9455-0596; Belov, Anton/0000-0003-3120-819X; Petrov, Aleksandr/0009-0003-6092-1485; Wetterich, Sebastian/0000-0001-9234-1192</t>
  </si>
  <si>
    <t>Russian Science Foundation [19-77-10066]; Russian Science Foundation [19-77-10066] Funding Source: Russian Science Foundation</t>
  </si>
  <si>
    <t>This research was supported by a grant from the Russian Science Foundation, project no. 19-77-10066 (to Demidov). Field work at the cryosphere test site near Barentsburg was carried out as part of the Russian Arctic Expedition to Spitsbergen.</t>
  </si>
  <si>
    <t>10.1134/S0001433821100066</t>
  </si>
  <si>
    <t>YZ0EQ</t>
  </si>
  <si>
    <t>WOS:000755156900002</t>
  </si>
  <si>
    <t>Illarionov, VK; Boyko, AN; Borisova, AY; Ilyinsky, DA</t>
  </si>
  <si>
    <t>Illarionov, V. K.; Boyko, A. N.; Borisova, A. Yu; Ilyinsky, D. A.</t>
  </si>
  <si>
    <t>Nature of the Kergelen Plateau and Its Place in the Structural Plan of the Southern Sector of the Indian Ocean</t>
  </si>
  <si>
    <t>aseismic ridge; oceanic plateau; depression depocenter; differentiated tectonic movements; dome-shaped structure; hot spot; Kerguelen Plateau</t>
  </si>
  <si>
    <t>KERGUELEN PLATEAU; BROKEN RIDGE; CONTINENTAL FRAGMENT; GRANULITE XENOLITHS; DEEP-STRUCTURE; EVOLUTION; ORIGIN; BASALTS; ISLANDS; PLUME</t>
  </si>
  <si>
    <t>The morphostructural characteristics of the main taxa of southern Indian Ocean, such as the Del Cano-Crozet, Conrad, and Kerguelen plateaus, are given based on structural-tectonic analysis. A depth map of the acoustic basement of the eastern part of the Afro-Antarctic megadepression is first built using the digitized NGDS database on the thickness of the sedimentary cover of the Indian Ocean, which is available on the Internet. A critical analysis of deep seismic sounding (DSS) data on the Kerguelen plateu hs been performed. A geochemical analysis of more than 100 samples of basalts, acidic rocks, and rocks of sedimentary origin, collected on the islands of the Kerguelen archipelago and raised by dredging and deep-sea drilling from the Kerguelen and Conrad plateaus, is carried out. The study has shown that the plateaus resemble the Madagascar Ridge in terms of morphostructure and a number of other features. It is concluded that these flat-topped horst massifs were the part of the structural bridge that connected Madagascar and the eastern part of mainland Antarctica no later than the Paleogene. A proposed alternative version of the geological interpretation of the deep seismic data states that the plateau has a relatively homogeneous structure along the strike, including a thick (at least 15-km) layer of continental crust. An analysis of the depth map of the acoustic basement made it possible to identify the depocenters of the relatively isolated Enderby, Shackleton and Labuan basins framing the Kerguelen Plateau on the southern side. The paragenetic connections of the Kerguelen Plateau with the basins indicate that the isolation of the Kerguelen Plateau from East Antarctica and the formation of the modern structure of the region began in the Late Cretaceous and ended with the last phase of tectonic activation in the Late Miocene-Pliocene. The results of geochemical analysis show that the geochemical and petrological anomalies of the plateau and islands are associated with the crust, and not with the mantle contamination, as well as with the continental nature of the Kerguelen Plateau.</t>
  </si>
  <si>
    <t>[Illarionov, V. K.; Boyko, A. N.] Russian Acad Sci, Schmidt Inst Phys Earth, Moscow 123242, Russia; [Borisova, A. Yu] Inst Geol &amp; Environm Sci Toulouse, F-31400 Toulouse, France; [Borisova, A. Yu] Moscow MV Lomonosov State Univ, Fac Geol, Moscow 119991, Russia; [Ilyinsky, D. A.] Russian Acad Sci, Shirshov Inst Oceanol, Moscow 117218, Russia; [Ilyinsky, D. A.] Individual Entrepreneur Ilynsky AD, Moscow, Russia</t>
  </si>
  <si>
    <t>Russian Academy of Sciences; Schmidt Institute of Physics of the Earth of the Russian Academy of Sciences; Lomonosov Moscow State University; Russian Academy of Sciences; Shirshov Institute of Oceanology</t>
  </si>
  <si>
    <t>Illarionov, VK (corresponding author), Russian Acad Sci, Schmidt Inst Phys Earth, Moscow 123242, Russia.</t>
  </si>
  <si>
    <t>vkillar@mail.ru; boyko@ifz.ru; anastassia.borisova@get.omp.eu; dilinskiy61@mail.ru</t>
  </si>
  <si>
    <t>Borisova, Anastassia/G-6991-2018</t>
  </si>
  <si>
    <t>Borisova, Anastassia/0000-0001-6373-726X</t>
  </si>
  <si>
    <t>Schmidt Institute of Physics of the Earth, Russian Academy of Sciences [0144-2019-0011]</t>
  </si>
  <si>
    <t>Schmidt Institute of Physics of the Earth, Russian Academy of Sciences(Russian Academy of Sciences)</t>
  </si>
  <si>
    <t>This work was carried out as part of state assignment no. 0144-2019-0011 for the Schmidt Institute of Physics of the Earth, Russian Academy of Sciences.</t>
  </si>
  <si>
    <t>10.1134/S0001433821100054</t>
  </si>
  <si>
    <t>WOS:000755156900006</t>
  </si>
  <si>
    <t>Goddard, PB; Tabor, CR; Jones, TR</t>
  </si>
  <si>
    <t>Goddard, Paul B.; Tabor, Clay R.; Jones, Tyler R.</t>
  </si>
  <si>
    <t>Utilizing Ice Core and Climate Model Data to Understand Seasonal West Antarctic Variability</t>
  </si>
  <si>
    <t>Antarctica; Annular mode; Climate variability; Paleoclimate; Water budget/balance; Climate models; Reanalysis data; Interannual variability; Intraseasonal variability; Seasonal variability</t>
  </si>
  <si>
    <t>NINO-SOUTHERN-OSCILLATION; SURFACE MASS-BALANCE; EARTH SYSTEM MODEL; AMERICAN MODES; WATER ISOTOPE; PART II; HEMISPHERE; OCEAN; TEMPERATURE; FRAMEWORK</t>
  </si>
  <si>
    <t>Reconstructions of past West Antarctic Ice Sheet (WAIS) climate rely on the isotopologues of water recorded in ice cores that extend the local surface temperature record back tens of thousands of years. Here, we utilize continuous flow sampling and novel back-diffusion techniques with the WAIS Divide ice core (WDCobs) to construct a seasonal record of the delta O-18 value of the precipitation (delta O-18(p)) at the time of deposition from 1980 to 2000. We then use a water isotope enabled global climate model, iCESM1, to establish seasonal drivers of WAIS climate and of delta O-18(p) variability at the WAIS Divide location to compare with the WDCobs and MERRA-2 data. Our results show that the WAIS seasonal climate variability is driven by the position and strength of the Amundsen Sea low (ASL) caused by variations in the southern annual mode and the two Pacific-South American patterns (PSA1 and PSA2). The largest year-to-year seasonal delta O-18(p) anomalies at the WAIS Divide location occur with respect to PSA2 during austral winter (JJA) as a result of an eastward displacement of the ASL that shifts the associated onshore winds toward the Weddell Sea, reducing temperatures and precipitation near the WAIS Divide location. Additionally, the iCESM1 experiment suggests that changes to the moisture path from the source to the WAIS Divide location are an important driver of seasonal WDCobs delta O-18(p) variability. This work highlights the potential of using a single ice core to reconstruct past WAIS climate at seasonal time scales.</t>
  </si>
  <si>
    <t>[Goddard, Paul B.; Tabor, Clay R.] Univ Connecticut, Dept Geosci, Storrs, CT 06269 USA; [Goddard, Paul B.] Indiana Univ, Dept Earth &amp; Atmospher Sci, Bloomington, IN 47405 USA; [Jones, Tyler R.] Univ Colorado, Inst Arctic &amp; Alpine Res, Boulder, CO 80309 USA</t>
  </si>
  <si>
    <t>University of Connecticut; Indiana University System; Indiana University Bloomington; University of Colorado System; University of Colorado Boulder</t>
  </si>
  <si>
    <t>Goddard, PB (corresponding author), Univ Connecticut, Dept Geosci, Storrs, CT 06269 USA.;Goddard, PB (corresponding author), Indiana Univ, Dept Earth &amp; Atmospher Sci, Bloomington, IN 47405 USA.</t>
  </si>
  <si>
    <t>pgoddard@iu.edu</t>
  </si>
  <si>
    <t>Tabor, Clay/0000-0002-9915-6157; Goddard, Paul/0000-0002-4954-8988</t>
  </si>
  <si>
    <t>National Center for Atmosphere Research Advanced Study Program postdoctoral fellowship; National Science Foundation (NSF); National Center for Atmospheric Research - NSF [1852977]</t>
  </si>
  <si>
    <t>National Center for Atmosphere Research Advanced Study Program postdoctoral fellowship; National Science Foundation (NSF)(National Science Foundation (NSF)National Research Foundation of Korea); National Center for Atmospheric Research - NSF(National Science Foundation (NSF)NSF - Directorate for Geosciences (GEO))</t>
  </si>
  <si>
    <t>C. R. Tabor acknowledges funding from the National Center for Atmosphere Research Advanced Study Program postdoctoral fellowship. The CESM project is supported primarily by the National Science Foundation (NSF). This material is based upon work supported by the National Center for Atmospheric Research, which is a major facility sponsored by the NSF under Cooperative Agreement 1852977. Computing and data storage resources, including the Cheyenne supercomputer (https://doi.org/10.5065/D6RX99HX), were provided by the Computational and Information Systems Laboratory (CISL) at NCAR. We thank two anonymous reviewers for useful comments that greatly improved this paper.</t>
  </si>
  <si>
    <t>10.1175/JCLI-D-20-0822.1</t>
  </si>
  <si>
    <t>YV3SW</t>
  </si>
  <si>
    <t>WOS:000752652100025</t>
  </si>
  <si>
    <t>Stewart, AL</t>
  </si>
  <si>
    <t>Stewart, Andrew L.</t>
  </si>
  <si>
    <t>Mesoscale, Tidal, and Seasonal/Interannual Drivers of the Weddell Sea Overturning Circulation</t>
  </si>
  <si>
    <t>Antarctica; Abyssal circulation; Eddies; Ocean circulation; Tides; Regional models</t>
  </si>
  <si>
    <t>RONNE ICE SHELF; BOTTOM WATER FORMATION; CIRCUMPOLAR DEEP-WATER; SOUTHERN-OCEAN; CONTINENTAL-SHELF; Z-COORDINATE; HEAT-TRANSPORT; MODEL; ANTARCTICA; DENSITY</t>
  </si>
  <si>
    <t>The Weddell Sea supplies 40%-50% of the Antarctic Bottom Water that fills the global ocean abyss, and therefore exerts significant influence over global circulation and climate. Previous studies have identified a range of different processes that may contribute to dense shelf water (DSW) formation and export on the southern Weddell Sea continental shelf. However, the relative importance of these processes has not been quantified, which hampers prioritization of observational deployments and development of model parameterization in this region. In this study a high-resolution (1/ 12 degrees) regional model of the southern Weddell Sea is used to quantify the overturning circulation and decompose it into contributions due to multiannual mean flows, seasonal/interannual variability, tides, and other submonthly variability. It is shown that tides primarily influence the overturning by changing the melt rate of the Filchner-Ronne Ice Shelf (FRIS). The resulting similar to 0.2 Sv (1 Sv 10(6) m(3) s(-1)) decrease in DSW transport is comparable to the magnitude of the overturning in the FRIS cavity, but small compared to DSW export across the continental shelf break. Seasonal/interannual fluctuations exert a modest influence on the overturning circulation due to the relatively short (8-yr) analysis period. Analysis of the transient energy budget indicates that the nontidal, submonthly variability is primarily baroclinically generated eddies associated with dense overflows. These eddies play a comparable role to the mean flow in exporting dense shelf waters across the continental shelf break, and account for 100% of the transfer of heat onto the continental shelf. The eddy component of the overturning is sensitive to model resolution, decreasing by a factor of similar to 2 as the horizontal grid spacing is refined from 1/3 degrees to 1/12 degrees.</t>
  </si>
  <si>
    <t>[Stewart, Andrew L.] Univ Calif Los Angeles, Dept Atmospher &amp; Ocean Sci, Los Angeles, CA 90024 USA</t>
  </si>
  <si>
    <t>University of California System; University of California Los Angeles</t>
  </si>
  <si>
    <t>Stewart, AL (corresponding author), Univ Calif Los Angeles, Dept Atmospher &amp; Ocean Sci, Los Angeles, CA 90024 USA.</t>
  </si>
  <si>
    <t>astewart@atmos.ucla.edu</t>
  </si>
  <si>
    <t>Stewart, Andrew/0000-0001-5861-4070</t>
  </si>
  <si>
    <t>National Science Foundation [ACI-1548562]; National Aeronautics and Space Administration ROSES Physical Oceanography program [80NSSC19K1192]</t>
  </si>
  <si>
    <t>National Science Foundation(National Science Foundation (NSF)); National Aeronautics and Space Administration ROSES Physical Oceanography program</t>
  </si>
  <si>
    <t>The author acknowledges Julia Hazel's assistance with the configuration of the regional model used in this study. This material is based in part upon work supported by the National Science Foundation under Grants OPP-1543388 and OCE-1751386, and by the National Aeronautics and Space Administration ROSES Physical Oceanography program under Grant 80NSSC19K1192. This work used the Extreme Science and Engineering Discovery Environment (XSEDE, Towns et al. 2014), which is supported by National Science Foundation Grant ACI-1548562. The author thanks Ralph Timmermann and two anonymous reviewers for many constructive comments that improved the submitted manuscript.</t>
  </si>
  <si>
    <t>10.1175/JPO-D-20-0320.1</t>
  </si>
  <si>
    <t>YV4US</t>
  </si>
  <si>
    <t>WOS:000752725600009</t>
  </si>
  <si>
    <t>Kharitonov, SP; Tretyakov, AV; Mishchenko, AL; Konyukhov, NB; Dmitriev, AE; Artemyeva, SM; Pilipenko, GY</t>
  </si>
  <si>
    <t>Kharitonov, S. P.; Tretyakov, A., V; Mishchenko, A. L.; Konyukhov, N. B.; Dmitriev, A. E.; Artemyeva, S. M.; Pilipenko, G. Yu</t>
  </si>
  <si>
    <t>OBSERVATIONS OF MARINE MAMMALS AND SEABIRDS IN THE ANTARCTIC: ECOLOGICAL FOOTPRINTS OF SEASIDE DISTRIBUTIONS DURING THE 79th VOYAGE OF THE RESEACH VESSEL AKADEMIK MSTISLAV KELDYSH</t>
  </si>
  <si>
    <t>ZOOLOGICHESKY ZHURNAL</t>
  </si>
  <si>
    <t>seaside wildlife; ecology; spatial distribution</t>
  </si>
  <si>
    <t>FORAGING BEHAVIOR; SEA</t>
  </si>
  <si>
    <t>A seaside survey on board the research vessel Akademik Mstislav Keldysh in the waters south of the southernmost top of Argentina, the Drake Passage, the vicinities of the Antarctic Peninsula, the Scotia Sea, and the northern part of the Weddell Sea was performed during two trips: 16 January-6 February (hereafter January) and 8 February-3 March (hereafter February) 2020. The purpose of the current contribution is to propose a new method for analyzing the results of ecological studies and, using this method as an example, to present new information on the ecology and spatial distribution of marine mammals and seabirds of the Antarctic. A number of marine mammal and seabird species showed similar ecological footprints, indicating the same relations to the environmental conditions and similar spatial distributions in different species regardless of their systematic position. The Fin Whale, the Humpback, the Snow Petrel, the Adelie Penguin, the Antarctic Petrel and the Southern Fulmar showed similar specific patterns of ecological footprints in January, this being seen from the above birds prevailing in the sea areas with icebergs and/or cut ice. In February, the attachment of the whale species to icy areas weakened, this being clear from their ecological footprints, in contrast to the birds in which this relation persisted. Ecological footprints clearly circumscribe the broadness of the abiotic ecological niche occupied by individual species or species clusters. Ecological footprints are capable of showing changes in species distribution areas in definite periods (the Southern Royal Albatross), changes in the strategy of the area usage pattern (the Antarctic Fur Seal), as well as in other ecological features, including those not yet considered.</t>
  </si>
  <si>
    <t>[Kharitonov, S. P.; Tretyakov, A., V; Mishchenko, A. L.; Konyukhov, N. B.; Dmitriev, A. E.] Russian Acad Sci, Severtsov Inst Ecol &amp; Evolut, Moscow 119071, Russia; [Artemyeva, S. M.] Lomonosov Moscow State Univ, Zool Museum, Moscow 125009, Russia; [Pilipenko, G. Yu] Lomonosov Moscow State Univ, Fac Geog, Moscow 119991, Russia</t>
  </si>
  <si>
    <t>Russian Academy of Sciences; Saratov Scientific Center of the Russian Academy of Sciences; Severtsov Institute of Ecology &amp; Evolution; Lomonosov Moscow State University; Lomonosov Moscow State University</t>
  </si>
  <si>
    <t>Kharitonov, SP (corresponding author), Russian Acad Sci, Severtsov Inst Ecol &amp; Evolut, Moscow 119071, Russia.</t>
  </si>
  <si>
    <t>serpkh@gmail.com</t>
  </si>
  <si>
    <t>Kharitonov, Sergey P./A-4697-2016; Konyukhov, Nikolay/AEH-8344-2022</t>
  </si>
  <si>
    <t>MAIK NAUKA-INTERPERIODICA PUBL</t>
  </si>
  <si>
    <t>GSP-1, MARONOVSKII PER 26, MOSCOW, 119049, RUSSIA</t>
  </si>
  <si>
    <t>0044-5134</t>
  </si>
  <si>
    <t>ZOOL ZH</t>
  </si>
  <si>
    <t>Zool. Zhurnal</t>
  </si>
  <si>
    <t>10.31857/S004451342110007X</t>
  </si>
  <si>
    <t>YQ0FC</t>
  </si>
  <si>
    <t>WOS:000748993700008</t>
  </si>
  <si>
    <t>Leal-Bastidas, C; Vargas-Chacoff, L; Sandoval, N; Fierro, P</t>
  </si>
  <si>
    <t>Leal-Bastidas, Carlos; Vargas-Chacoff, Luis; Sandoval, Natalia; Fierro, Pablo</t>
  </si>
  <si>
    <t>Seasonal and spatial variability of aquatic macroinvertebrates and water quality in the Palena River, Chilean Patagonia</t>
  </si>
  <si>
    <t>GAYANA</t>
  </si>
  <si>
    <t>biodiversity; bioassessment; conservation; seasonally; macroinvertebrates</t>
  </si>
  <si>
    <t>BENTHIC MACROINVERTEBRATES; DISTRIBUTION PATTERNS; BASIN; ASSEMBLAGES</t>
  </si>
  <si>
    <t>The rivers of Patagonia are some of the best conserved aquatic ecosystems in South America; however. However due to the growing economic development in the region, several bodies of water have been threatened by human activities. We analyzed the water quality and structure of macroinvertebrate assemblages at 8 stations along the Palena River; upstream, where there is minimal disturbance, and downstream, at stations perturbed by human activities. Samples were collected over the four seasons of the year (September 2013 to May 2014). Temperature, electrical conductivity, pH, dissolved oxygen, total hardness, silica, aluminum and iron showed significant differences (p &lt; 0.05) between stations located upstream and downstream in the river basin, as well as between seasons of the year. A total of 30 macroinvertebrate families were registered (90% insect larvae), being Diptera the most diverse order (8 families). Leptophlebiidae family (Ephemeroptera) was the most abundant family in the four seasons of the year throughout. Statistically, there were significant differences (p &lt; 0.05) between seasons of the year, which were grouped in two groups: one summer-fall and winter-spring, but not to macroinvertebrate assemblages between stations upstream and downstream. These findings indicate that the seasonal variations have a greater effect on the macroinvertebrates assemblage composition than the spatial differences in the basin. On the other hand, the great diversity of macroinvertebrates registered in the Palena River, in addition to the good water quality, indicate that the activities in the basin are not yet a risk to the aquatic ecosystem.</t>
  </si>
  <si>
    <t>[Leal-Bastidas, Carlos] Univ Austral Chile, Ciencias Acuicultura, Campus Puerto Montt, Puerto Montt, Chile; [Vargas-Chacoff, Luis; Fierro, Pablo] Univ Austral Chile, Fac Ciencias, Inst Ciencias Marinas &amp; Limnol, Campus Isla Teja, Valdivia, Chile; [Vargas-Chacoff, Luis] Univ Austral Chile, FONDAP IDEAL Ctr, Ctr Fondap Invest Altas Latitudes, Valdivia 5090000, Chile; [Vargas-Chacoff, Luis] Univ Austral Chile, BASE, Millennium Inst Biodivers Antarctic &amp; Subantarct, Valdivia 5090000, Chile; [Sandoval, Natalia] Ctr Ecol Aplicada Ltda, Santiago, Chile</t>
  </si>
  <si>
    <t>Universidad Austral de Chile; Universidad Austral de Chile; Universidad Austral de Chile; Universidad Austral de Chile</t>
  </si>
  <si>
    <t>Vargas-Chacoff, L (corresponding author), Univ Austral Chile, Fac Ciencias, Inst Ciencias Marinas &amp; Limnol, Campus Isla Teja, Valdivia, Chile.;Vargas-Chacoff, L (corresponding author), Univ Austral Chile, FONDAP IDEAL Ctr, Ctr Fondap Invest Altas Latitudes, Valdivia 5090000, Chile.;Vargas-Chacoff, L (corresponding author), Univ Austral Chile, BASE, Millennium Inst Biodivers Antarctic &amp; Subantarct, Valdivia 5090000, Chile.</t>
  </si>
  <si>
    <t>luis.vargas@uach.cl</t>
  </si>
  <si>
    <t>EDICIONES UNIV, CONCEPCION</t>
  </si>
  <si>
    <t>CONCEPCION</t>
  </si>
  <si>
    <t>COMITE DE PUBLICACION, CASILLA 2407, CONCEPCION, 00000, CHILE</t>
  </si>
  <si>
    <t>0717-6538</t>
  </si>
  <si>
    <t>Gayana</t>
  </si>
  <si>
    <t>Oceanography; Zoology</t>
  </si>
  <si>
    <t>YU4YB</t>
  </si>
  <si>
    <t>WOS:000752049400002</t>
  </si>
  <si>
    <t>Oreskes, N</t>
  </si>
  <si>
    <t>Oreskes, Naomi</t>
  </si>
  <si>
    <t>Women on Ice Once shut out of Antarctic research, female scientists now are doing vital work</t>
  </si>
  <si>
    <t>SCIENTIFIC AMERICAN</t>
  </si>
  <si>
    <t>[Oreskes, Naomi] Harvard Univ, Hist Sci, Cambridge, MA 02138 USA</t>
  </si>
  <si>
    <t>Harvard University</t>
  </si>
  <si>
    <t>Oreskes, N (corresponding author), Harvard Univ, Hist Sci, Cambridge, MA 02138 USA.</t>
  </si>
  <si>
    <t>0036-8733</t>
  </si>
  <si>
    <t>1946-7087</t>
  </si>
  <si>
    <t>SCI AM</t>
  </si>
  <si>
    <t>Sci.Am.</t>
  </si>
  <si>
    <t>YM9NW</t>
  </si>
  <si>
    <t>WOS:000746895900042</t>
  </si>
  <si>
    <t>Crous, PW; Osieck, ER; Jurjevi, Z; Boers, J; Van Iperen, AL; Starink-Willemse, M; Dima, B; Balashov, S; Bulgakov, TS; Johnston, PR; Morozova, OV; Pinruan, U; Sommai, S; Alvarado, P; Decock, CA; Lebel, T; McMullan-Fisher, S; Moreno, G; Shivas, RG; Zhao, L; Abdollahzadeh, J; Abrinbana, M; Ageev, DV; Akhmetova, G; Alexandrova, AV; Altés, A; Amaral, AGG; Angelini, C; Antonin, V; Arenas, F; Asselman, P; Badali, F; Baghela, A; Bañares, A; Barreto, RW; Baseia, IG; Bellanger, JM; Berraf-Tebbal, A; Biketova, AY; Bukharova, NV; Burgess, TI; Cabero, J; Câmara, MPS; Cano-Lira, JF; Ceryngier, P; Chávez, R; Cowan, DA; de Lima, AF; Oliveira, RL; Denman, S; Dang, QN; Dovana, F; Duarte, IG; Eichmeier, A; Erhard, A; Esteve-Raventós, F; Fellin, A; Ferisin, G; Ferreira, RJ; Ferrer, A; Finy, P; Gaya, E; Geering, ADW; Gil-Durán, C; Glässnerová, K; Glushakova, AM; Gramaje, D; Guard, FE; Guarnizo, AL; Haelewaters, D; Halling, RE; Hill, R; Hirooka, Y; Hubka, V; Iliushin, VA; Ivanova, DD; Ivanushkina, NE; Jangsantear, P; Justo, A; Kachalkin, AV; Kato, S; Khamsuntorn, P; Kirtsideli, IY; Knapp, DG; Kochkina, GA; Koukol, O; Kovács, GM; Kruse, J; Kumar, TKA; Kusan, I; Læssoe, T; Larsson, E; Lebeuf, R; Levicán, G; Loizides, M; Marinho, P; Luangsa-ard, JJ; Lukina, EG; Magana-Duenas, V; Maggs-Kölling, G; Malysheva, EF; Malysheva, VF; Martín, B; Martín, MP; Matocec, N; McTaggart, AR; Mehrabi-Koushki, M; Mesic, A; Miller, AN; Mironova, P; Moreau, PA; Morte, A; Müller, K; Nagy, LG; Nanu, S; Navarro-Ródenas, A; Nel, WJ; Nguyen, TH; Nóbrega, TF; Noordeloos, ME; Olariaga, I; Overton, BE; Ozerskaya, SM; Palani, P; Pancorbo, F; Papp, V; Pawlowska, J; Pham, TQ; Phosri, C; Popov, ES; Portugal, A; Posta, A; Reschke, K; Reul, M; Ricci, GM; Rodríguez, A; Romanowski, J; Ruchikachorn, N; Saar, I; Safi, A; Sakolrak, B; Salzmann, F; Sandoval-Denis, M; Sangwichein, E; Sanhueza, L; Sato, T; Sastoque, A; Senn-Irlet, B; Shibata, A; Siepe, K; Somrithipol, S; Spetik, M; Sridhar, P; Stchigel, AM; Stuskova, K; Suwannasai, N; Tan, YP; Thangavel, R; Tiago, I; Tiwari, S; Tkalcec, Z; Tomashevskaya, MA; Tonegawa, C; Tran, HX; Tran, NT; Trovao, J; Trubitsyn, VE; Van Wyk, J; Vieira, WAS; Vila, J; Visagie, CM; Vizzini, A; Volobuev, SV; Vu, DT; Wangsawat, N; Yaguchi, T; Ercole, E; Ferreira, BW; de Souza, AP; Vieira, BS; Groenewald, JZ</t>
  </si>
  <si>
    <t>Crous, P. W.; Osieck, E. R.; Jurjevi, Z.; Boers, J.; Van Iperen, A. L.; Starink-Willemse, M.; Dima, B.; Balashov, S.; Bulgakov, T. S.; Johnston, P. R.; Morozova, O., V; Pinruan, U.; Sommai, S.; Alvarado, P.; Decock, C. A.; Lebel, T.; McMullan-Fisher, S.; Moreno, G.; Shivas, R. G.; Zhao, L.; Abdollahzadeh, J.; Abrinbana, M.; Ageev, D., V; Akhmetova, G.; Alexandrova, A., V; Altes, A.; Amaral, A. G. G.; Angelini, C.; Antonin, V; Arenas, F.; Asselman, P.; Badali, F.; Baghela, A.; Banares, A.; Barreto, R. W.; Baseia, I. G.; Bellanger, J-M; Berraf-Tebbal, A.; Biketova, A. Yu; Bukharova, N., V; Burgess, T., I; Cabero, J.; Camara, M. P. S.; Cano-Lira, J. F.; Ceryngier, P.; Chavez, R.; Cowan, D. A.; de Lima, A. F.; Oliveira, R. L.; Denman, S.; Dang, Q. N.; Dovana, F.; Duarte, I. G.; Eichmeier, A.; Erhard, A.; Esteve-Raventos, F.; Fellin, A.; Ferisin, G.; Ferreira, R. J.; Ferrer, A.; Finy, P.; Gaya, E.; Geering, A. D. W.; Gil-Duran, C.; Glaessnerova, K.; Glushakova, A. M.; Gramaje, D.; Guard, F. E.; Guarnizo, A. L.; Haelewaters, D.; Halling, R. E.; Hill, R.; Hirooka, Y.; Hubka, V; Iliushin, V. A.; Ivanova, D. D.; Ivanushkina, N. E.; Jangsantear, P.; Justo, A.; Kachalkin, A., V; Kato, S.; Khamsuntorn, P.; Kirtsideli, I. Y.; Knapp, D. G.; Kochkina, G. A.; Koukol, O.; Kovacs, G. M.; Kruse, J.; Kumar, T. K. A.; Kusan, I; Laessoe, T.; Larsson, E.; Lebeuf, R.; Levican, G.; Loizides, M.; Marinho, P.; Luangsa-ard, J. J.; Lukina, E. G.; Magana-Duenas, V; Maggs-Koelling, G.; Malysheva, E. F.; Malysheva, V. F.; Martin, B.; Martin, M. P.; Matocec, N.; McTaggart, A. R.; Mehrabi-Koushki, M.; Mesic, A.; Miller, A. N.; Mironova, P.; Moreau, P-A; Morte, A.; Mueller, K.; Nagy, L. G.; Nanu, S.; Navarro-Rodenas, A.; Nel, W. J.; Nguyen, T. H.; Nobrega, T. F.; Noordeloos, M. E.; Olariaga, I; Overton, B. E.; Ozerskaya, S. M.; Palani, P.; Pancorbo, F.; Papp, V; Pawlowska, J.; Pham, T. Q.; Phosri, C.; Popov, E. S.; Portugal, A.; Posta, A.; Reschke, K.; Reul, M.; Ricci, G. M.; Rodriguez, A.; Romanowski, J.; Ruchikachorn, N.; Saar, I; Safi, A.; Sakolrak, B.; Salzmann, F.; Sandoval-Denis, M.; Sangwichein, E.; Sanhueza, L.; Sato, T.; Sastoque, A.; Senn-Irlet, B.; Shibata, A.; Siepe, K.; Somrithipol, S.; Spetik, M.; Sridhar, P.; Stchigel, A. M.; Stuskova, K.; Suwannasai, N.; Tan, Y. P.; Thangavel, R.; Tiago, I; Tiwari, S.; Tkalcec, Z.; Tomashevskaya, M. A.; Tonegawa, C.; Tran, H. X.; Tran, N. T.; Trovao, J.; Trubitsyn, V. E.; Van Wyk, J.; Vieira, W. A. S.; Vila, J.; Visagie, C. M.; Vizzini, A.; Volobuev, S. V.; Vu, D. T.; Wangsawat, N.; Yaguchi, T.; Ercole, E.; Ferreira, B. W.; de Souza, A. P.; Vieira, B. S.; Groenewald, J. Z.</t>
  </si>
  <si>
    <t>Fungal Planet description sheets: 1284-1382</t>
  </si>
  <si>
    <t>PERSOONIA</t>
  </si>
  <si>
    <t>ITS nrDNA barcodes; LSU; new taxa; systematics</t>
  </si>
  <si>
    <t>BAYESIAN PHYLOGENETIC INFERENCE; ASPERGILLUS SECTION FUMIGATI; MULTIPLE SEQUENCE ALIGNMENT; SP-NOV; NATURAL CLASSIFICATION; SMALL CONIDIA; IQ-TREE; GENUS; GENERA; TAXA</t>
  </si>
  <si>
    <t>Novel species of fungi described in this study include those from various countries as follows: Antartica , Cladosporium austrolitorale from coastal sea sand. Australia , Austroboletus yourkae on soil, Crepidotus innuopur- pureus on dead wood, Curvularia stenotaphri from roots and leaves of Stenotaphrum secundatum and Thecaphora stajsicii from capsules of Oxalis radicosa. Belgium , Paraxerochrysium coryli (incl. Paraxerochrysium gen. nov.) from Corylus avellana. Brazil , Calvatia nordestina on soil, Didymella tabebuiicola from leaf spots on Tabebuia aurea, Fusarium subflagellisporum from hypertrophied floral and vegetative branches of Mangifera indica and Microdochium maculosum from living leaves of Digitaria insularis. Canada , Cuphophyllus bondii from a grassland. Croatia , Mollisia inferiseptata from a rotten Laurus nobilis trunk. Cyprus , Amanita exilis on calcareous soil. Czech Republic , Cytospora hippophaicola from wood of symptomatic Vaccinium corymbosum. Denmark , Lasiosphaeria deviata on pieces of wood and herbaceous debris. Dominican Republic , Calocybella goethei among grass on a lawn. France (Corsica) , Inocybe corsica on wet ground. France (French Guiana) , Trechispora patawaensis on decayed branch of unknown angiosperm tree and Trechispora subregularis on decayed log of unknown angiosperm tree. Germany , Paramicrothecium sambuci (incl. Paramicrothecium gen. nov.) on dead stems of Sambucus nigra. India , Aureobasidium microtermitis from the gut of a Microtermes sp. termite, Laccaria diospyricola on soil and Phylloporia tamilnadensis on branches of Catunaregam spinosa. Iran , Pythium serotinoosporum from soil under Prunus dulcis. Italy , Pluteus brunneovenosus on twigs of broadleaved trees on the ground. Japan , Heterophoma rehmanniae on leaves of Rehmannia glutinosa f. hueichingensis. Kazakhstan , Murispora kazachstanica from healthy roots of Triticum aestivum. Namibia , Caespitomonium euphorbiae (incl. Caespitomonium gen. nov.) from stems of an Euphorbia sp. Netherlands, Alfaria junci, Myrmecridium junci, Myrmecridium juncicola, Myrmecridium juncigenum, Ophioceras junci, Paradinemasporium junci (incl. Paradinemasporium gen. nov.), Phialoseptomonium junci, Sporidesmiella juncicola, Xenopyricularia junci and Zaanenomyces quadripartis (incl. Zaanenomyces gen. nov.), from dead culms of Juncus effusus, Cylindromonium everniae and Rhodoveronaea everniae from Evernia prunastri, Cyphellophora sambuci and Myrmecridium sambuci from Sambucus nigra, Kiflimonium junci, Saro- cladium junci, Zaanenomyces moderatricis-academiae and Zaanenomyces versatilis from dead culms of Juncus inflexus, Microcera physciae from Physcia tenella, Myrmecridium dactylidis from dead culms of Dactylis glomerata, Neochalara spiraeae and Sporidesmium spiraeae from leaves of Spiraea japonica, Neofabraea salicina from Salix sp., Paradissoconium narthecii (incl. Paradissoconium gen. nov.) from dead leaves of Narthecium ossifragum, Polyscytalum vaccinii from Vaccinium myrtillus, Pseudosoloacrosporiella cryptomeriae (incl. Pseudosoloacro- sporiella gen. nov.) from leaves of Cryptomeria japonica, Ramularia pararhabdospora from Plantago lanceolata, Sporidesmiella pini from needles of Pinus sylvestris and Xenoacrodontium juglandis (incl. Xenoacrodontium gen. nov. and Xenoacrodontiaceae fam. nov.) from Juglans regia. New Zealand, Cryptometrion metrosideri from twigs of Metrosideros sp. , Coccomyces pycnophyllocladi from dead leaves of Phyllocladus alpinus, Hypoderma aliforme from fallen leaves Fuscopora solandri and Hypoderma subiculatum from dead leaves Phormium tenax. Norway, Neodevriesia kalakoutskiifrom permafrost and Variabilispora viridis from driftwood of Picea abies. Portugal, Ento- mortierella hereditatis from a biofilm covering a deteriorated limestone wall. Russia, Colpoma junipericola from needles of Juniperus sabina, Entoloma cinnamomeum on soil in grasslands, Entoloma verae on soil in grasslands, Hyphodermella pallidostraminea on a dry dead branch of Actinidia sp., Lepiota sayanensis on litter in a mixed forest, Papiliotrema horticola from Malus communis, Paramacroventuria ribis (incl. Paramacroventuria gen. nov.) from leaves of Ribes aureum and Paramyrothecium lathyri from leaves of Lathyrus tuberosus. South Africa, Harzia combreti from leaf litter of Combretum collinum ssp. sulvense, Penicillium xyleborini from Xyleborinus saxesenii, Phaeoisaria dalbergiae from bark of Dalbergia armata, Protocreopsis euphorbiae from leaf litter of Euphorbia ingens and Roi- giella syzygii from twigs of Syzygium chordatum. Spain, Genea zamorana on sandy soil, Gymnopus nigrescens on Scleropodium touretii, Hesperomyces parexochomi on Parexochomus quadriplagiatus, Paraphoma variabilis from dung, Phaeococcomyces kinklidomatophilus from a blackened metal railing of an industrial warehouse and Tuber suaveolens in soil under Quercus faginea. Svalbard and Jan Mayen, Inocybe nivea associated with Salix polaris. Thailand, Biscogniauxia whalleyi on corticated wood. UK, Parasitella quercicola from Quercus robur. USA, Aspergillus arizonicus from indoor air in a hospital, Caeliomyces tampanus (incl. Caeliomyces gen. nov.) from office dust, Cippumomyces mortalis (incl. Cippumomyces gen. nov.) from a tombstone, Cylindrium desperesense from air in a store, Tetracoccosporium pseudoaerium from air sample in house, Toxicocladosporium glendoranum from air in a brick room, Toxicocladosporium losalamitosense from air in a classroom, Valsonectria portsmouthensis from air in men's locker room and Varicosporellopsis americana from sludge in a water reservoir. Vietnam, Entoloma kovalenkoi on rotten wood, Fusarium chuoi inside seed of Musa itinerans, Micropsalliota albofelina on soil in tropical evergreen mixed forests and Phytophthora docyniae from soil and roots of Docynia indica. Morphological and culture characteristics are supported by DNA barcodes.</t>
  </si>
  <si>
    <t>[Crous, P. W.; Van Iperen, A. L.; Starink-Willemse, M.; Zhao, L.; Sandoval-Denis, M.; Groenewald, J. Z.] Westerdijk Fungal Biodivers Inst, POB 85167, NL-3508 AD Utrecht, Netherlands; [Crous, P. W.; Nel, W. J.; Visagie, C. M.] Univ Pretoria, Forestry &amp; Agr Biotechnol Inst FABI, Dept Biochem Genet &amp; Microbiol, Pretoria, South Africa; [Osieck, E. R.] Jkvr CM van Asch, van Wijcklaan 19, NL-3972 ST Driebergen Rijsenburg, Netherlands; [Jurjevi, Z.; Balashov, S.; Erhard, A.] EMSL Analyt Inc, 200 Route 130 North, Cinnaminson, NJ 08077 USA; [Boers, J.] Conventstr 13A, NL-6701 GA Wageningen, Netherlands; [Dima, B.; Akhmetova, G.; Knapp, D. G.; Kovacs, G. M.] Eotvos Lorand Univ, Inst Biol, Dept Plant Anat, Pazmany Peter Setany 1-C, H-1117 Budapest, Hungary; [Bulgakov, T. S.] Russian Acad Sci, Dept Plant Protect, Fed Res Ctr, Subtrop Sci Ctr, Yana Fabritsiusa St 2-28, Soci 354002, Krasnodar Regio, Russia; [Johnston, P. R.] Manaaki Whenua Landcare Res, P Bag 92170, Auckland 1142, New Zealand; [Morozova, O., V; Iliushin, V. A.; Kirtsideli, I. Y.; Malysheva, E. F.; Malysheva, V. F.; Popov, E. S.; Volobuev, S. V.] Russian Acad Sci, Komarov Bot Inst, 2 Prof Popov Str, St Petersburg 197376, Russia; [Pinruan, U.; Sommai, S.; Luangsa-ard, J. J.; Somrithipol, S.] Natl Sci &amp; Technol Dev Agcy, BIOTEC, Plant Microbe Interact Res Team APMT, 113 Thailand Sci Pk,Phahonyothin Rd, Khlong Luang, Pathum Thani, Thailand; [Alvarado, P.] ALVALAB, C Dr Fernando Bongera,Severo Ochoa Bldg S1-04, Oviedo 33006, Spain; [Decock, C. A.] Catholic Univ Louvain, Mycotheque Univ Catholique Louvain MUCL, Earth &amp; Life Inst ELIM Mycol, BCCMTM, Croix Sud 2 Bte L7-05-06, B-1348 Louvain La Neuve, Belgium; [Lebel, T.] State Herbarium South Australia, Adelaide, SA 5000, Australia; [McMullan-Fisher, S.] Royal Bot Gardens, Melbourne, Vic, Australia; [Moreno, G.; Altes, A.; Esteve-Raventos, F.] Univ Alcala, Fac Ciencias, Dept Ciencias Vida Bot, Madrid 28805, Spain; [Shivas, R. G.] Univ Southern Queensland, Ctr Crop Hlth, Toowoomba, Qld 4350, Australia; [Abdollahzadeh, J.] Univ Kurdistan, Agr Fac, Dept Plant Protect, POB 416, Sanandaj, Iran; [Abrinbana, M.; Badali, F.] Urmia Univ, Fac Agr, Dept Plant Protect, POB 165, Orumiyeh, Iran; [Ageev, D., V] LLC Signatec, Inzhenernaya Str 22, Novosibirsk 630090, Russia; [Alexandrova, A., V; Glushakova, A. M.; Kachalkin, A., V] Lomonosov Moscow State Univ MSU, 1,12 Leninskie Gory Str, Moscow 119234, Russia; [Amaral, A. G. G.; Camara, M. P. S.; de Lima, A. F.; Duarte, I. G.; Vieira, W. A. S.] Univ Fed Rural Pernambuco, Dept Agron, Recife, PE, Brazil; [Angelini, C.] Herbario Jardin Bot Nacl Dr Rafael Ma Moscoso, Santo Domingo, Dominican Rep; [Angelini, C.] Via Cappuccini 78-8, I-33170 Pordenone, Italy; [Angelini, C.; Antonin, V] Moravian Museum, Dept Bot, Zelnytrh 6, Brno 65937, Czech Republic; [Arenas, F.; Guarnizo, A. L.; Morte, A.; Navarro-Rodenas, A.; Rodriguez, A.] Univ Murcia, Fac Biol, Dept Biol Vegetal Bot, Murcia 30100, Spain; [Asselman, P.; Haelewaters, D.; Mironova, P.] Univ Ghent, Dept Biol, Res Grp Mycol, KL Ledeganckstr 35, B-9000 Ghent, Belgium; [Baghela, A.; Tiwari, S.] Natl Fungal Culture Collect India NFCCI, Pune, Maharashtra, India; [Baghela, A.; Tiwari, S.] MACS Agharkar Res Inst, Biodivers &amp; Palaeobiol Grp, GG Agarkar Rd, Pune 411004, Maharashtra, India; [Banares, A.] Univ La Laguna, Dept Bot Ecol &amp; Fisiol Vegetal, Apdo 456, E-38200 Tenerife, Islas Canarias, Spain; [Barreto, R. W.; Nobrega, T. F.; Ferreira, B. W.] Univ Fed Vicosa, Dept Fitopatol, BR-36570900 Vicosa, MG, Brazil; [Baseia, I. G.] Univ Fed Rio Grande do Norte, Ctr Biociencias, Dept Bot &amp; Zool, Campus Univ, BR-59072970 Natal, RN, Brazil; [Bellanger, J-M] Univ Paul Valery Montpellier 3, Univ Montpellier, INSERM, EPHE,IRD,CNRS,CEFE, 1919 Route Mende, F-34293 Montpellier 5, France; [Berraf-Tebbal, A.; Eichmeier, A.; Spetik, M.; Stuskova, K.] Mendel Univ Brno, Fac Hort, Mendeleum Inst Genet, Valticka 334, Lednice 69144, Czech Republic; [Biketova, A. Yu; Nagy, L. G.] Eotvos Lorand Res Network, Inst Biochem, Biol Res Ctr, Temesvari Blvd 62, H-6726 Szeged, Hungary; [Biketova, A. Yu] Royal Bot Gardens, Jodrell Lab, Richmond TW9 3DS, Surrey, England; [Bukharova, N., V] Russian Acad Sci, Fed Sci Ctr East Asia Terr Biodivers, Far Eastern Branch, Pr T 100 Let Vladivostoka 159, Vladivostok 690022, Russia; [Burgess, T., I] Murdoch Univ, Harry Butler Inst, Phytophthora Sci &amp; Management, 90 South St, Murdoch, WA 6150, Australia; [Cabero, J.] C El Sol 6, Toro 49800, Zamora, Spain; [Cano-Lira, J. F.; Magana-Duenas, V; Sastoque, A.; Stchigel, A. M.] Univ Rovira &amp; Virgili URV, Med Sch, Mycol Unit, St Llorenc 21, Tarragona 43201, Spain; [Ceryngier, P.; Romanowski, J.] Cardinal Stefan Wyszynski Univ, Inst Biol Sci, Woycickiego 1, PL-01938 Warsaw, Poland; [Chavez, R.; Gil-Duran, C.; Levican, G.] Univ Santiago Chile US ACH, Fac Quim &amp; Biol, Estn Cent, Alameda 3363, Santiago 9170022, Chile; [Cowan, D. A.] Univ Pretoria, Ctr Microbial Ecol &amp; Genom, Dept Biochem Genet &amp; Microbiol, Private Bag X20, ZA-0028 Pretoria, South Africa; [Oliveira, R. L.] Univ Fed Rio Grande do Norte, Ctr Biociencias, Programa Posgrad Sistemat &amp; Evolucao, Av Senador Salgado Filho 3000, BR-59072970 Natal, RN, Brazil; [Denman, S.] Forest Res, Farnham, Surrey, England; [Dang, Q. N.; Nguyen, T. H.; Pham, T. Q.; Tran, H. X.] Vietnamese Acad Forest Sci, Forest Protect Res Ctr, 46 Duc Thang Ward, Hanoi, Vietnam; [Dovana, F.] Via Quargnento 17, I-15029 Solaro, AL, Italy; [Fellin, A.] Via G Canestrini 10-B, I-38028 Novella, TN, Italy; [Ferisin, G.] Assoc Micol Bassa Friulana, I-33052 Cervignano Del Friuli, Italy; [Ferreira, R. J.] Univ Fed Pernambuco, Dept Micol, Programa Posgrad Biol Fungos, BR-50670420 Recife, PE, Brazil; [Ferrer, A.; Sanhueza, L.] Univ Mayor, Fac Estudios Interdisciplinarios, Nucleo Quim &amp; Bioquim, Santiago, Chile; [Finy, P.] Zsombolyai U 56, H-8000 Szekesfehervar, Hungary; [Gaya, E.; Hill, R.] Royal Bot Gardens, Comparat Fungal Biol, Richmond TW9 3DS, Surrey, England; [Geering, A. D. W.; Tran, N. T.] Univ Queensland, Ctr Hort Sci, Queensland Alliance Agr &amp; Food Innovat, Dutton Pk, Qld 4102, Australia; [Glaessnerova, K.; Hubka, V; Koukol, O.] Charles Univ Prague, Fac Sci, Dept Bot, Benatska 2, Prague 12801 2, Czech Republic; [Glushakova, A. M.] Mechnikov Res Inst Vaccines &amp; Sera, Maly Kazenny By St,5A, Moscow 105064, Russia; [Gramaje, D.] Univ La Rioja, Inst Ciencias &amp; Vino ICVV, Consejo Super Invest Cient CSIC, Gobierno La Rioja, Ctra LO-20,Salida 13, Logrono 26007, Spain; [Haelewaters, D.] Univ South Bohemia, Fac Sci, Branisovska 31, Ceske Budejovice 37005, Czech Republic; [Halling, R. E.] New York Bot Garden, Inst Systemat Bot, 2900 Southern Blvd, Bronx, NY 10458 USA; [Hirooka, Y.; Kato, S.; Shibata, A.; Tonegawa, C.] Hosei Univ, Dept Clin Plant Sci, 3-7-2 Kajino Cho, Koganei, Tokyo, Japan; [Hubka, V; Yaguchi, T.] Chiba Univ, Med Mycol Res Ctr, Chuo Ku, 1-8-1 Inohana, Chiba 2608673, Japan; [Ivanova, D. D.] Herzen State Pedag Univ Russia, 48 Moyka Embankment, St Petersburg 191186, Russia; [Ivanushkina, N. E.; Kachalkin, A., V; Kochkina, G. A.; Ozerskaya, S. M.; Tomashevskaya, M. A.; Trubitsyn, V. E.] Russian Acad Sci, Pushchino Ctr Biol Res, GK Skryabin Inst Biochem &amp; Physiol Microorganisms, All Russian Collect Microorganisms, Pr Nauki 5, Pushchino 142290, Russia; [Jangsantear, P.; Sakolrak, B.] Dept Natl Pk Wildlife &amp; Plant Conservat, Forest &amp; Plant Conservat Res Off, Bangkok, Thailand; [Justo, A.] New Brunswick Museum, Dept Nat Hist, 277 Douglas Ave, St John, NB E2K 1E5, Canada; [Khamsuntorn, P.] Natl Ctr Genet Engn &amp; Biotechnol BIOTEC, Microbe Interact &amp; Ecol Lab BMIE, 113 Thailand Sci Pk,Phahonyothin Rd, Khlong Luang, Pathum Thani, Thailand; [Kruse, J.] POLLICHIA Museum, Pfalzmuseum Nat Kunde, Hermann Schafer Str 17, D-67098 Bad Durkheim, Germany; [Kumar, T. K. A.; Nanu, S.] Zamorins Guruvayurappan Coll, Dept Bot, Kozhikode, Kerala, India; [Kusan, I; Matocec, N.; Mesic, A.; Posta, A.; Tkalcec, Z.] Rudjer Boskovic Inst, Lab Biol Divers, Bijenicka Cesta 54, HR-10000 Zagreb, Croatia; [Laessoe, T.] Univ Copenhagen, Globe Inst, Dept Biol, Univ Pk 15, DK-2100 Copenhagen O, Denmark; [Larsson, E.] Univ Gothenburg, Biol &amp; Environm Sci, Box 461, SE-40530 Gothenburg, Sweden; [Larsson, E.] Gothenburg Global Biodivers Ctr, Box 461, SE-40530 Gothenburg, Sweden; [Lebeuf, R.] 775 Rang Rapide Nord, St Casimir, PQ G0A 3L0, Canada; [Loizides, M.] POB 58499, CY-3734 Limassol, Cyprus; [Marinho, P.] Univ Fed Rio Grande do Norte, Dept Biol Celular &amp; Genet, Natal, RN, Brazil; [Lukina, E. G.] St Petersburg State Univ, 7-9 Univ Skaya Emb, St Petersburg 199034, Russia; [Maggs-Koelling, G.] Gobabeb Namib Res Inst, Walvis Bay, Namibia; [Martin, B.] Serv Terr Agr Ganaderia &amp; Desarrollo Rural Zamora, C Prado Tuerto 17, Zamora 49019, Spain; [Martin, M. P.] Real Jardin Bot RJB CSIC, Plaza Murillo 2, Madrid 28014, Spain; [McTaggart, A. R.] Univ Queensland, Queensland Alliance Agr &amp; Food Innovat, Brisbane, Qld 4001, Australia; [Mehrabi-Koushki, M.; Safi, A.] Shahid Chamran Univ Ahvaz, Fac Agr, Dept Plant Protect, Ahvaz, Khuzestan Provi, Iran; [Mehrabi-Koushki, M.] Shahid Chamran Univ Ahvaz, Biotechnol &amp; Biosci Res Ctr, Ahvaz, Iran; [Miller, A. N.] Univ Illinois, Illinois Nat Hist Survey, 1816 South Oak St, Champaign, IL 61820 USA; [Moreau, P-A] Univ Lille, Fac Pharm Lille, EA 4483, F-59000 Lille, France; [Mueller, K.] Falkstr 103, D-47058 Duisburg, Germany; [Noordeloos, M. E.] Nat Biodivers Ctr, Sect Bot, POB 9517, NL-2300 RA Leiden, Netherlands; [Olariaga, I] Rey Juan Carlos Univ, Dept Biol &amp; Geol, Phys &amp; Inorgan Chem, C Tulipan S-N, Madrid 28933, Spain; [Overton, B. E.; Ricci, G. M.] Lock Haven Univ, Dept Biol, 205 East Campus Sci Ctr, Lock Haven, PA 17745 USA; [Palani, P.; Sridhar, P.] Univ Madras, Ctr Adv Studies Bot, Guindy Campus, Chennai 600025, Tamil Nadu, India; [Pancorbo, F.] Soc Micol Madrid, Real Jardin Bot, C Claudio Moyano 1, Madrid 28014, Spain; [Papp, V] Hungarian Univ Agr &amp; Life Sci, Dept Bot, Menesi Ut 44, H-1118 Budapest, Hungary; [Pawlowska, J.] Univ Warsaw, Fac Biol, Biol &amp; Chem Res Ctr, Inst Evolutionary Biol, Ul Zwirki &amp; Wigury 101, PL-02089 Warsaw, Poland; [Phosri, C.] Nakhon Phanom Univ, Fac Sci, Biol Programme, Nakhon Phanom 48000, Thailand; [Portugal, A.; Tiago, I; Trovao, J.] Univ Coimbra, Ctr Funct Ecol, Dept Life Sci, P-3004531 Coimbra, Portugal; [Portugal, A.] Inst Pedro Nunes, Fitolab Lab Phytopathol, P-3030199 Coimbra, Portugal; [Reschke, K.] Goethe Univ Frankfurt Main, Fac Biol Sci, Mycol Res Grp, Max von Laue Str 13, D-60439 Frankfurt, Germany; [Reul, M.] Ostenstr 19, D-95615 Marktredwitz, Germany; [Ruchikachorn, N.] Inst Promot Teaching Sci &amp; Technol, Bangkok 10110, Thailand; [Saar, I] Univ Tartu, Inst Ecol &amp; Earth Sci, Ravila St 14A, EE-50411 Tartu, Estonia; [Salzmann, F.] Kloosterweg 5, NL-6301 WK Valkenburg Ad Geul, Netherlands; [Sangwichein, E.] Ramkhamhang Univ, Fac Sci, Dept Biol, Bangkok 10240, Thailand; [Sato, T.] Niigata Agrofood Univ, Dept Agrofood Sci, 2416 Hiranedai, Tainai, Niigata, Japan; [Senn-Irlet, B.] Swiss Fed Inst Forest Snow &amp; Landscape Res WSL, Birmensdorf, Switzerland; [Siepe, K.] Geeste 133, D-46342 Velen, Germany; [Suwannasai, N.] Srinakharinwirot Univ, Fac Sci, Dept Microbiol, Bangkok 10110, Thailand; [Tan, Y. P.] Dept Agr &amp; Fisheries, Plant Pathol Herbarium, Dutton Pk, Qld 4102, Australia; [Thangavel, R.] Minist Primary Ind, Plant Hlth &amp; Environm Lab, POB 2095, Auckland 1140, New Zealand; [Van Wyk, J.] Michigan State Univ, Dept Plant Soil &amp; Microbial Sci, 1066 Bogue St, E Lansing, MI 48824 USA; [Vila, J.] Passatge Torn 4, Olot 17800, Spain; [Vizzini, A.] Univ Torino, Dept Life Sci &amp; Syst Biol, Viale PA Mattioli 25, I-10125 Turin, Italy; [Vu, D. T.] Plant Resources Ctr, Res Planning &amp; Int Cooperat Dept, Hanoi 152900, Vietnam; [Wangsawat, N.] Srinakharinwirot Univ, Fac Sci, Dept Biol, Bangkok 10110, Thailand; [Ercole, E.] Via Murazzano 11, I-10141 Turin, TO, Italy; [de Souza, A. P.; Vieira, B. S.] Univ Fed Uberlandia, Lab Microbiol &amp; Fitopatol, BR-38500000 Monte Carmelo, MG, Brazil</t>
  </si>
  <si>
    <t>University of Pretoria; Eotvos Lorand University; Russian Academy of Sciences; Landcare Research - New Zealand; Russian Academy of Sciences; Komarov Botanical Institute, Russian Academy of Sciences; National Science &amp; Technology Development Agency - Thailand; National Center Genetic Engineering &amp; Biotechnology (BIOTEC); Universite Catholique Louvain; Universidad de Alcala; University of Southern Queensland; University of Kurdistan; Urmia University; Lomonosov Moscow State University; Universidade Federal Rural de Pernambuco (UFRPE); Moravian Museum; University of Murcia; Ghent University; Department of Science &amp; Technology (India); Agharkar Research Institute (ARI); Universidad de la Laguna; Universidade Federal de Vicosa; Universidade Federal do Rio Grande do Norte; Institut National de la Sante et de la Recherche Medicale (Inserm); Universite PSL; Ecole Pratique des Hautes Etudes (EPHE); Institut Agro; Montpellier SupAgro; CIRAD; Centre National de la Recherche Scientifique (CNRS); Institut de Recherche pour le Developpement (IRD); Universite Paul-Valery; Universite de Montpellier; Mendel University in Brno; Hungarian Research Network; Hungarian Academy of Sciences; HUN-REN Biological Research Center; Royal Botanic Gardens, Kew; Russian Academy of Sciences; Federal Scientific Center of the East Asia Terrestrial Biodiversity, Far Eastern Branch of the Russian Academy of Sciences; Murdoch University; Universitat Rovira i Virgili; Cardinal Stefan Wyszynski University in Warsaw; University of Pretoria; Universidade Federal do Rio Grande do Norte; Universidade Federal de Pernambuco; Universidad Mayor; Royal Botanic Gardens, Kew; University of Queensland; Charles University Prague; Russian Academy of Medical Sciences; Research Institute of Vaccines and Sera Mechnikov, RAMS; Consejo Superior de Investigaciones Cientificas (CSIC); Universidad de La Rioja; University of South Bohemia Ceske Budejovice; New York Botanical Garden; Hosei University; Chiba University; Herzen State Pedagogical University of Russia; Russian Academy of Sciences; Pushchino Scientific Center for Biological Research (PSCBI) of the Russian Academy of Sciences; National Science &amp; Technology Development Agency - Thailand; National Center Genetic Engineering &amp; Biotechnology (BIOTEC); Rudjer Boskovic Institute; University of Copenhagen; University of Gothenburg; University of Gothenburg; Universidade Federal do Rio Grande do Norte; Saint Petersburg State University; Consejo Superior de Investigaciones Cientificas (CSIC); CSIC - Real Jardin Botanico de Madrid; University of Queensland; Shahid Chamran University of Ahvaz; Shahid Chamran University of Ahvaz; Illinois Natural History Survey; University of Illinois System; University of Illinois Urbana-Champaign; Universite de Lille; Naturalis Biodiversity Center; Universidad Rey Juan Carlos; Pennsylvania State System of Higher Education (PASSHE); Lock Haven University; University of Madras; Consejo Superior de Investigaciones Cientificas (CSIC); CSIC - Real Jardin Botanico de Madrid; Hungarian University of Agriculture &amp; Life Sciences; University of Warsaw; Nakhon Phanom University; Universidade de Coimbra; Universidade de Coimbra; Goethe University Frankfurt; University of Tartu; Tartu University Institute of Ecology &amp; Earth Sciences; Ramkhamhaeng University; Swiss Federal Institutes of Technology Domain; Swiss Federal Institute for Forest, Snow &amp; Landscape Research; Srinakharinwirot University; Michigan State University; University of Turin; Srinakharinwirot University; Universidade Federal de Uberlandia</t>
  </si>
  <si>
    <t>Crous, PW; Zhao, L; Groenewald, JZ (corresponding author), Westerdijk Fungal Biodivers Inst, POB 85167, NL-3508 AD Utrecht, Netherlands.;Cowan, DA (corresponding author), Univ Pretoria, Ctr Microbial Ecol &amp; Genom, Dept Biochem Genet &amp; Microbiol, Private Bag X20, ZA-0028 Pretoria, South Africa.;Maggs-Kölling, G (corresponding author), Gobabeb Namib Res Inst, Walvis Bay, Namibia.</t>
  </si>
  <si>
    <t>p.crous@wi.knaw.nl; l.zhao@wi.knaw.nl; e.groenewald@wi.knaw.nl</t>
  </si>
  <si>
    <t>Romanowski, Jerzy/AAE-8095-2021; W, Niwana/IQU-1797-2023; PORTUGAL, ANTONIO/ABE-7727-2020; Špetík, Milan/AAE-1406-2021; Vũ, Dương/KCZ-0177-2024; Cowan, Donald A/E-3991-2012; Alvarado, Pablo/K-4736-2014; Volobuev, Sergey/I-4046-2013; Bellanger, Jean-Michel/S-2103-2019; Mešić, Armin/AAJ-1858-2020; Bukharova, Nadezhda Vladimirovna/L-4342-2016; VIEIRA, WILLIE ANDERSON DOS SANTOS/AEN-7028-2022; Štůsková, Kateřina/AAT-5044-2021; Câmara, Marcos/AAW-6447-2021; Mironova, Polina/AAE-6522-2022; Trovao, Joao/AAU-7499-2021; Crous, Pedro/ISB-2589-2023; Morozova, Olga V/H-5135-2013; Tiago, Igor/ABE-5411-2020; Noordeloos, Machiel Evert/JWA-9206-2024; Ferreira, Renato/P-6887-2017; Malysheva, Ekaterina F./H-5582-2013; McTaggart, Alistair R/A-8871-2014; Toan, Vu Dang/AGR-3361-2022; Sandoval-Denis, Marcelo/H-1112-2019; JIMÉNEZ, FRANCISCO ARENAS/ABG-1085-2020; Abrinbana, Masoud/L-4156-2019; Biketova, Alona Yu./O-9961-2017; Saar, Irja/HJO-9073-2023; Hill, Rowena/AFS-1178-2022; Malysheva, Vera F./H-6242-2013; Iliushin, Vadim/AAD-4099-2022; Vu, Dang Toan/AFY-6646-2022; Bulgakov, Timur/AAC-3761-2020; Nel, Wilma/AAG-6062-2020; Kachalkin, Aleksey/D-6023-2013; Miller, Andrew/AAB-7815-2019; Moreau, Pierre-Arthur/AAP-8248-2020; Pawłowska, Julia/F-7881-2015; Eichmeier, Aleš/F-1209-2016; Senn-Irlet, Beatrice/AFQ-5299-2022; Posta, Ana/ABC-6172-2020; Ivanova, Daria Dmitrievna/AHB-9185-2022; BERRAF-TEBBAL, AKILA/AAJ-3917-2021; Johnston, Peter/GZL-2513-2022; Mehrabi-Koushki, Mehdi/AAG-2178-2021; Geering, Andrew D/A-7912-2011; Bellanger, Jean-Michel/D-1579-2017; Trubitsyn, Vladimir Eduardovich/AFN-8867-2022; Haelewaters, Danny/AAL-4179-2021; Burgess, Treena/AAB-9587-2021; Ceryngier, Piotr/ADS-1878-2022; Visagie, Cobus/JVZ-1459-2024; Popov, Eugene/J-2481-2012; Hubka, Vit/L-4124-2014; Morte, Asuncion/L-4536-2014</t>
  </si>
  <si>
    <t>Romanowski, Jerzy/0000-0003-1050-6403; PORTUGAL, ANTONIO/0000-0003-1748-6345; Špetík, Milan/0000-0001-7659-8852; Cowan, Donald A/0000-0001-8059-861X; Volobuev, Sergey/0000-0003-1217-5548; Bellanger, Jean-Michel/0000-0001-9289-2349; Mešić, Armin/0000-0002-4479-600X; Štůsková, Kateřina/0000-0002-5778-8439; Trovao, Joao/0000-0002-7845-6046; Tiago, Igor/0000-0002-9301-3585; McTaggart, Alistair R/0000-0002-0996-1313; Sandoval-Denis, Marcelo/0000-0001-6832-0252; JIMÉNEZ, FRANCISCO ARENAS/0000-0001-5850-1105; Abrinbana, Masoud/0000-0003-4373-105X; Biketova, Alona Yu./0000-0003-0801-0660; Hill, Rowena/0000-0002-1046-5528; Iliushin, Vadim/0000-0003-1031-7661; Vu, Dang Toan/0000-0003-3589-6428; Bulgakov, Timur/0000-0002-4874-6851; Nel, Wilma/0000-0001-6368-2203; Kachalkin, Aleksey/0000-0002-4494-2468; Miller, Andrew/0000-0001-7300-0069; Eichmeier, Aleš/0000-0001-7358-3903; Mehrabi-Koushki, Mehdi/0000-0002-1893-1458; Bellanger, Jean-Michel/0000-0001-9289-2349; Trubitsyn, Vladimir Eduardovich/0000-0002-4604-9518; Haelewaters, Danny/0000-0002-6424-0834; Burgess, Treena/0000-0002-7962-219X; Visagie, Cobus/0000-0003-2367-5353; Gil-Duran, Carlos Andres/0000-0001-9638-6902; Alvarado, Pablo/0000-0001-7462-5271; Ivanova, Daria/0000-0002-8302-8337; Popov, Eugene/0000-0001-8599-3117; Saar, Irja/0000-0001-8453-9721; Luangsa-ard, Janet Jennifer/0000-0001-6801-2145; Matocec, Neven/0000-0002-9235-939X; Rodriguez, Antonio/0000-0002-0708-7773; Tiwari, Snigdha/0000-0002-7391-3850; Van Wyk, Judson/0000-0003-2137-2092; Hubka, Vit/0000-0003-4583-6496; Morte, Asuncion/0000-0002-6426-0202; Ferreira da Nobrega, Thaisa/0000-0001-5262-389X; Vu, Duong/0000-0001-7960-2765; MARINHO, Paulo/0000-0001-9232-0607; Navarro Rodenas, Alfonso/0000-0001-9123-4547; Tran, Nga/0000-0002-8362-4016</t>
  </si>
  <si>
    <t>Manaaki Whenua - Landcare Research Biota Portfolio; Science and Innovation Group of the New Zealand Ministry of Business, Innovation and Employment; Czech Ministry of Health [NU21-05-00681]; Japan Society for the Promotion of Science [20F20772]; Charles University GrantAgency [GAUK 140520]; FEDER-Fundo Europeu de Desenvolvimento Regional funds through the COMPETE 2020-Operational Programme for Competitiveness and Internationalisation (POCI); FCT - Funda9Ao para a Ciencia e a Tecnologia [POCI-01-0145-FEDER-PTDC/EPH-PAT/3345/2014]; FCT/MCTES [UIDB/04004/2020]; POCH - Programa Opera-cional Capital Humano; European Social Fund; MCTES; FCT - Funda9Ao para a Ciencia e Tecnologia [SFRH/BD/132523/2017]; Research Foundation - Flanders (Junior Postdoctoral Fellowship) [1206620N]; Russian Science Foundation [19-74-10002]; State Order of the Government of Russian Federation [121040800174-6, 121032300081-7]; Kerala State Council for Science, Technology and Environment (KSCSTE); Ministry of Culture (Moravian Museum) [MK000094862]; New National Excellence Program of the Ministry for Innovation and Technology from the source of the National Research, Development and Innovation Fund [uNKP-20-4]; 'Momentum' program of the Hungarian Academy of Sciences [LP2019-13/2019]; National Research Foundation [118924, SFH170610239162]; Agencia Nacional de Investigacion y Desarrollo, Ministerio de Ciencia, Tecnologia, Conocimiento e Innovacion, Gobierno de Chile [3210135]; Chilean Antarctic Institute [INACH RG_03-14, INACH RT_31-16]; University Grants Commission, Delhi (India) [827/ (CSIR-UGC NET DEC.2017)]; Estonian Research Council [PRG1170]; European Re-gional Development Fund (Centre of Excellence EcolChange); Conselho Nacional de Desenvolvimento Cientifico e Tecnologico - CNPq [408724/2018-8]; Coordena9Ao de Aperfei9oamento Pessoal de Ensino Superior - CAPES; Programa Nacional de Pos-Doutorado/CAPES - PNPD/CAPES; CNPq; CAPES; FEDER/Ministerio de Ciencia, Innovacion y Universidades-Agencia Estatal de In-vestigacion (Spain) [CGL2017-86540-P]; National Council for Scientific and Technological Development (CNPq); National Council for Scientific and Technological Development (CNPq) [409960/2016-0]; CNPq-visiting researcher [407474/2013-7]; Australian Biological Resources Study [TTC217-06]; NRCT; Royal Golden Jubilee Ph.D. programme [PHD/0218/2559]; Hort Innovation [TU19000]; Croatian Science Foundation [HRZZ-IP-2018-01-1736, HRZZ-2018-09-7081]; Fundacion Seneca -Agencia de Ciencia y Tecnologia de la Region de Murcia [20866/PI/18]; National Research, Develop-ment and Innovation Office, Hungary [NKFIH KH-130401, K-139026]; National Research, Development and Innovation Office [TKP2020-IKA-05]; Stipendium Hungaricum Programme; Janos Bolyai Re-search Scholarship of the Hungarian Academy of Sciences; Bolyai+ New National Excellence Program of the Ministry for Innovation and Techno-logy; National Science Foundation (USA) [1828479]; National Research, Development and Innovation Fund of Hungary [uNKP-21-5]; National Science Centre, Poland [2017/25/B/NZ8/00473]; [CZ.02.1.01/0.0/0.0/16_017/0002334]; [0492-2021-0007]; NERC [2057246] Funding Source: UKRI; Fundação para a Ciência e a Tecnologia [SFRH/BD/132523/2017] Funding Source: FCT; Grants-in-Aid for Scientific Research [20F20772] Funding Source: KAKEN; Div Of Biological Infrastructure; Direct For Biological Sciences [1828479] Funding Source: National Science Foundation</t>
  </si>
  <si>
    <t>Manaaki Whenua - Landcare Research Biota Portfolio; Science and Innovation Group of the New Zealand Ministry of Business, Innovation and Employment(New Zealand Ministry of Business, Innovation and Employment (MBIE)); Czech Ministry of Health(Ministry of Health, Czech Republic); Japan Society for the Promotion of Science(Ministry of Education, Culture, Sports, Science and Technology, Japan (MEXT)Japan Society for the Promotion of Science); Charles University GrantAgency; FEDER-Fundo Europeu de Desenvolvimento Regional funds through the COMPETE 2020-Operational Programme for Competitiveness and Internationalisation (POCI); FCT - Funda9Ao para a Ciencia e a Tecnologia; FCT/MCTES(Fundacao para a Ciencia e a Tecnologia (FCT)); POCH - Programa Opera-cional Capital Humano; European Social Fund(European Social Fund (ESF)); MCTES; FCT - Funda9Ao para a Ciencia e Tecnologia; Research Foundation - Flanders (Junior Postdoctoral Fellowship); Russian Science Foundation(Russian Science Foundation (RSF)); State Order of the Government of Russian Federation; Kerala State Council for Science, Technology and Environment (KSCSTE); Ministry of Culture (Moravian Museum); New National Excellence Program of the Ministry for Innovation and Technology from the source of the National Research, Development and Innovation Fund; 'Momentum' program of the Hungarian Academy of Sciences; National Research Foundation; Agencia Nacional de Investigacion y Desarrollo, Ministerio de Ciencia, Tecnologia, Conocimiento e Innovacion, Gobierno de Chile; Chilean Antarctic Institute; University Grants Commission, Delhi (India)(University Grants Commission, India); Estonian Research Council(Estonian Research Council); European Re-gional Development Fund (Centre of Excellence EcolChange); Conselho Nacional de Desenvolvimento Cientifico e Tecnologico - CNPq(Conselho Nacional de Desenvolvimento Cientifico e Tecnologico (CNPQ)); Coordena9Ao de Aperfei9oamento Pessoal de Ensino Superior - CAPES; Programa Nacional de Pos-Doutorado/CAPES - PNPD/CAPES; CNPq(Conselho Nacional de Desenvolvimento Cientifico e Tecnologico (CNPQ)); CAPES(Coordenacao de Aperfeicoamento de Pessoal de Nivel Superior (CAPES)); FEDER/Ministerio de Ciencia, Innovacion y Universidades-Agencia Estatal de In-vestigacion (Spain)(Spanish Government); National Council for Scientific and Technological Development (CNPq)(Conselho Nacional de Desenvolvimento Cientifico e Tecnologico (CNPQ)); National Council for Scientific and Technological Development (CNPq)(Conselho Nacional de Desenvolvimento Cientifico e Tecnologico (CNPQ)); CNPq-visiting researcher; Australian Biological Resources Study; NRCT; Royal Golden Jubilee Ph.D. programme; Hort Innovation; Croatian Science Foundation; Fundacion Seneca -Agencia de Ciencia y Tecnologia de la Region de Murcia(Fundacion Seneca); National Research, Develop-ment and Innovation Office, Hungary(National Research, Development &amp; Innovation Office (NRDIO) - Hungary); National Research, Development and Innovation Office(National Research, Development &amp; Innovation Office (NRDIO) - Hungary); Stipendium Hungaricum Programme; Janos Bolyai Re-search Scholarship of the Hungarian Academy of Sciences(Hungarian Academy of Sciences); Bolyai+ New National Excellence Program of the Ministry for Innovation and Techno-logy; National Science Foundation (USA)(National Science Foundation (NSF)); National Research, Development and Innovation Fund of Hungary; National Science Centre, Poland(National Science Centre, Poland); ; ; NERC(UK Research &amp; Innovation (UKRI)Natural Environment Research Council (NERC)); Fundação para a Ciência e a Tecnologia(Fundacao para a Ciencia e a Tecnologia (FCT)); Grants-in-Aid for Scientific Research(Ministry of Education, Culture, Sports, Science and Technology, Japan (MEXT)Japan Society for the Promotion of ScienceGrants-in-Aid for Scientific Research (KAKENHI)); Div Of Biological Infrastructure; Direct For Biological Sciences(National Science Foundation (NSF)NSF - Directorate for Biological Sciences (BIO))</t>
  </si>
  <si>
    <t>P.R. Johnston thanks J. Sullivan (Lincoln University) for the habitat image of Kowai Bush, Duckchul Park (Manaaki Whenua - Landcare Research) for the DNA sequencing, and the New Zealand Depart-ment of Conservation for permission to collect the specimens; this research was supported through the Manaaki Whenua - Landcare Research Biota Portfolio with funding from the Science and Innovation Group of the New Zealand Ministry of Business, Innovation and Employment. V. Hubka was supported by the Czech Ministry of Health (grant number NU21-05-00681) , and is grateful for the support from the Japan Society for the Promotion of Science - grant-in-aid for JSPS research fellow (grant no. 20F20772) . K. Glassnerova was supported by the Charles University GrantAgency (grant No. GAUK 140520) . J. TrovAo and colleagues were financed by FEDER-Fundo Europeu de Desenvolvimento Regional funds through the COMPETE 2020-Operational Programme for Competitiveness and Internationalisation (POCI) , and by Portuguese funds through FCT - Funda9Ao para a Ciencia e a Tecnologia in the framework of the project POCI-01-0145-FEDER-PTDC/EPH-PAT/3345/2014. This work was carried out at the R&amp;D Unit Centre for Functional Ecology- Science for People and the Planet (CFE) , with refer-ence UIDB/04004/2020, financed by FCT/MCTES through national funds (PIDDAC) . J. TrovAo was also supported by POCH - Programa Opera-cional Capital Humano (co-funding by the European Social Fund and na-tional funding by MCTES) , through a 'FCT - Funda9Ao para a Ciencia e Tecnologia' PhD research grant (SFRH/BD/132523/2017) . D. Haelewaters acknowledges support from the Research Foundation - Flanders (Junior Postdoctoral Fellowship 1206620N) . M. Loizides and colleagues are grate-ful to Y. Cherniavsky for contributing collections AB A12-058-1 and AB A12-058-2, and a. Kovacs and B. Kiss for their help with molecular studies of these specimens. C. Zmuda is thanked for assisting with the collection of ladybird specimens infected with Hesperomyces parexochomi. A.V. Kacha-lkin and colleagues were supported by the Russian Science Foundation (grant No. 19-74-10002) . The study of A.M. Glushakova was carried out as part of the Scientific Project of the State Order of the Government of Russian Federation to Lomonosov Moscow State University No. 121040800174-6. S. Nanu acknowledges the Kerala State Council for Science, Technology and Environment (KSCSTE) for granting a research fellowship and is grate-ful to the Chief Conservator of Forests and Wildlife for giving permission to collect fungal samples. A. Banares and colleagues thank L. Monje andA. Pueblas of the Department of Drawing and Scientific Photography at the University of Alcala for their help in the digital preparation of the photographs, and J. Rejos, curator of the AH herbarium for his assistance with the speci-mens examined in the present study. The research of V. Antonin received institutional support for long-term conceptual development of research insti-tutions provided by the Ministry of Culture (Moravian Museum, ref. MK000094862) . The studies of E.F. Malysheva, V.F. Malysheva, O.V. Mo-rozova, and S.V. Volobuevwere carried outwithin the framework of a research project of the Komarov Botanical Institute RAS, St Petersburg, Russia (????-?18-118022090078-2) using equipment of its Core Facility Centre 'Cell and Molecular Technologies in Plant Science'.The study of A.V. Alex-androva was carried out as part of the Scientific Project of the State Order of the Government of Russian Federation to Lomonosov Moscow State University No.; 121032300081-7. The Kits van Waveren Foundation (Rijks-herbariumfonds Dr E. Kits van Waveren, Leiden, Netherlands) contributed substantially to the costs of sequencing and travelling expenses for M.E. Noordeloos. The work of B. Dima was partly supported by the uNKP-20-4 New National Excellence Program of the Ministry for Innovation and Technology from the source of the National Research, Development and Innovation Fund. The work of L. Nagy was supported by the 'Momentum' program of the Hungarian Academy of Sciences (contract No. LP2019-13/2019 to L.G.N.) . G.A. Kochkina and colleagues acknowledge N. Demidov for the background photograph, and N. Suzina for the SEM photomicrograph. The research of C.M. Visagie and W.J. Nel was supported by the National Research Foundation grant no 118924 and SFH170610239162. C. Gil-Duran acknowledges Agencia Nacional de Investigacion y Desarrollo, Ministerio de Ciencia, Tecnologia, Conocimiento e Innovacion, Gobierno de Chile, for grant ANID - Fondecyt de Postdoctorado 2021 - N degrees 3210135. R. Chavez and G. Levican thank DICYT-USACH and acknowledges the grants INACH RG_03-14 and INACH RT_31-16 from the Chilean Antarctic Institute, re-spectively. S. Tiwari and A. Baghela would like to acknowledge R. Avchar and K. Balasubramanian from the Agharkar Research Institute, Pune, Ma-harashtra for helping with the termite collection. S. Tiwari is also thankful to the University Grants Commission, Delhi (India) fora junior research fellow-ship (827/ (CSIR-UGC NET DEC.2017) ) . R. Lebeuf and I. Saar thank D. and H. Spencer for collecting and photographing the holotype of C. bondii, and R. Smith for photographing the habitat. A. Voitk is thanked for helping with the colour plate and review of the manuscript, and the Foray Newfoundland and Labrador for providing the paratype material. I. Saar was supported by the Estonian Research Council (grant PRG1170) and the European Re-gional Development Fund (Centre of Excellence EcolChange) . M.P.S. Ca-mara acknowledges the 'Conselho Nacional de Desenvolvimento Cientifico e Tecnologico - CNPq' for the research productivity fellowship, and financial support (Universal number 408724/2018-8) . W.A.S. Vieira acknowledges the 'Coordena9Ao de Aperfei9oamento Pessoal de Ensino Superior - CAPES' and the 'Programa Nacional de Pos-Doutorado/CAPES - PNPD/CAPES' for the postdoctoral fellowship. A.G.G. Amaral acknowledges CNPq, and A.F. Lima and I.G. Duarte acknowledge CAPES for the doctorate fellowships. F. Esteve-Raventos and colleagues were financially supported by FEDER/Ministerio de Ciencia, Innovacion y Universidades-Agencia Estatal de In-vestigacion (Spain) /Project CGL2017-86540-P. The authors would like to thank L. Hugot and N. Suberbielle (Conservatoire Botanique National de Corse, Office de l'Environnement de la Corse, Corti) for their help. The re-search of E. Larsson is supported by The Swedish Taxonomy Initiative, SLU Artdatabanken, Uppsala. Financial support was provided to R.J. Ferreira by the National Council for Scientific and Technological Development (CNPq) , and to I.G. Baseia, P.S.M. Lucio and M.P. Martin by the National Council for Scientific and Technological Development (CNPq) under CNPq-Universal 2016 (409960/2016-0) and CNPq-visiting researcher (407474/2013-7) . J. Cabero and colleagues wish to acknowledge A. Rodriguez for his help to describe Genea zamorana, as well as H. Hernandez for sharing information about the vegetation of the type locality. S. McMullan-Fisher and colleagues acknowledge K. Syme (assistance with illustrations) , J.; Kellermann (transla-tions) , M. Barrett (collection, images and sequences) , T. Lohmeyer (collection and images) and N. Karunajeewa (for prompt accessioning) . This research was supported through funding from Australian Biological Resources Study grant (TTC217-06) to the Royal Botanic Gardens Victoria. The research of M. Spetik and co-authors was supported by project No. CZ.02.1.01/0.0/0.0/16_017/0002334. N. Wangsawat and colleagues were partially supported by NRCT and the Royal Golden Jubilee Ph.D. programme, grant number PHD/0218/2559. They are thankful to M. Kamsook for the photograph of the Phu Khiao Wildlife Sanctuary and P. Thamvithayakorn for phylogenetic il-lustrations. The study by N.T. Tran and colleagues was funded by Hort Innovation (Grant TU19000) . They also thank the turf growers who supportedtheir surveys and specimen collection. N. Matoec, I. Kuan, A. Pota, Z. Tkalec and A. Mei thank the Croatian Science Foundation for their financial support under the project grant HRZZ-IP-2018-01-1736 (ForFun-giDNA) . A. Pota thanks the Croatian Science Foundation for their support under the grant HRZZ-2018-09-7081. A. Morte is grateful to Fundacion Seneca -Agencia de Ciencia y Tecnologia de la Region de Murcia (20866/PI/18) for financial support. The research of G. Akhmetova, G.M. Kovacs, B. Dima and D.G. Knapp was supported by the National Research, Develop-ment and Innovation Office, Hungary (NKFIH KH-130401 and K-139026) , the ELTE Thematic Excellence Program 2020 supported by the National Research, Development and Innovation Office (TKP2020-IKA-05) and the Stipendium Hungaricum Programme. The support of the Janos Bolyai Re-search Scholarship of the Hungarian Academy of Sciences and the Bolyai+ New National Excellence Program of the Ministry for Innovation and Techno-logy to D.G. Knapp is highly appreciated. F.E. Guard and colleagues are grateful to the traditional owners, the Jirrbal and Warungu people, as well as L. and P. Hales, Reserve Managers, of the Yourka Bush Heritage Reserve. Their generosity, guidance, and the opportunity to explore the Bush Heritage Reserve on the Einasleigh Uplands in far north Queensland is greatly ap-preciated. The National Science Foundation (USA) provided funds (DBI#1828479) to the New York Botanical Garden fora scanning electron microscope used for imaging the spores. V. Papp was supported by the uNKP-21-5 New National Excellence Program of the Ministry for Innovation and Technology from the National Research, Development and Innovation Fund of Hungary. A.N. Miller thanks the WM Keck Center at the University of Illinois Urbana - Champaign for sequencing Lasiosphaeria deviata. J. Pawowska acknowledges support form National Science Centre, Poland (grant Opus 13 no 2017/25/B/NZ8/00473) . The research of T.S. Bulgakov was carried out as part of the State Research Task of the Subtropical Scien-tific Centre of the Russian Academy of Sciences (Theme No. 0492-2021-0007) . K. Bensch (Westerdijk Fungal Biodiversity Institute, Utrecht) is thanked for correcting the spelling of various Latin epithets.</t>
  </si>
  <si>
    <t>RIJKSHERBARIUM</t>
  </si>
  <si>
    <t>PO BOX 9514, 2300 RA LEIDEN, NETHERLANDS</t>
  </si>
  <si>
    <t>0031-5850</t>
  </si>
  <si>
    <t>Persoonia</t>
  </si>
  <si>
    <t>10.3767/persoonia.2021.47.06</t>
  </si>
  <si>
    <t>Mycology</t>
  </si>
  <si>
    <t>YN8HQ</t>
  </si>
  <si>
    <t>WOS:000747494100001</t>
  </si>
  <si>
    <t>Kudryavtsev, IV</t>
  </si>
  <si>
    <t>Kudryavtsev, I. V.</t>
  </si>
  <si>
    <t>Possible Cause of Differences between Reconstructions of the Heliospheric Modulation Potential in the Past Based on Data on the 10Be Content in the Ice of the Antarctic and Greenland</t>
  </si>
  <si>
    <t>GEOMAGNETISM AND AERONOMY</t>
  </si>
  <si>
    <t>COSMOGENIC ISOTOPE C-14; SOLAR-ACTIVITY; MAUNDER MINIMUM; ATMOSPHERE; MODEL; CO2; HOLOCENE; RECORD; DOME</t>
  </si>
  <si>
    <t>The paper presents reconstructions of the heliospheric modulation potential based on data on the content of the cosmogenic isotope Be-10 in the ice layers of Antarctica (Dome Fuji). The calculations involve the use of two models that describe the relationship between the Be-10 concentration in layers of ice C with the rate of formation of this isotope in the Earth's atmosphere Q. The first model is described by a linear relationship between these quantities with a constant proportionality coefficient. In the second case, the proportionality coefficient between the concentration C and production rate Q changes over time in the considered model. The differences in the obtained reconstructions of the heliospheric modulation potential from Antarctica data from the reconstruction based on NGRIP data (Greenland) are analyzed. It was shown that the contradictions between the reconstructions can be removed if the dependence of the Be-10 concentration in ice layers on the rate of its formation in the Earth's atmosphere changes with time, which may be the result of climate change. Moreover, these dependences may be different for different regions.</t>
  </si>
  <si>
    <t>[Kudryavtsev, I. V.] Ioffe Inst, St Petersburg 194021, Russia</t>
  </si>
  <si>
    <t>Russian Academy of Sciences; St. Petersburg Scientific Centre of the Russian Academy of Sciences; Ioffe Physical Technical Institute</t>
  </si>
  <si>
    <t>Kudryavtsev, IV (corresponding author), Ioffe Inst, St Petersburg 194021, Russia.</t>
  </si>
  <si>
    <t>igor.koudriavtsev@mail.ioffe.ru</t>
  </si>
  <si>
    <t>0016-7932</t>
  </si>
  <si>
    <t>1555-645X</t>
  </si>
  <si>
    <t>GEOMAGN AERONOMY+</t>
  </si>
  <si>
    <t>Geomagn. Aeron.</t>
  </si>
  <si>
    <t>10.1134/S0016793221080132</t>
  </si>
  <si>
    <t>YK2BA</t>
  </si>
  <si>
    <t>WOS:000745023800017</t>
  </si>
  <si>
    <t>Krafft, BA; Macaulay, G; Skaret, G; Knutsen, T; Bergstad, OA; Lowther, A; Huse, G; Fielding, S; Trathan, P; Murphy, E; Choi, SG; Chung, S; Han, I; Lee, K; Zhao, XY; Wang, XL; Ying, YP; Yu, XT; Demianenko, K; Podhornyi, V; Vishnyakova, K; Pshenichnov, L; Chuklin, A; Shyshman, H; Cox, MJ; Reid, K; Watters, GM; Reiss, CS; Hinke, JT; Arata, J; Godo, OR; Hoem, N</t>
  </si>
  <si>
    <t>Krafft, Bjorn A.; Macaulay, Gavin; Skaret, Georg; Knutsen, Tor; Bergstad, Odd A.; Lowther, Andrew; Huse, Geir; Fielding, Sophie; Trathan, Philip; Murphy, Eugene; Choi, Seok-Gwan; Chung, Sangdeok; Han, Inwoo; Lee, Kyounghoon; Zhao, Xianyong; Wang, Xinliang; Ying, Yiping; Yu, Xiaotao; Demianenko, Kostiantyn; Podhornyi, Viktor; Vishnyakova, Karina; Pshenichnov, Leonid; Chuklin, Andrii; Shyshman, Hanna; Cox, Martin J.; Reid, Keith; Watters, George M.; Reiss, Christian S.; Hinke, Jefferson T.; Arata, Javier; Godo, Olav R.; Hoem, Nils</t>
  </si>
  <si>
    <t>Standing stock of Antarctic krill (Euphausia superba Dana, 1850) (Euphausiacea) in the Southwest Atlantic sector of the Southern Ocean, 2018-19 (vol 41, ruab046, 2021)</t>
  </si>
  <si>
    <t>JOURNAL OF CRUSTACEAN BIOLOGY</t>
  </si>
  <si>
    <t>[Krafft, Bjorn A.; Macaulay, Gavin; Skaret, Georg; Knutsen, Tor; Bergstad, Odd A.; Huse, Geir] Inst Marine Res, N-5005 Bergen, Norway; [Lowther, Andrew] Norwegian Polar Res Inst, N-9296 Tromso, Norway; [Fielding, Sophie; Trathan, Philip; Murphy, Eugene] British Antarctic Survey, Cambridge CB3 0ET, England; [Choi, Seok-Gwan; Chung, Sangdeok; Han, Inwoo] Natl Inst Fisheries Sci, Busan 46083, South Korea; [Lee, Kyounghoon] Chonnam Natl Univ, Yeosu 59626, South Korea; [Zhao, Xianyong; Wang, Xinliang; Ying, Yiping; Yu, Xiaotao] Chinese Acad Fishery Sci, Yellow Sea Fisheries Res Inst, Qingdao 266071, Peoples R China; [Demianenko, Kostiantyn; Podhornyi, Viktor; Pshenichnov, Leonid] Inst Fisheries &amp; Marine Ecol, UA-71118 Berdyansk, Ukraine; [Vishnyakova, Karina] Natl Antarctic Sci Ctr Ukraine, UA-01601 Kiev, Ukraine; [Chuklin, Andrii; Shyshman, Hanna] Ltd Iiabil Co IKF, UA-54017 Mykolaiv, Ukraine; [Cox, Martin J.] Australian Antarctic Div, Hobart, Tas 7050, Australia; [Reid, Keith] CCAMLR, Hobart, Tas 7002, Australia; [Watters, George M.; Reiss, Christian S.; Hinke, Jefferson T.] NOAA, Natl Marine Fisheries Serv, Southwest Fisheries Sci Ctr, Antarctic Ecosyst Res Div, La Jolla, CA 92037 USA; [Arata, Javier] Assoc Responsible Krill Harvesting Co APK, Margate, Qld 7054, Australia; [Godo, Olav R.; Hoem, Nils] AKER Biomarine AS, N-1366 Lysaker, Norway</t>
  </si>
  <si>
    <t>Institute of Marine Research - Norway; Norwegian Polar Institute; UK Research &amp; Innovation (UKRI); Natural Environment Research Council (NERC); NERC British Antarctic Survey; National Institute of Fisheries Science; Chonnam National University; Chinese Academy of Fishery Sciences; Yellow Sea Fisheries Research Institute, CAFS; Ministry of Education &amp; Science of Ukraine; State Institution National Antarctic Scientific Center; Australian Antarctic Division; National Oceanic Atmospheric Admin (NOAA) - USA</t>
  </si>
  <si>
    <t>Krafft, BA (corresponding author), Inst Marine Res, N-5005 Bergen, Norway.</t>
  </si>
  <si>
    <t>bjorn.krafft@hi.no</t>
  </si>
  <si>
    <t>Watters, George/HPE-2184-2023; Fielding, Sophie/E-5137-2012; murphy, eugene/GZL-1620-2022; LEE, Kyounghoon/IWM-4396-2023</t>
  </si>
  <si>
    <t>Watters, George/0000-0002-6989-1273;</t>
  </si>
  <si>
    <t>0278-0372</t>
  </si>
  <si>
    <t>1937-240X</t>
  </si>
  <si>
    <t>J CRUSTACEAN BIOL</t>
  </si>
  <si>
    <t>J. Crustac. Biol.</t>
  </si>
  <si>
    <t>YJ5JL</t>
  </si>
  <si>
    <t>WOS:000744568200016</t>
  </si>
  <si>
    <t>Estes, M; Muller-Karger, F; Forsberg, K; Leinen, M; Kholeif, S; Turner, W; Cripe, D; Gevorgyan, Y; Fietzek, P; Canonico, G; Werner, F; Bax, N</t>
  </si>
  <si>
    <t>Estes, Maurice, Jr.; Muller-Karger, Frank; Forsberg, Kerstin; Leinen, Margaret; Kholeif, Suzan; Turner, Woody; Cripe, Douglas; Gevorgyan, Yana; Fietzek, Peer; Canonico, Gabrielle; Werner, Francisco; Bax, Nicholas</t>
  </si>
  <si>
    <t>Integrating Biology into Ocean Observing Infrastructure: Society Depends on It</t>
  </si>
  <si>
    <t>[Estes, Maurice, Jr.] Univ Alabama Huntsville, NASA Ecol Forecasting Program, Huntsville, AL 35899 USA; [Muller-Karger, Frank] Univ S Florida, Coll Marine Sci, Tampa, FL 33620 USA; [Forsberg, Kerstin] Planeta Ocean, Lima, Peru; [Forsberg, Kerstin] Migramar, Forest Knolls, CA USA; [Leinen, Margaret] Univ Calif San Diego, Scripps Inst Oceanog, La Jolla, CA 92093 USA; [Kholeif, Suzan] Natl Inst Oceanog &amp; Fisheries NIOF, Hurghada, Egypt; [Turner, Woody] NASA Headquarters, Earth Sci Div, Washington, DC USA; [Cripe, Douglas; Gevorgyan, Yana] Grp Earth Observat, Geneva, Switzerland; [Fietzek, Peer] Kongsberg Maritime Germany GmbH, Hamburg, Germany; [Canonico, Gabrielle] NOAA, Us Integrated Ocean Observing Syst, Washington, DC USA; [Werner, Francisco] NOAA Fisheries, Silver Spring, MD USA; [Bax, Nicholas] CSIRO Oceans &amp; Atmosphere, Hobart, Tas, Australia; [Bax, Nicholas] Univ Tasmania, Inst Marine &amp; Antarctic Sci, Hobart, Tas, Australia</t>
  </si>
  <si>
    <t>University of Alabama System; University of Alabama Huntsville; State University System of Florida; University of South Florida; University of California System; University of California San Diego; Scripps Institution of Oceanography; Egyptian Knowledge Bank (EKB); National Institute of Oceanography &amp; Fisheries (NIOF); National Aeronautics &amp; Space Administration (NASA); Mary W. Jackson NASA Headquarters; National Oceanic Atmospheric Admin (NOAA) - USA; National Oceanic Atmospheric Admin (NOAA) - USA; Commonwealth Scientific &amp; Industrial Research Organisation (CSIRO); University of Tasmania</t>
  </si>
  <si>
    <t>Estes, M (corresponding author), Univ Alabama Huntsville, NASA Ecol Forecasting Program, Huntsville, AL 35899 USA.</t>
  </si>
  <si>
    <t>maury.estes@nsstc.uah.edu</t>
  </si>
  <si>
    <t>Canonico, Gabrielle/0000-0003-4251-896X; Estes, Maurice/0000-0001-5251-2153; Forsberg, Kerstin/0000-0002-1233-9381; Leinen, Margaret Sandra/0000-0002-7982-3661</t>
  </si>
  <si>
    <t>NASA Applied Sciences, Ecological Forecasting Program</t>
  </si>
  <si>
    <t>NASA Applied Sciences, Ecological Forecasting Program(National Aeronautics &amp; Space Administration (NASA))</t>
  </si>
  <si>
    <t>The authors would like to thank the NASA Applied Sciences, Ecological Forecasting Program, for funding support for Maurice Estes Jr. The opinions offered are solely those of the authors of this work and do not necessarily reflect those of their affiliated organizations.</t>
  </si>
  <si>
    <t>10.5670/oceanog.2021.supplement.02-16</t>
  </si>
  <si>
    <t>YG7PF</t>
  </si>
  <si>
    <t>WOS:000742674800011</t>
  </si>
  <si>
    <t>Geng, T; Zhang, SK; Xiao, F; Li, JX; Xuan, Y; Li, X; Li, F</t>
  </si>
  <si>
    <t>Geng, Tong; Zhang, Shengkai; Xiao, Feng; Li, Jiaxing; Xuan, Yue; Li, Xiao; Li, Fei</t>
  </si>
  <si>
    <t>DEM Generation with ICESat-2 Altimetry Data for the Three Antarctic Ice Shelves: Ross, Filchner-Ronne and Amery</t>
  </si>
  <si>
    <t>digital elevation model; Antarctic ice shelf; ICESat-2; kriging; satellite altimeter</t>
  </si>
  <si>
    <t>DIGITAL ELEVATION MODEL; SATELLITE RADAR; EAST ANTARCTICA; LASER DATA; MASS-LOSS; ACCURACY; SEA; VALIDATION; THICKNESS; FREEBOARD</t>
  </si>
  <si>
    <t>The ice shelf is an important component of the Antarctic system, and the interaction between the ice sheet and the ocean often proceeds through mass variations of the ice shelf. The digital elevation model (DEM) of the ice shelf is particularly important for ice shelf elevation change and mass balance estimation. With the development of satellite altimetry technology, it became an important data source for DEM research of Antarctica. The National Aeronautics and Space Administration (NASA) Ice, Cloud, and Land Elevation Satellite-2 (ICESat-2) launched in 2018 is a significant improvement in along-track sampling rate and measurement accuracy compared with previous altimetry satellites. This study uses ordinary kriging interpolation to present new DEMs (ICESat-2 DEM hereinafter) for the three ice shelves (Ross, Filchner-Ronne and Amery) in Antarctica with ICESat-2 altimetry data. Two variogram models (linear and spherical) of ordinary kriging interpolation are compared in this paper. The result shows that the spherical model generally shows better performance and lower standard deviation (STD) than the linear models. The precision of the ultimate DEM was evaluated by NASA Operation IceBridge (OIB) data and compared with five previously published Antarctic DEM products (REMA, TanDEM-X PolarDEM, Slater DEM, Helm DEM, and Bamber DEM). The comparison reveals that the mean difference between ICESat-2 DEM of the Ross ice shelf and OIB is -0.016 m with a STD of 0.918 m, and the mean difference between ICESat-2 DEM of the Filchner-Ronne ice shelf and OIB is -0.533 m with a STD of 0.718 m. The three ICESat-2 DEMs show higher spatial resolution and elevation accuracy than five previously published Antarctic DEMs.</t>
  </si>
  <si>
    <t>[Geng, Tong; Zhang, Shengkai; Xiao, Feng; Li, Jiaxing; Xuan, Yue; Li, Xiao; Li, Fei] Wuhan Univ, Chinese Antarctic Ctr Surveying &amp; Mapping, Wuhan 430079, Peoples R China</t>
  </si>
  <si>
    <t>Zhang, SK (corresponding author), Wuhan Univ, Chinese Antarctic Ctr Surveying &amp; Mapping, Wuhan 430079, Peoples R China.</t>
  </si>
  <si>
    <t>t.geng@whu.edu.cn; zskai@whu.edu.cn; shaw89@whu.edu.cn; listening@whu.edu.cn; xuanyue@whu.edu.cn; lx850569127@whu.edu.cn; fli@whu.edu.cn</t>
  </si>
  <si>
    <t>Feng, Xiao/0000-0003-3742-9380; Zhang, Shengkai/0000-0001-7436-2504</t>
  </si>
  <si>
    <t>Nature Natural Science Foundation of China [41730102]; National Key Research and Development Program of China [2017YFA0603104]; Fundamental Research Funds for the Central Universities</t>
  </si>
  <si>
    <t>Nature Natural Science Foundation of China(National Natural Science Foundation of China (NSFC)); National Key Research and Development Program of China; Fundamental Research Funds for the Central Universities(Fundamental Research Funds for the Central Universities)</t>
  </si>
  <si>
    <t>This research was funded by the Nature Natural Science Foundation of China, grant number 41730102; the National Key Research and Development Program of China, grant number 2017YFA0603104; the Fundamental Research Funds for the Central Universities.</t>
  </si>
  <si>
    <t>10.3390/rs13245137</t>
  </si>
  <si>
    <t>YH0LF</t>
  </si>
  <si>
    <t>WOS:000742867600001</t>
  </si>
  <si>
    <t>Pradel, P; Calisto, N; Navarro, L; Barriga, A; Vera, N; Aranda, C; Simpfendorfer, R; Valdés, N; Corsini, G; Tello, M; González, AR</t>
  </si>
  <si>
    <t>Pradel, Paulina; Calisto, Nancy; Navarro, Laura; Barriga, Andres; Vera, Nicolas; Aranda, Carlos; Simpfendorfer, Robert; Valdes, Natalia; Corsini, Gino; Tello, Mario; Gonzalez, Alex R.</t>
  </si>
  <si>
    <t>Carotenoid Cocktail Produced by An Antarctic Soil Flavobacterium with Biotechnological Potential</t>
  </si>
  <si>
    <t>Antarctic Flavobacterium; carotenoids; lutein; zeaxanthin; aquaculture</t>
  </si>
  <si>
    <t>HUMAN HEALTH; SP NOV.; ZEAXANTHIN; BIOSYNTHESIS; IDENTIFICATION; PIGMENTS; DIVERSITY; BACTERIA; DAMAGE; GROWTH</t>
  </si>
  <si>
    <t>Carotenoids are highly important in pigmentation, and its content in farmed crustaceans and fish correlates to their market value. These pigments also have a nutritional role in aquaculture where they are routinely added as a marine animal food supplement to ensure fish development and health. However, there is little information about carotenoids obtained from Antarctic bacteria and its use for pigmentation improvement and flesh quality in aquaculture. This study identified carotenoids produced by Antarctic soil bacteria. The pigmented strain (CN7) was isolated on modified Luria-Bertani (LB) media and incubated at 4 degrees C. This Gram-negative bacillus was identified by 16S rRNA analysis as Flavobacterium segetis. Pigment extract characterization was performed through high-performance liquid chromatography (HPLC) and identification with liquid chromatography-mass spectrometry (LC-MS). HPLC analyses revealed that this bacterium produces several pigments in the carotenoid absorption range (six peaks). LC-MS confirms the presence of one main peak corresponding to lutein or zeaxanthin (an isomer of lutein) and several other carotenoid pigments and intermediaries in a lower quantity. Therefore, we propose CN7 strain as an alternative model to produce beneficial carotenoid pigments with potential nutritional applications in aquaculture.</t>
  </si>
  <si>
    <t>[Pradel, Paulina; Vera, Nicolas; Gonzalez, Alex R.] Univ Los Lagos, Dept Ciencias Biol &amp; Biodiversidad, Lab Microbiol Ambiental &amp; Extremofilos, Osorno 5290000, Chile; [Calisto, Nancy; Navarro, Laura; Corsini, Gino] Univ Autonoma Chile, Inst Ciencias Biomed, Fac Ciencias Salud, Lab Bacteriol Mol, Santiago 8320000, Chile; [Calisto, Nancy] Univ Magallanes, Fac Ingn, Dept Ingn Quim, Ctr Invest &amp; Monitoreo Ambiental Antart CIMAA, Punta Arenas 6200000, Chile; [Barriga, Andres] Univ Chile, Fac Ciencias Quim &amp; Farmaceut, Unidad Espectrometria Masas CEPEDEQ, Sergio Livingstone 1007, Santiago 8320000, Chile; [Aranda, Carlos] Univ Los Lagos, Dept Ciencias Biol &amp; Biodiversidad, Osorno 5290000, Chile; [Simpfendorfer, Robert] Univ Los Lagos, Dept Acuicultura &amp; Recursos Agroalimentarios, Osorno 5290000, Chile; [Valdes, Natalia; Tello, Mario] Univ Santiago Chile, Fac Quim &amp; Biol, Dept Biol, Lab Metagenom Bacteriana, Santiago 8320000, Chile</t>
  </si>
  <si>
    <t>Universidad de Los Lagos; Universidad Autonoma de Chile; Universidad de Magallanes; Universidad de Chile; Universidad de Los Lagos; Universidad de Los Lagos; Universidad de Santiago de Chile</t>
  </si>
  <si>
    <t>González, AR (corresponding author), Univ Los Lagos, Dept Ciencias Biol &amp; Biodiversidad, Lab Microbiol Ambiental &amp; Extremofilos, Osorno 5290000, Chile.</t>
  </si>
  <si>
    <t>paulina.pradel@ulagos.cl; nancy.calisto@umag.cl; laura.navarro@cloud.uautonoma.cl; anbarr@ciq.uchile.cl; nicolas.ulagos@gmail.com; caranda@ulagos.cl; robert.s@ulagos.cl; natalia.valdes.parra@gmail.com; gino.corsini@uautonoma.cl; mario.tello@usach.cl; alex.gonzalez@ulagos.cl</t>
  </si>
  <si>
    <t>Tello, Mario/N-4198-2019; González, Alex/GYU-3220-2022; Aranda, Carlos/D-7882-2013</t>
  </si>
  <si>
    <t>Tello, Mario/0000-0003-4573-6460; Navarro, Laura/0000-0002-8755-9792; Aranda, Carlos/0000-0001-6219-622X; Calisto Ulloa, Nancy Cristina/0000-0002-5517-1750; Corsini, Gino/0000-0002-0418-8616</t>
  </si>
  <si>
    <t>Direccion de Investigacion DI-ULA; Campana Antartica 2012 Antarkos Instituto Antartico Uruguayo</t>
  </si>
  <si>
    <t>This research was funded by the Direccion de Investigacion DI-ULA and Campana Antartica 2012 Antarkos Instituto Antartico Uruguayo.</t>
  </si>
  <si>
    <t>10.3390/microorganisms9122419</t>
  </si>
  <si>
    <t>YF0GG</t>
  </si>
  <si>
    <t>WOS:000741494500001</t>
  </si>
  <si>
    <t>Griffiths, HJ; Muschitiello, P; Hough, G; Logan-Park, N; Frater, D; Hendry, KR; Schlarb-Ridley, B</t>
  </si>
  <si>
    <t>Griffiths, Huw J.; Muschitiello, Pilvi; Hough, Geraldine; Logan-Park, Nicole; Frater, Donna; Hendry, Katharine R.; Schlarb-Ridley, Beatrix</t>
  </si>
  <si>
    <t>Diversity in polar science: promoting inclusion through our daily words and actions</t>
  </si>
  <si>
    <t>[Griffiths, Huw J.; Muschitiello, Pilvi; Hough, Geraldine; Logan-Park, Nicole; Frater, Donna; Hendry, Katharine R.; Schlarb-Ridley, Beatrix] British Antarctic Survey, Cambridge, England; [Frater, Donna] NERC, Polaris House, Swindon, Wilts, England; [Hendry, Katharine R.] Univ Bristol, Bristol, Avon, England</t>
  </si>
  <si>
    <t>UK Research &amp; Innovation (UKRI); Natural Environment Research Council (NERC); NERC British Antarctic Survey; UK Research &amp; Innovation (UKRI); Natural Environment Research Council (NERC); University of Bristol</t>
  </si>
  <si>
    <t>Griffiths, HJ (corresponding author), British Antarctic Survey, Cambridge, England.</t>
  </si>
  <si>
    <t>Griffiths, Huw J/D-4234-2009; Hendry, Katharine R/E-4793-2011</t>
  </si>
  <si>
    <t>Griffiths, Huw J/0000-0003-1764-223X;</t>
  </si>
  <si>
    <t>10.1017/S0954102021000584</t>
  </si>
  <si>
    <t>YF0HT</t>
  </si>
  <si>
    <t>WOS:000741498400003</t>
  </si>
  <si>
    <t>Zhu, JH; Zhou, LB; Zou, H; Li, P; Li, F; Ma, SP; Kong, LL</t>
  </si>
  <si>
    <t>Zhu, Jinhuan; Zhou, Libo; Zou, Han; Li, Peng; Li, Fei; Ma, Shupo; Kong, Linlin</t>
  </si>
  <si>
    <t>Atmospheric Structure Observed over the Antarctic Plateau and Its Response to a Prominent Blocking High Event</t>
  </si>
  <si>
    <t>JOURNAL OF METEOROLOGICAL RESEARCH</t>
  </si>
  <si>
    <t>Antarctic Plateau; atmospheric structure; blocking high; middle and high latitude interaction</t>
  </si>
  <si>
    <t>DRONNING MAUD LAND; DOME-C; BOUNDARY-LAYER; CIRCULATION; CLIMATE; IMPACT; COAST</t>
  </si>
  <si>
    <t>Studies on the atmospheric structure over the Antarctic Plateau are important for better understanding the weather and climate systems of polar regions. In the summer of 2017, an observational experiment was conducted at Dome-A, the highest station in Antarctica, with a total of 32 profiles obtained from global positioning system (GPS) radiosondes. Based on observational data, the atmospheric temperature, humidity, and wind structures and their variations are investigated, and compared with those from four other stations inside the Antarctic circle. Distinguished thermal and dynamic structures were revealed over Dome-A, characterized by the lowest temperature, the highest tropopause, the largest lapse rate, and the most frequent temperature and humidity inversion. During the experiment, a prominent blocking event was identified, with great influence on the atmospheric structure over Dome-A. The blocking high produced a strong anticyclone that brought warm and moist air to the hinterland of the Antarctic Plateau, causing a much warmer, wetter, and windier troposphere over the Dome-A station. Meanwhile, a polar air mass was forced out of the Antarctic, formed a cold surge extending as far as southern New Zealand and affected the weather there. Our results proved that there would be a direct interaction between the atmosphere over the hinterland of the Antarctic Plateau and mid latitudes with the action of a blocking high. Further studies are needed to explore the interaction between the atmospheric systems over the Antarctic and mid latitudes under intense synoptic disturbance, with long-term data and numerical modeling.</t>
  </si>
  <si>
    <t>[Zhu, Jinhuan; Zhou, Libo; Zou, Han; Li, Peng; Li, Fei; Ma, Shupo; Kong, Linlin] Chinese Acad Sci, Inst Atmospher Phys, Dept Lower Atmosphere Observat &amp; Res, State Key Lab Atmospher Boundary Layer Phys &amp; Atm, Beijing 100029, Peoples R China; [Kong, Linlin] Univ Chinese Acad Sci, Coll Earth &amp; Planetary Sci, Beijing 100049, Peoples R China</t>
  </si>
  <si>
    <t>Chinese Academy of Sciences; Institute of Atmospheric Physics, CAS; Chinese Academy of Sciences; University of Chinese Academy of Sciences, CAS</t>
  </si>
  <si>
    <t>Zhou, LB (corresponding author), Chinese Acad Sci, Inst Atmospher Phys, Dept Lower Atmosphere Observat &amp; Res, State Key Lab Atmospher Boundary Layer Phys &amp; Atm, Beijing 100029, Peoples R China.</t>
  </si>
  <si>
    <t>zhoulibo@mail.iap.ac.cn</t>
  </si>
  <si>
    <t>Zhou, Libo/AAP-5373-2021</t>
  </si>
  <si>
    <t>Kong, Linlin/0000-0002-1349-9686</t>
  </si>
  <si>
    <t>Strategic Priority Research Program of the Chinese Academy of Sciences [XDA19070401]; Second Tibetan Plateau Scientific Expedition and Research (STEP) Program [2019QZKK0105]; National Natural Science Foundation of China [41830968]; CAS Key Subordinate Projects [KGFZD-135-16-023, KFZD-SW-426]</t>
  </si>
  <si>
    <t>Strategic Priority Research Program of the Chinese Academy of Sciences(Chinese Academy of Sciences); Second Tibetan Plateau Scientific Expedition and Research (STEP) Program; National Natural Science Foundation of China(National Natural Science Foundation of China (NSFC)); CAS Key Subordinate Projects</t>
  </si>
  <si>
    <t>Supported by the Strategic Priority Research Program of the Chinese Academy of Sciences (XDA19070401), Second Tibetan Plateau Scientific Expedition and Research (STEP) Program (2019QZKK0105), National Natural Science Foundation of China (41830968), and CAS Key Subordinate Projects (KGFZD-135-16-023 and KFZD-SW-426).</t>
  </si>
  <si>
    <t>2095-6037</t>
  </si>
  <si>
    <t>2198-0934</t>
  </si>
  <si>
    <t>J METEOROL RES-PRC</t>
  </si>
  <si>
    <t>J. Meteorol. Res.</t>
  </si>
  <si>
    <t>10.1007/s13351-021-1079-x</t>
  </si>
  <si>
    <t>YE3HY</t>
  </si>
  <si>
    <t>WOS:000741020400014</t>
  </si>
  <si>
    <t>Harrison, J</t>
  </si>
  <si>
    <t>Harrison, James</t>
  </si>
  <si>
    <t>Towards Integrated Management of Regional Marine Protected Area Networks A Case Study of Regime Interaction in the Southern Ocean</t>
  </si>
  <si>
    <t>KOREAN JOURNAL OF INTERNATIONAL AND COMPARATIVE LAW</t>
  </si>
  <si>
    <t>Antarctic Treaty; CCAMLR; regional ocean governance; marine protected areas; cross-sectoral coordination; integrated marine management</t>
  </si>
  <si>
    <t>Marine protected areas (MPAS) are an important tool for protecting marine ecosystems both within and beyond national jurisdiction, but the integrated management of MPAS is challenging due to the institutional fragmentation that exists in international ocean governance at global and regional levels. In the absence of fundamental reform of international ocean governance, integrated management of MPAS can at present only be achieved through cross-sectoral cooperation and coordination between relevant international institutions. Understanding regime interaction in this context requires an analysis of both the relevant legal framework and the manner in which coordination mechanisms operate in practice. This article carries out a case study of regime interaction between the Antarctic Treaty and the Convention on the Conservation of Antarctic Marine Living Resources, as well as other relevant institutions, in order to identify the key opportunities and challenges for promoting the integrated management of regional MPA networks in practice. It will also consider how the cooperative arrangements for the regional management of the Southern Ocean may provide lessons for the development of a new legally binding instrument for the conservation and management of biodiversity in areas beyond national jurisdiction.</t>
  </si>
  <si>
    <t>[Harrison, James] Univ Edinburgh, Environm Law, Sch Law, Edinburgh, Midlothian, Scotland; [Harrison, James] Univ Edinburgh, Edinburgh, Midlothian, Scotland</t>
  </si>
  <si>
    <t>University of Edinburgh; University of Edinburgh</t>
  </si>
  <si>
    <t>Harrison, J (corresponding author), Univ Edinburgh, Environm Law, Sch Law, Edinburgh, Midlothian, Scotland.;Harrison, J (corresponding author), Univ Edinburgh, Edinburgh, Midlothian, Scotland.</t>
  </si>
  <si>
    <t>james.harrison@ed.ac.uk</t>
  </si>
  <si>
    <t>Harrison, James/0000-0001-6467-9655</t>
  </si>
  <si>
    <t>Korean Society of International Law</t>
  </si>
  <si>
    <t>This article was first presented at the Fifth International Conference on the Law of the Sea held in Seoul, Korea on 3 to 4 December 2020 and its publication has been supported by the Korean Society of International Law.</t>
  </si>
  <si>
    <t>2213-4476</t>
  </si>
  <si>
    <t>2213-4484</t>
  </si>
  <si>
    <t>KOREAN J INT COMP LA</t>
  </si>
  <si>
    <t>Korean J. Int. Comp. Law</t>
  </si>
  <si>
    <t>10.1163/22134484-12340156</t>
  </si>
  <si>
    <t>XQ2ZW</t>
  </si>
  <si>
    <t>WOS:000731419500005</t>
  </si>
  <si>
    <t>Foppert, A; Rintoul, SR; Purkey, SG; Zilberman, N; Kobayashi, T; Sallee, JB; van Wijk, EM; Wallace, LO</t>
  </si>
  <si>
    <t>Foppert, Annie; Rintoul, Stephen R.; Purkey, Sarah G.; Zilberman, Nathalie; Kobayashi, Taiyo; Sallee, Jean-Baptiste; van Wijk, Esmee M.; Wallace, Luke O.</t>
  </si>
  <si>
    <t>Deep Argo Reveals Bottom Water Properties and Pathways in the Australian-Antarctic Basin</t>
  </si>
  <si>
    <t>abyssal ocean circulation; Antarctic Bottom Water; Deep Argo; water mass properties and variability</t>
  </si>
  <si>
    <t>SEA-LEVEL RISE; ADELIE LAND; GLOBAL HEAT; FLOAT; COAST</t>
  </si>
  <si>
    <t>Changes in properties and quantity of Antarctic Bottom Water (AABW) have major implications for the climate system, through sequestration of heat and carbon into, and ventilation of, the abyssal ocean. Yet, it remains one of the most difficult water masses to observe. An array of 12 Deep Argo floats, capable of profiling from the surface to the seafloor and under sea ice, provides a new perspective on AABW in the Australian-Antarctic Basin. Over 2 years of data from the floats illuminate AABW properties with unprecedented detail, simultaneously sampling AABW at multiple locations, year-round, throughout the basin. Calibrating each float individually with nearby, quasi-simultaneous shipboard profiles ensures the highest quality salinity data, with estimated accuracy of +/- 0.005 or better. Pathways of Ross Sea and Adelie Land Bottom Water (RSBW and ALBW), defined by their unique temperature and salinity characteristics, are mapped along the continental slope from their respective sources. The main pathway of RSBW, identified by its characteristic deep salinity maximum, is inferred to be inshore of the 3,700 m isobath, where it cools and freshens westward along the slope before interacting with ALBW near 140 degrees E. A pulse of very cold and very fresh (nearly -0.6 degrees C, 34.82 g kg(-1)) ALBW appears in February 2019, highlighting temporal variability on daily scales near its source. Deep Argo has greatly enhanced our view of AABW in the Australian-Antarctic Basin and will prove to be an essential tool for monitoring future changes in the deep ocean by drastically increasing observations in a cost-effective way.</t>
  </si>
  <si>
    <t>[Foppert, Annie; Rintoul, Stephen R.; van Wijk, Esmee M.] Australian Antarctic Program Partnership, Hobart, Tas, Australia; [Foppert, Annie; Rintoul, Stephen R.] Univ Tasmania, Inst Marine &amp; Antarctic Studies, Hobart, Tas, Australia; [Rintoul, Stephen R.; van Wijk, Esmee M.] CSIRO Oceans &amp; Atmosphere, Hobart, Tas, Australia; [Rintoul, Stephen R.] Ctr Southern Hemisphere Oceans Res, Hobart, Tas, Australia; [Purkey, Sarah G.; Zilberman, Nathalie] Univ Calif San Diego, Scripps Inst Oceanog, San Diego, CA USA; [Kobayashi, Taiyo] Japan Agcy Marine Earth Sci &amp; Technol, Yokosuka, Kanagawa, Japan; [Sallee, Jean-Baptiste] Sorbonne Univ, CNRS, IRD, MNHN,LOCEAN,IPSL, Paris, France; [Wallace, Luke O.] Univ Tasmania, Sch Geog Planning &amp; Spatial Sci, Hobart, Tas, Australia</t>
  </si>
  <si>
    <t>University of Tasmania; Commonwealth Scientific &amp; Industrial Research Organisation (CSIRO); University of California System; University of California San Diego; Scripps Institution of Oceanography; Japan Agency for Marine-Earth Science &amp; Technology (JAMSTEC); Institut de Recherche pour le Developpement (IRD); Sorbonne Universite; Universite Paris Cite; Centre National de la Recherche Scientifique (CNRS); Museum National d'Histoire Naturelle (MNHN); University of Tasmania</t>
  </si>
  <si>
    <t>Foppert, A (corresponding author), Australian Antarctic Program Partnership, Hobart, Tas, Australia.;Foppert, A (corresponding author), Univ Tasmania, Inst Marine &amp; Antarctic Studies, Hobart, Tas, Australia.</t>
  </si>
  <si>
    <t>annie.foppert@utas.edu.au</t>
  </si>
  <si>
    <t>Purkey, Sarah G/K-1983-2012; van Wijk, Esmee/AAB-2451-2020; Wallace, Luke/HKO-4124-2023; SALLEE, Jean baptiste/HDO-5355-2022</t>
  </si>
  <si>
    <t>van Wijk, Esmee/0000-0002-9375-4383; Zilberman, Nathalie/0000-0002-5855-1994; Purkey, Sarah/0000-0002-1893-6224; Foppert, Annie/0000-0003-2958-1454; Kobayashi, Taiyo/0000-0001-6456-6167</t>
  </si>
  <si>
    <t>Centre for Southern Hemisphere Oceans Research; Australian Antarctic Program Partnership (AAPP) through Australian Government as part of the Antarctic Science Collaboration Initiative program; Australian Government as part of the Antarctic Science Collaboration Initiative program; Australian Government's National Environmental Science Program; NOAA [NA15OAR4320071]; MEXT of the Japanese Government [19K03981]; European Union [821001]; EQUIPEX NAOS project by French National Research Agency (ANR) [ANR-10-EQPX-40]; Grants-in-Aid for Scientific Research [19K03981] Funding Source: KAKEN</t>
  </si>
  <si>
    <t>Centre for Southern Hemisphere Oceans Research(Commonwealth Scientific &amp; Industrial Research Organisation (CSIRO)); Australian Antarctic Program Partnership (AAPP) through Australian Government as part of the Antarctic Science Collaboration Initiative program; Australian Government as part of the Antarctic Science Collaboration Initiative program(Australian Government); Australian Government's National Environmental Science Program(Australian Government); NOAA(National Oceanic Atmospheric Admin (NOAA) - USA); MEXT of the Japanese Government(Ministry of Education, Culture, Sports, Science and Technology, Japan (MEXT)); European Union(European Union (EU)); EQUIPEX NAOS project by French National Research Agency (ANR)(Agence Nationale de la Recherche (ANR)); Grants-in-Aid for Scientific Research(Ministry of Education, Culture, Sports, Science and Technology, Japan (MEXT)Japan Society for the Promotion of ScienceGrants-in-Aid for Scientific Research (KAKENHI))</t>
  </si>
  <si>
    <t>The authors thank the captains, crews, and scientists of the research vessels for their part in collecting the shipboard hydrography and deploying the Deep Argo floats. They also thank R. Cowley and R. Scott for their help in processing and piloting the MRV Deep SOLO floats; the SIO's Argo team for their efforts; and S. Le Reste, V. Thierry, G. Maze, and N. Poffa for their continuing support regarding Deep Arvor floats. A. Foppert and S. R. Rintoul were supported by the Centre for Southern Hemisphere Oceans Research, a partnership between the Commonwealth Scientific and Industrial Research Organisation and the Qingdao National Laboratory for Marine Science. A. Foppert, S. R. Rintoul, and E. M. van Wijk were supported by the Australian Antarctic Program Partnership (AAPP) through grant funding from the Australian Government as part of the Antarctic Science Collaboration Initiative program. S. R. Rintoul and E. M. van Wijk were also supported by the Australian Government's National Environmental Science Program. SGP, NZ, and the SIO Deep Argo floats were supported by NOAA Grant NA15OAR4320071. T. Kobayashi was supported by Grant-In-Aid for Scientific Research (19K03981) of the MEXT of the Japanese Government. J. B. Sallee received funding from the European Union's Horizon 2020 Research and Innovation programme under grant agreement number 821001. Deep Arvor floats were developed and funded through the EQUIPEX NAOS project funded by the French National Research Agency (ANR) under reference ANR-10-EQPX-40.</t>
  </si>
  <si>
    <t>e2021JC017935</t>
  </si>
  <si>
    <t>10.1029/2021JC017935</t>
  </si>
  <si>
    <t>XW8OB</t>
  </si>
  <si>
    <t>WOS:000735870300019</t>
  </si>
  <si>
    <t>Karakus, O; Völker, C; Iversen, M; Hagen, W; Wolf-Gladrow, D; Fach, B; Hauck, J</t>
  </si>
  <si>
    <t>Karakus, Onur; Voelker, Christoph; Iversen, Morten; Hagen, Wilhelm; Wolf-Gladrow, Dieter; Fach, Bettina; Hauck, Judith</t>
  </si>
  <si>
    <t>Modeling the Impact of Macrozooplankton on Carbon Export Production in the Southern Ocean</t>
  </si>
  <si>
    <t>KRILL EUPHAUSIA-SUPERBA; ZOOPLANKTON FECAL PELLETS; ANTARCTIC KRILL; SEA-ICE; OVERTURNING CIRCULATION; BIOGEOCHEMICAL MODEL; BIOLOGICAL PUMP; SINKING RATES; MARINE SNOW; FLUX</t>
  </si>
  <si>
    <t>Macrozooplankton and its grazing pressure shape ecosystem structures and carbon pathways in the Southern Ocean. Here, we present the implementation of polar macrozooplankton as a plankton functional type and a related fast-sinking detritus class (fecal pellets) into the biogeochemical model REcoM-2. We use the model to assess major carbon pathways and ecosystem structure in the Southern Ocean south of 50 degrees S. The model represents zooplankton biomass and its spatial distribution in the Southern Ocean reasonably well in comparison to available biomass data. A distinct difference of our model from previous versions is the seasonal pattern of particle formation processes and ecosystem structures in the Southern Ocean. REcoM-2 now captures high zooplankton biomass and a typical shift from a dominance of phytodetrital aggregates in spring to zooplankton fecal pellets later in the year. At sites with high biomass of macrozooplankton, the transfer efficiency of particulate organic carbon can be as high as 50%, and the carbon content of the exported material increases. In our simulations, macrozooplankton is an important component of the Southern Ocean plankton community, contributing up to 0.12 Pg C per year (14%) to total modeled carbon export across 100 m depth. Macrozooplankton changes the phytoplankton composition and supports the recycling of macronutrients. These results support the important role of macrozooplankton such as krill in the Southern Ocean and have implications for the representation of Southern Ocean biogeochemical cycles in models. Plain Language Summary Large zooplankton such as krill is an important component of marine ecosystems, but it is rarely represented in ocean ecosystem models. Large zooplankton grazes on phytoplankton, smaller zooplankton, and sinking particles in the ocean. To understand the role of large zooplankton for carbon cycling in the Southern Ocean, we have implemented this group into our ecosystem model and describe macrozooplankton feeding and particle formation based on observations. We find that large zooplankton supports a stable or even increased growth of phytoplankton, in spite of its grazing. This is because it also returns nutrients to phytoplankton via excretion. Besides, large zooplankton increases the transfer of carbon to the deep ocean.</t>
  </si>
  <si>
    <t>[Karakus, Onur; Voelker, Christoph; Iversen, Morten; Wolf-Gladrow, Dieter; Hauck, Judith] Alfred Wegener Inst, Helmholtz Zentrum Polar &amp; Meeresforsch, Bremerhaven, Germany; [Hagen, Wilhelm] Univ Bremen, Marine Zool, BreMarE, Bremen, Germany; [Hagen, Wilhelm] Univ Bremen, MARUM Ctr Environm Sci, Bremen, Germany; [Fach, Bettina] Middle East Tech Univ, Inst Marine Sci, Erdemli Mersin, Turkey</t>
  </si>
  <si>
    <t>Helmholtz Association; Alfred Wegener Institute, Helmholtz Centre for Polar &amp; Marine Research; University of Bremen; University of Bremen; Middle East Technical University</t>
  </si>
  <si>
    <t>Karakus, O (corresponding author), Alfred Wegener Inst, Helmholtz Zentrum Polar &amp; Meeresforsch, Bremerhaven, Germany.</t>
  </si>
  <si>
    <t>onur.karakus@awi.de</t>
  </si>
  <si>
    <t>Voelker, Christoph/I-7891-2012; Fach, Bettina A/JCE-6687-2023; Iversen, Morten H/C-7741-2013; Fach, Bettina A/B-6003-2016; Hauck, Judith/AAC-3967-2019; Iversen, Morten Hvitfeldt/Q-3774-2016</t>
  </si>
  <si>
    <t>Voelker, Christoph/0000-0003-3032-114X; Fach, Bettina A/0000-0003-4688-1918; Hauck, Judith/0000-0003-4723-9652; Hagen, Wilhelm/0000-0002-7462-9931; Karakus, Onur/0000-0002-9838-3657; Iversen, Morten Hvitfeldt/0000-0002-5287-1110</t>
  </si>
  <si>
    <t>Initiative and Networking Fund of the Helmholtz Association (Helmholtz Young Investigator Group Marine Carbon and Ecosystem Feedbacks in the Earth System [MarESys]) [VH-NG-1301]; Projekt DEAL</t>
  </si>
  <si>
    <t>Initiative and Networking Fund of the Helmholtz Association (Helmholtz Young Investigator Group Marine Carbon and Ecosystem Feedbacks in the Earth System [MarESys]); Projekt DEAL</t>
  </si>
  <si>
    <t>The authors thank the editor Dr. Nadia Pinardi, reviewer Dr. Mark Hague and one anonymous reviewer for their valuable comments and suggestions. This research was supported under the Initiative and Networking Fund of the Helmholtz Association (Helmholtz Young Investigator Group Marine Carbon and Ecosystem Feedbacks in the Earth System [MarESys], grant number VH-NG-1301). Open access funding enabled and organized by Projekt DEAL.</t>
  </si>
  <si>
    <t>e2021JC017315</t>
  </si>
  <si>
    <t>10.1029/2021JC017315</t>
  </si>
  <si>
    <t>WOS:000735870300046</t>
  </si>
  <si>
    <t>Kim, TW; Yang, HW; Dutrieux, P; Wåhlin, AK; Jenkins, A; Kim, YG; Ha, HK; Kim, CS; Cho, KH; Park, T; Park, J; Lee, S; Cho, YK</t>
  </si>
  <si>
    <t>Kim, Tae-Wan; Yang, Hee Won; Dutrieux, Pierre; Wahlin, Anna K.; Jenkins, Adrian; Kim, Yeong Gi; Ha, Ho Kyung; Kim, Chang-Sin; Cho, Kyoung-Ho; Park, Taewook; Park, Jisoo; Lee, SangHoon; Cho, Yang-Ki</t>
  </si>
  <si>
    <t>Interannual Variation of Modified Circumpolar Deep Water in the Dotson-Getz Trough, West Antarctica</t>
  </si>
  <si>
    <t>Ekman upwelling; Amundsen Sea; Dotson Ice Shelf; Dotson-Getz Trough; hydrographic data</t>
  </si>
  <si>
    <t>AMUNDSEN SEA EMBAYMENT; PINE ISLAND; GLACIAL MELTWATER; ICE; VARIABILITY; CIRCULATION; DYNAMICS; CLIMATE; RETREAT; INFLOW</t>
  </si>
  <si>
    <t>Widespread ice shelf thinning has been recorded in the Amundsen Sea in recent decades, driven by basal melting and intrusions of relatively warm Circumpolar Deep Water (CDW) onto the continental shelf. The Dotson Ice Shelf (DIS) is located to the south of the Amundsen Sea polynya, and has a high basal melting rate because modified CDW (mCDW) fills the Dotson-Getz Trough (DGT) and reaches the base of the ice shelf. Here, hydrographic data in the DGT obtained during seven oceanographic surveys from 2007 to 2018 were used to study the interannual variation in mCDW volume and properties and their causes. Although mCDW volume showed relatively weak interannual variations at the continental shelf break, these variations intensified southward and reached a maximum in front of the DIS. There, the mCDW volume was similar to 8,000 km(3) in 2007, rapidly decreased to 4,700 km(3) in 2014 before rebounding to 7,300 km(3) in 2018. We find that such interannual variability is coherent with local Ekman pumping integrated along the DGT modulated by the presence of sea ice, and complementing earlier theories involving shelf break winds only. The interannual variability in strength of the dominant south-southeast coastal wind modulates the amplitude of Ekman upwelling along the eastern boundary of the Amundsen Sea polynya during the austral summers of the surveyed years, apparently leading to change in the volume of mCDW along the DGT. We note a strong correlation between the wind variability and the longitudinal location of the Amundsen Sea Low.</t>
  </si>
  <si>
    <t>[Kim, Tae-Wan; Yang, Hee Won; Kim, Yeong Gi; Cho, Kyoung-Ho; Park, Taewook; Park, Jisoo; Lee, SangHoon] Korea Polar Res Inst, Incheon, South Korea; [Yang, Hee Won; Kim, Yeong Gi; Cho, Yang-Ki] Seoi Natl Univ, Res Inst Oceanog, Sch Earth &amp; Environm Sci, Seoul, South Korea; [Dutrieux, Pierre] British Antarctic Survey, Nat Environm Res Council, Cambridge, England; [Wahlin, Anna K.] Univ Gothenburg, Dept Marine Sci, Gothenburg, Sweden; [Jenkins, Adrian] Northumbria Univ, Dept Geog &amp; Environm Sci, Newcastle Upon Tyne, Tyne &amp; Wear, England; [Ha, Ho Kyung] Inha Univ, Dept Ocean Sci, Incheon, South Korea; [Kim, Chang-Sin] Natl Inst Fisheries Sci, Busan, South Korea</t>
  </si>
  <si>
    <t>Korea Polar Research Institute (KOPRI); UK Research &amp; Innovation (UKRI); Natural Environment Research Council (NERC); NERC British Antarctic Survey; University of Gothenburg; Northumbria University; Inha University; National Institute of Fisheries Science</t>
  </si>
  <si>
    <t>Kim, TW (corresponding author), Korea Polar Res Inst, Incheon, South Korea.</t>
  </si>
  <si>
    <t>twkim@kopri.re.kr</t>
  </si>
  <si>
    <t>Kim, Tae-Wan/JGM-9981-2023; Ha, Ho Kyung/HCH-4138-2022; Dutrieux, Pierre/GVS-2890-2022; Cho, Yang-Ki/AAU-2549-2020; Jenkins, Adrian/IUN-2406-2023</t>
  </si>
  <si>
    <t>Kim, Tae-Wan/0000-0001-5257-7256; Dutrieux, Pierre/0000-0002-8066-934X; Cho, Yang-Ki/0000-0003-0026-0550; Jenkins, Adrian/0000-0002-9117-0616; YANG, Heewon/0000-0003-0999-1464; Cho, Kyoung-Ho/0000-0001-5527-5851; Ha, Ho Kyung/0000-0002-8274-9247</t>
  </si>
  <si>
    <t>Korea Polar Research Institute (KOPRI) [PE21110]; NSF [OPP-1643285]; NASA [80NSSC20K1158]; UK Natural Environment Research Council; NERC [NE/J005746/1, NE/T012803/1, NE/J005770/1, bas0100033] Funding Source: UKRI</t>
  </si>
  <si>
    <t>Korea Polar Research Institute (KOPRI)(Korea Polar Research Institute of Marine Research Placement (KOPRI)); NSF(National Science Foundation (NSF)); NASA(National Aeronautics &amp; Space Administration (NASA)); UK Natural Environment Research Council(UK Research &amp; Innovation (UKRI)Natural Environment Research Council (NERC)); NERC(UK Research &amp; Innovation (UKRI)Natural Environment Research Council (NERC))</t>
  </si>
  <si>
    <t>The authors thank the officers, crew and scientists of the R/V Araon. We thank two anonymous reviewers and editor for comments that helped to improve the manuscript. The research was supported by the Korea Polar Research Institute (KOPRI) (PE21110). Pierre Dutrieux was supported by NSF (grant OPP-1643285), NASA (Grant 80NSSC20K1158) and the UK Natural Environment Research Council.</t>
  </si>
  <si>
    <t>e2021JC017491</t>
  </si>
  <si>
    <t>10.1029/2021JC017491</t>
  </si>
  <si>
    <t>WOS:000735870300016</t>
  </si>
  <si>
    <t>Landy, JC; Bouffard, J; Wilson, C; Rynders, S; Aksenov, Y; Tsamados, M</t>
  </si>
  <si>
    <t>Landy, Jack C.; Bouffard, Jerome; Wilson, Chris; Rynders, Stefanie; Aksenov, Yevgeny; Tsamados, Michel</t>
  </si>
  <si>
    <t>Improved Arctic Sea Ice Freeboard Retrieval From Satellite Altimetry Using Optimized Sea Surface Decorrelation Scales</t>
  </si>
  <si>
    <t>satellite altimetry; Arctic Ocean; sea ice; sea surface height; freeboard; CryoSat-2</t>
  </si>
  <si>
    <t>SNOW DEPTH; SEASONAL PREDICTIONS; OCEAN CIRCULATION; CRYOSAT-2; THICKNESS; SENSITIVITY; MISSION; MODEL; TOPEX/POSEIDON; PRODUCTS</t>
  </si>
  <si>
    <t>A growing number of studies are concluding that the resilience of the Arctic sea ice cover in a warming climate is essentially controlled by its thickness. Satellite radar and laser altimeters have allowed us to routinely monitor sea ice thickness across most of the Arctic Ocean for several decades. However, a key uncertainty remaining in the sea ice thickness retrieval is the error on the sea surface height (SSH) which is conventionally interpolated at ice floes from a limited number of lead observations along the altimeter's orbital track. Here, we use an objective mapping approach to determine sea surface height from all proximal lead samples located on the orbital track and from adjacent tracks within a neighborhood of 30-220 (mean 105) km. The patterns of the SSH signal's zonal, meridional, and temporal decorrelation length scales are obtained by analyzing the covariance of historic CryoSat-2 Arctic lead observations, which match the scales obtained from an equivalent analysis of high-resolution sea ice-ocean model fields. We use these length scales to determine an optimal SSH and error estimate for each sea ice floe location. By exploiting leads from adjacent tracks, we can increase the sea ice radar freeboard precision estimated at orbital crossovers by up to 20%. In regions of high SSH uncertainty, biases in CryoSat-2 radar freeboard can be reduced by 25% with respect to coincident airborne validation data. The new method is not restricted to a particular sensor or mode, so it can be generalized to all present and historic polar altimetry missions.</t>
  </si>
  <si>
    <t>[Landy, Jack C.] Univ Bristol, Bristol Glaciol Ctr, Sch Geog Sci, Bristol, Avon, England; [Landy, Jack C.] Univ Tromso, Dept Phys &amp; Technol, Ctr Integrated Remote Sensing &amp; Forecasting Arcti, Arctic Univ Norway, Tromso, Norway; [Bouffard, Jerome] European Space Agcy, European Space Res Inst ESRIN, Frascati, Italy; [Wilson, Chris] Natl Oceanog Ctr, Liverpool, Merseyside, England; [Rynders, Stefanie; Aksenov, Yevgeny] Natl Oceanog Ctr, Southampton, Hants, England; [Tsamados, Michel] UCL, Dept Earth Sci, Ctr Polar Observat &amp; Modelling, London, England</t>
  </si>
  <si>
    <t>University of Bristol; UiT The Arctic University of Tromso; European Space Agency; NERC National Oceanography Centre; NERC National Oceanography Centre; University of London; University College London</t>
  </si>
  <si>
    <t>Landy, JC (corresponding author), Univ Bristol, Bristol Glaciol Ctr, Sch Geog Sci, Bristol, Avon, England.;Landy, JC (corresponding author), Univ Tromso, Dept Phys &amp; Technol, Ctr Integrated Remote Sensing &amp; Forecasting Arcti, Arctic Univ Norway, Tromso, Norway.</t>
  </si>
  <si>
    <t>jack.c.landy@uit.no</t>
  </si>
  <si>
    <t>Rynders, Stefanie/AAB-5334-2022; Wilson, Chris/B-5742-2012</t>
  </si>
  <si>
    <t>Rynders, Stefanie/0000-0003-1334-4577; Wilson, Chris/0000-0003-0891-2912; Aksenov, Yevgeny/0000-0001-6132-3434; Landy, Jack/0000-0002-7372-1007; Tsamados, Michel/0000-0001-7034-5360</t>
  </si>
  <si>
    <t>European Space Agency Living Planet Fellowship Arctic-SummIT [ESA/4,000,125,582/18/I-NS]; Centre for Integrated Remote Sensing and Forecasting for Arctic Operations (CIRFA) project through the Research Council of Norway (RCN) [237906]; UKRI Natural Environment Research Council Project (NERC) PRE-MELT [NE/T001399/1, NE/T000546/1, NE/T000260/1]; Diatom-ARCTIC project [NE/R012849/1, 03F0810A]; NERC [NE/R012865/1, NE/R012865/2, 03V01461]; German Federal Ministry of Education and Research (BMBF) [NE/R012865/1, NE/R012865/2, 03V01461]; project COMFORT under the European Union's Horizon 2020 research and innovation programme [820989]; NERC National Capability programme LTS-M ACSIS (North Atlantic climate system integrated study) [NE/N018044/1]; NERC National Capability programme LTS-S CLASS (Climate-Linked Atlantic Sector Science) [NE/R015953/1]; ESA's CryoSat + Antarctic Ocean [ESA AO/1-9156/17/I-BG]; ESA's EXPRO + Snow [ESA AO/1-10061/19/I-EF]; University of Kansas; NASA Operation IceBridge grant [NNX16AH54G]; NSF [ACI-1443054, OPP-1739003, IIS-1838230]; Lilly Endowment Incorporated; Indiana METACyt Initiative; NERC [NE/N018001/1, NE/R012865/2, NE/T000546/1, NE/V013149/1, NE/R000085/2, NE/V013130/1, NE/R012865/1, NE/T001399/1, NE/R012849/1, NE/T000260/1, NE/M015238/1, NE/R015953/1, NE/N018044/1, noc010010] Funding Source: UKRI</t>
  </si>
  <si>
    <t>European Space Agency Living Planet Fellowship Arctic-SummIT; Centre for Integrated Remote Sensing and Forecasting for Arctic Operations (CIRFA) project through the Research Council of Norway (RCN); UKRI Natural Environment Research Council Project (NERC) PRE-MELT; Diatom-ARCTIC project; NERC(UK Research &amp; Innovation (UKRI)Natural Environment Research Council (NERC)); German Federal Ministry of Education and Research (BMBF)(Federal Ministry of Education &amp; Research (BMBF)); project COMFORT under the European Union's Horizon 2020 research and innovation programme; NERC National Capability programme LTS-M ACSIS (North Atlantic climate system integrated study); NERC National Capability programme LTS-S CLASS (Climate-Linked Atlantic Sector Science); ESA's CryoSat + Antarctic Ocean; ESA's EXPRO + Snow; University of Kansas; NASA Operation IceBridge grant; NSF(National Science Foundation (NSF)); Lilly Endowment Incorporated; Indiana METACyt Initiative; NERC(UK Research &amp; Innovation (UKRI)Natural Environment Research Council (NERC))</t>
  </si>
  <si>
    <t>The authors would like to thank the European Space Agency for pre-processing the CryoSat-2 observations to waveform Level 1B. JL acknowledges support from the European Space Agency Living Planet Fellowship Arctic-SummIT under Grant ESA/4,000,125,582/18/I-NS and the Centre for Integrated Remote Sensing and Forecasting for Arctic Operations (CIRFA) project through the Research Council of Norway (RCN) under Grant #237906. M. Tsamados, J. C. Landy, Y. Aksenov, and S. Rynders acknowledge support from the UKRI Natural Environment Research Council Project (NERC) PRE-MELT under the split grant awards NE/T001399/1, NE/T000546/1 and NE/T000260/1. J. C. Landy acknowledges the Diatom-ARCTIC project (NE/R012849/1, #03F0810A) and C. Wilson, S. Rynders and Y. Aksenov acknowledge the APEAR project (NE/R012865/1, NE/R012865/2, #03V01461), part of the Changing Arctic Ocean programme, jointly funded by the NERC and the German Federal Ministry of Education and Research (BMBF). S. Rynders and Y. Aksenov acknowledge support from the project COMFORT (grant agreement no. 820989) under the European Union's Horizon 2020 research and innovation programme-for this the work reflects only the authors' view; the European Commission and their executive agency are not responsible for any use that may be made of the information the work contains; and from the NERC National Capability programmes LTS-M ACSIS (North Atlantic climate system integrated study, grant NE/N018044/1) and LTS-S CLASS (Climate-Linked Atlantic Sector Science, grant NE/R015953/1). M. Tsamados acknowledges support from ESA's CryoSat + Antarctic Ocean under grant ESA AO/1-9156/17/I-BG and EXPRO + Snow under grant ESA AO/1-10061/19/I-EF. The authors acknowledge the use of data and/or data products from CReSIS generated with support from the University of Kansas, NASA Operation IceBridge grant NNX16AH54G, NSF grants ACI-1443054, OPP-1739003, and IIS-1838230, Lilly Endowment Incorporated, and Indiana METACyt Initiative. The authors thank Laurie Padman and two anonymous reviewers for their valuable contributions to the development of this paper.</t>
  </si>
  <si>
    <t>e2021JC017466</t>
  </si>
  <si>
    <t>10.1029/2021JC017466</t>
  </si>
  <si>
    <t>WOS:000735870300041</t>
  </si>
  <si>
    <t>Portela, E; Rintoul, SR; Bestley, S; Herraiz-Borreguero, L; Wijk, E; McMahon, CR; Roquet, F; Hindell, M</t>
  </si>
  <si>
    <t>Portela, Esther; Rintoul, Stephen R.; Bestley, Sophie; Herraiz-Borreguero, Laura; Wijk, Esmee; McMahon, Clive R.; Roquet, Fabien; Hindell, Mark</t>
  </si>
  <si>
    <t>Seasonal Transformation and Spatial Variability of Water Masses Within MacKenzie Polynya, Prydz Bay</t>
  </si>
  <si>
    <t>Antarctic polynyas; dense shelf water; water masses</t>
  </si>
  <si>
    <t>CIRCUMPOLAR DEEP-WATER; AMERY-ICE-SHELF; EAST ANTARCTICA; BASAL MELT; CIRCULATION; GROWTH; REGION; RATES</t>
  </si>
  <si>
    <t>We provide a detailed description of the spatial distribution, seasonality and transformation of the main water masses within MacKenzie Polynya (MP) in Prydz Bay, East Antarctica, using data from instrumented southern elephant seals. Dense Shelf Water (DSW) formation in MP shows large spatial variability that is related to the (a) local bathymetry, (b) water column preconditioning from the presence/absence of different water masses, and (c) proximity to the Amery Ice Shelf meltwater outflow. MP exhibits sustained sea ice production and brine rejection (thus, salinity increase) from April to October. However, new DSW is only formed from June onward, when the mixed layer deepens and convection is strong enough to break the stratification set by Antarctic Surface Water above and Ice Shelf Water below. We found no evidence of DSW export from MP to Darnley polynya, as previously suggested. Rather, our observations suggest some DSW formed in Darnley Polynya may drain toward the western Prydz Bay. Then, DSW is exported offshore from Prydz Bay through the Prydz Channel. The interplay between sea ice formation, meltwater input, and sea floor topography is likely to explain why some coastal polynyas form more DSW than others, as well as the temporal variability in DSW formation within a particular polynya.</t>
  </si>
  <si>
    <t>[Portela, Esther; Bestley, Sophie; McMahon, Clive R.; Hindell, Mark] Univ Tasmania, Inst Marine &amp; Antarctic Studies, Hobart, Tas, Australia; [Portela, Esther] Univ Brest, Lab Oceanog Phys &amp; Spatiale, CNRS, Ifremer,IRD, Plouzane, France; [Rintoul, Stephen R.; Herraiz-Borreguero, Laura; Wijk, Esmee] CSIRO Oceans &amp; Atmosphere, Hobart, Tas, Australia; [Rintoul, Stephen R.; Bestley, Sophie; Wijk, Esmee] Univ Tasmania, Inst Marine &amp; Antarctic Studies, Australian Antarctic Program Partnership, Hobart, Tas, Australia; [Rintoul, Stephen R.; Herraiz-Borreguero, Laura] Ctr Southern Hemisphere Res CSHOR, Canberra, ACT, Australia; [McMahon, Clive R.] Sydney Inst Marine Sci, Integratd Marine Observing Syst Anim Tagging Subf, Mosman, NSW, Australia; [Roquet, Fabien] Univ Gothenburg, Dept Marine Sci, Gothenburg, Sweden</t>
  </si>
  <si>
    <t>University of Tasmania; Institut de Recherche pour le Developpement (IRD); Centre National de la Recherche Scientifique (CNRS); Ifremer; Universite de Bretagne Occidentale; Commonwealth Scientific &amp; Industrial Research Organisation (CSIRO); University of Tasmania; Sydney Institute of Marine Science; University of Gothenburg</t>
  </si>
  <si>
    <t>Portela, E (corresponding author), Univ Tasmania, Inst Marine &amp; Antarctic Studies, Hobart, Tas, Australia.;Portela, E (corresponding author), Univ Brest, Lab Oceanog Phys &amp; Spatiale, CNRS, Ifremer,IRD, Plouzane, France.</t>
  </si>
  <si>
    <t>eportelanh@gmail.com</t>
  </si>
  <si>
    <t>McMahon, Clive R/D-5713-2013; Hindell, Mark A/K-1131-2013; van Wijk, Esmee/AAB-2451-2020; Herraiz-Borreguero, Laura/D-5795-2015; Bestley, Sophie/E-9521-2013</t>
  </si>
  <si>
    <t>McMahon, Clive R/0000-0001-5241-8917; van Wijk, Esmee/0000-0002-9375-4383; Herraiz-Borreguero, Laura/0000-0002-4455-801X; Hindell, Mark/0000-0002-7823-7185; Portela Rodriguez, Esther/0000-0003-4044-4581; Bestley, Sophie/0000-0001-9342-669X</t>
  </si>
  <si>
    <t>French Polar Institute; SNO-MEMO; CNES-TOSCA; Integrated Marine Observing System; Australian Government as part of the Antarctic Science Collaboration Initiative program; Australian Research Council [DP180101667, DP210103091]; ARC [DP180101667]; ARC DECRA grant [DE180100828]; Centre for Southern Hemisphere Oceans Research; Australian Antarctic Program Partnership; Australian Research Council [DE180100828] Funding Source: Australian Research Council</t>
  </si>
  <si>
    <t>French Polar Institute; SNO-MEMO; CNES-TOSCA; Integrated Marine Observing System; Australian Government as part of the Antarctic Science Collaboration Initiative program(Australian Government); Australian Research Council(Australian Research Council); ARC(Australian Research Council); ARC DECRA grant(Australian Research Council); Centre for Southern Hemisphere Oceans Research(Commonwealth Scientific &amp; Industrial Research Organisation (CSIRO)); Australian Antarctic Program Partnership; Australian Research Council(Australian Research Council)</t>
  </si>
  <si>
    <t>We would like to thank Chengyan Liu, another anonymous reviewer, and L. Padman for their valuable comments on our manuscript. The seal CTD-SRDL tags and deployment were funded and supported through a collaboration between the French Polar Institute (program 109: PI. H. Weimerskirch and 1201: PI. C. Gilbert and C. Guinet), the SNO-MEMO and CNES-TOSCA and the Integrated Marine Observing System. Australia's Integrated Marine Observing System (IMOS) is enabled by the National Collaborative Research Infrastructure Strategy (NCRIS). It is operated by a consortium of institutions as an unincorporated joint venture, with the University of Tasmania as Lead Agent (www.imos.org.au).This project received grant funding from the Australian Government as part of the Antarctic Science Collaboration Initiative program. The Australian Research Council provided financial support through Discovery Projects DP180101667 and DP210103091. E.P.R is supported under ARC Discovery grant DP180101667 and S.B is supported under ARC DECRA grant DE180100828. The work was supported in part by the Centre for Southern Hemisphere Oceans Research, a partnership between CSIRO, the Qingdao National Laboratory for Marine Science and Technology, the University of New South Wales and the University of Tasmania and by the Australian Antarctic Program Partnership.</t>
  </si>
  <si>
    <t>e2021JC017748</t>
  </si>
  <si>
    <t>10.1029/2021JC017748</t>
  </si>
  <si>
    <t>Green Submitted, Green Published, Bronze</t>
  </si>
  <si>
    <t>WOS:000735870300045</t>
  </si>
  <si>
    <t>Zhou, L; Wang, Q; Mu, M; Zhang, K</t>
  </si>
  <si>
    <t>Zhou, Li; Wang, Qiang; Mu, Mu; Zhang, Kun</t>
  </si>
  <si>
    <t>Optimal Precursors Triggering Sudden Shifts in the Antarctic Circumpolar Current Transport Through Drake Passage</t>
  </si>
  <si>
    <t>Antarctic Circumpolar Current; optimal precursors; short-range prediction; baroclinic instability; CNOP</t>
  </si>
  <si>
    <t>SOUTHERN-OCEAN; KUROSHIO EXTENSION; VOLUME TRANSPORT; VARIABILITY; CIRCULATION; SEA; ADJOINT; FLUCTUATIONS; PERTURBATION; TRANSITION</t>
  </si>
  <si>
    <t>Due to the high nonlinearity, the accurate prediction of the Antarctic circumpolar current (ACC) transport is still challenging. Using the eddy-permitting regional ocean modeling system and the conditional nonlinear optimal perturbation approach, the sudden shift in the ACC transport through Drake Passage (DP) is investigated by exploring its optimal precursor (OPR). Here, the sudden shift in the ACC transport is defined as a fluctuation exceeding double STD (similar to 16 Sv; 1 Sv = 10(6) m(3) s(-1)) within 30 days. The results indicate that the OPRs for all three cases exhibit specific structures in the middle DP (58 degrees-62 degrees S, 72 degrees-64 degrees W) at the depth of 1,000-3,000 m, implying that the ACC transport is most sensitive to the initial perturbations there. The OPRs' evolutions show similar features: the OPR for each case triggers an eddy-like dipole perturbation with a northern cyclone and a southern anticyclone, leading to a sudden reduction in the ACC transport of similar to 40 Sv. It is verified that the density components in the OPRs determine such evolution processes. Furthermore, baroclinic instability is diagnosed to play a dominant role in the development of OPRs by analyzing the perturbed kinetic energy budget. This study suggests that the deep-layer density perturbations in the Southern Ocean should be carefully monitored when considering the short-range prediction of the ACC transport.</t>
  </si>
  <si>
    <t>[Zhou, Li; Mu, Mu; Zhang, Kun] Chinese Acad Sci, Inst Oceanol, CAS Key Lab Ocean Circulat &amp; Waves, Qingdao, Peoples R China; [Zhou, Li] Univ Chinese Acad Sci, Beijing, Peoples R China; [Wang, Qiang] Hohai Univ, Minist Nat Resources, Key Lab Marine Hazards Forecasting, Nanjing, Peoples R China; [Wang, Qiang] Hohai Univ, Coll Oceanog, Nanjing, Peoples R China; [Mu, Mu] Fudan Univ, Inst Atmospher Sci, Shanghai, Peoples R China; [Zhang, Kun] Chinese Acad Sci, Ctr Ocean Megasci, Qingdao, Peoples R China</t>
  </si>
  <si>
    <t>Chinese Academy of Sciences; Institute of Oceanology, CAS; Chinese Academy of Sciences; University of Chinese Academy of Sciences, CAS; Ministry of Natural Resources of the People's Republic of China; Hohai University; Hohai University; Fudan University; Chinese Academy of Sciences</t>
  </si>
  <si>
    <t>Wang, Q (corresponding author), Hohai Univ, Minist Nat Resources, Key Lab Marine Hazards Forecasting, Nanjing, Peoples R China.;Wang, Q (corresponding author), Hohai Univ, Coll Oceanog, Nanjing, Peoples R China.</t>
  </si>
  <si>
    <t>wangq@hhu.edu.cn</t>
  </si>
  <si>
    <t>Zhang, Kun/0000-0001-9918-6690; Zhou, Li/0000-0001-5214-8232</t>
  </si>
  <si>
    <t>Fundamental Research Funds for the Central Universities [B200201011]; National Natural Science Foundation of China [41806013, 41576015]; High Performance Computing Center at the Institute of Oceanology, Chinese Academy of Sciences</t>
  </si>
  <si>
    <t>Fundamental Research Funds for the Central Universities(Fundamental Research Funds for the Central Universities); National Natural Science Foundation of China(National Natural Science Foundation of China (NSFC)); High Performance Computing Center at the Institute of Oceanology, Chinese Academy of Sciences</t>
  </si>
  <si>
    <t>The constructive comments from two anonymous reviewers are greatly appreciated. This study was supported by the Fundamental Research Funds for the Central Universities (B200201011), the National Natural Science Foundation of China (41806013, 41576015). It was also supported by the High Performance Computing Center at the Institute of Oceanology, Chinese Academy of Sciences.</t>
  </si>
  <si>
    <t>e2021JC017899</t>
  </si>
  <si>
    <t>10.1029/2021JC017899</t>
  </si>
  <si>
    <t>WOS:000735870300035</t>
  </si>
  <si>
    <t>Ahn, IY; Elias-Piera, F; Ha, SY; Rossi, S; Kim, DU</t>
  </si>
  <si>
    <t>Ahn, In-Young; Elias-Piera, Francyne; Ha, Sun-Yong; Rossi, Sergio; Kim, Dong-U</t>
  </si>
  <si>
    <t>Seasonal Dietary Shifts of the Gammarid Amphipod Gondogeneia antarctica in a Rapidly Warming Fjord of the West Antarctic Peninsula</t>
  </si>
  <si>
    <t>Gondogeneia antarctica; seasonal dietary shift; macroalgae; benthic diatoms; C and N stable isotopes; West Antarctic Peninsula; King George Island; Marian Cove (62 degrees 13 ' S</t>
  </si>
  <si>
    <t>KING-GEORGE ISLAND; SOUTH-SHETLAND ISLANDS; SUSPENDED PARTICULATE MATTER; FISH NOTOTHENIA-CORIICEPS; STABLE-ISOTOPE RATIOS; POTTER COVE; FATTY-ACID; MARIAN COVE; FOOD-WEB; TROPHIC RELATIONSHIPS</t>
  </si>
  <si>
    <t>The amphipod Gondogeneia antarctica is among the most abundant benthic organisms, and a key food web species along the rapidly warming West Antarctic Peninsula (WAP). However, little is known about its trophic strategy for dealing with the extreme seasonality of Antarctic marine primary production. This study, using trophic markers, for the first time investigated seasonal dietary shifts of G. antarctica in a WAP fjord. We analyzed delta C-13 and delta N-15 in G. antarctica and its potential food sources. The isotopic signatures revealed a substantial contribution of red algae to the amphipod diet and also indicated a significant contribution of benthic diatoms. The isotope results were further supported by fatty acid (FA) analysis, which showed high similarities in FA composition (64% spring-summer, 58% fall-winter) between G. antarctica and the red algal species. G. antarctica delta C-13 showed a small shift seasonally (-18.9 to -21.4 &amp; PTSTHOUSND;), suggesting that the main diets do not change much year-round. However, the relatively high delta N-15 values as for primary consumers indicated additional dietary sources such as animal parts. Interestingly, G. antarctica and its potential food sources were significantly enriched with delta N-15 during the fall-winter season, presumably through a degradation process, suggesting that G. antarctica consumes a substantial portion of its diets in the form of detritus. Overall, the results revealed that G. antarctica relies primarily on food sources derived from benthic primary producers throughout much of the year. Thus, G. antarctica is unlikely very affected by seasonal Antarctic primary production, and this strategy seems to have allowed them to adapt to shallow Antarctic nearshore waters.</t>
  </si>
  <si>
    <t>[Ahn, In-Young; Elias-Piera, Francyne; Ha, Sun-Yong; Kim, Dong-U] Korea Polar Res Inst, Div Ocean Sci, 26 Songdomirae Ro, Incheon 21990, South Korea; [Rossi, Sergio] Univ Salento, DiSTeBA, Via Monteroni S-N, I-73100 Lecce, Italy; [Rossi, Sergio] Univ Fed Ceara, Inst Ciencias Mar LABOMAR, Ave Abolicao, BR-3207 Fortaleza, Ceara, Brazil; [Kim, Dong-U] Seoul Natl Univ, Sch Earth &amp; Environm Sci, Seoul 08826, South Korea; [Elias-Piera, Francyne] Univ Sao Paulo, Inst Oceanog, BR-05508900 Sao Paulo, Brazil</t>
  </si>
  <si>
    <t>Korea Polar Research Institute (KOPRI); University of Salento; Universidade Federal do Ceara; Seoul National University (SNU); Universidade de Sao Paulo</t>
  </si>
  <si>
    <t>Ahn, IY (corresponding author), Korea Polar Res Inst, Div Ocean Sci, 26 Songdomirae Ro, Incheon 21990, South Korea.</t>
  </si>
  <si>
    <t>iahn@kopri.re.kr; Francyne.ep@gmail.com; syha@kopri.re.kr; sergio.rossi@unisalento.it; kimduocean@kopri.re.kr</t>
  </si>
  <si>
    <t>Rossi, Sergio/0000-0003-4402-3418</t>
  </si>
  <si>
    <t>Korea Polar Research Institutes [PE17070, PE 20120, PE21110]</t>
  </si>
  <si>
    <t>Korea Polar Research Institutes</t>
  </si>
  <si>
    <t>This research was funded by the Korea Polar Research Institutes [grant nos. PE17070, PE 20120, and PE21110].</t>
  </si>
  <si>
    <t>10.3390/jmse9121447</t>
  </si>
  <si>
    <t>YB4XY</t>
  </si>
  <si>
    <t>WOS:000739018500001</t>
  </si>
  <si>
    <t>Radziff, SBM; Ahmad, SA; Shaharuddin, NA; Merican, F; Kok, YY; Zulkharnain, A; Gomez-Fuentes, C; Wong, CY</t>
  </si>
  <si>
    <t>Radziff, Syahirah Batrisyia Mohamed; Ahmad, Siti Aqlima; Shaharuddin, Noor Azmi; Merican, Faradina; Kok, Yih-Yih; Zulkharnain, Azham; Gomez-Fuentes, Claudio; Wong, Chiew-Yen</t>
  </si>
  <si>
    <t>Potential Application of Algae in Biodegradation of Phenol: A Review and Bibliometric Study</t>
  </si>
  <si>
    <t>PLANTS-BASEL</t>
  </si>
  <si>
    <t>phenol; phenolic compounds; biodegradation; phycoremediation; algae; hazardous pollutant</t>
  </si>
  <si>
    <t>WASTE-WATER TREATMENT; BISPHENOL-A; BIODIESEL PRODUCTION; ANAEROBIC-DIGESTION; CHLORELLA-PYRENOIDOSA; MICROALGAE CULTIVATION; BIOFUEL PRODUCTION; HEAVY-METALS; FLUE-GASES; REMOVAL</t>
  </si>
  <si>
    <t>One of the most severe environmental issues affecting the sustainable growth of human society is water pollution. Phenolic compounds are toxic, hazardous and carcinogenic to humans and animals even at low concentrations. Thus, it is compulsory to remove the compounds from polluted wastewater before being discharged into the ecosystem. Biotechnology has been coping with environmental problems using a broad spectrum of microorganisms and biocatalysts to establish innovative techniques for biodegradation. Biological treatment is preferable as it is cost-effective in removing organic pollutants, including phenol. The advantages and the enzymes involved in the metabolic degradation of phenol render the efficiency of microalgae in the degradation process. The focus of this review is to explore the trends in publication (within the year of 2000-2020) through bibliometric analysis and the mechanisms involved in algae phenol degradation. Current studies and publications on the use of algae in bioremediation have been observed to expand due to environmental problems and the versatility of microalgae. VOSviewer and SciMAT software were used in this review to further analyse the links and interaction of the selected keywords. It was noted that publication is advancing, with China, Spain and the United States dominating the studies with total publications of 36, 28 and 22, respectively. Hence, this review will provide an insight into the trends and potential use of algae in degradation.</t>
  </si>
  <si>
    <t>[Radziff, Syahirah Batrisyia Mohamed; Ahmad, Siti Aqlima; Shaharuddin, Noor Azmi] Univ Putra Malaysia, Fac Biotechnol &amp; Biomol Sci, Dept Biochem, Serdang 43400, Selangor, Malaysia; [Ahmad, Siti Aqlima; Gomez-Fuentes, Claudio] Univ Magallanes, Ctr Res &amp; Antarctic Environm Monitoring CIMAA, Avda Bulnes, Punta Arenas 01855, Chile; [Merican, Faradina] Univ Sains Malaysia, Sch Biol Sci, Gelugor 11800, Penang, Malaysia; [Kok, Yih-Yih; Wong, Chiew-Yen] Int Med Univ, Div Appl Biomed Sci &amp; Biotechnol, Sch Hlth Sci, Kuala Lumpur 57000, Selangor, Malaysia; [Zulkharnain, Azham] Shibaura Inst Technol, Dept Biosci &amp; Engn, Coll Syst Engn &amp; Sci, Saitama, Saitama 3378570, Japan; [Gomez-Fuentes, Claudio] Univ Magallanes, Dept Chem Engn, Avda Bulnes, Punta Arenas 01855, Chile</t>
  </si>
  <si>
    <t>Universiti Putra Malaysia; Universidad de Magallanes; Universiti Sains Malaysia; International Medical University Malaysia; Shibaura Institute of Technology; Universidad de Magallanes</t>
  </si>
  <si>
    <t>Wong, CY (corresponding author), Int Med Univ, Div Appl Biomed Sci &amp; Biotechnol, Sch Hlth Sci, Kuala Lumpur 57000, Selangor, Malaysia.</t>
  </si>
  <si>
    <t>syahirahbatrisyia@gmail.com; aqlima@upm.edu.my; noorazmi@upm.edu.my; faradina@usm.my; yihyih_kok@imu.edu.my; azham@shibaura-it.ac.jp; claudio.gomez@umag.cl; WongChiewYen@imu.edu.my</t>
  </si>
  <si>
    <t>kok, yih yih/D-7860-2016; Yen, Wong Chiew/AFY-1719-2022; Gomez-Fuentes, Claudio/ACN-8984-2022; Sidik Merican, Faradina Merican/F-6785-2019</t>
  </si>
  <si>
    <t>Gomez-Fuentes, Claudio/0000-0001-9060-7727; Wong, Chiew-Yen/0000-0003-0534-6206; Zulkharnain, Azham/0000-0001-9173-8171; Sidik Merican, Faradina Merican/0000-0003-1441-0134; Ahmad, Siti Aqlima/0000-0002-7625-3704; Kok, Yih Yih/0000-0002-4999-7126</t>
  </si>
  <si>
    <t>International Medical University; Yayasan Penyelidikan Antartika Sultan Mizan (YPASM) Research Grant 2020 on Phytoremediation Potential of Antarctic Microalgae on Diesel Hydrocarbons</t>
  </si>
  <si>
    <t>This project was financially supported by International Medical University and Yayasan Penyelidikan Antartika Sultan Mizan (YPASM) Research Grant 2020 on Phytoremediation Potential of Antarctic Microalgae on Diesel Hydrocarbons.</t>
  </si>
  <si>
    <t>2223-7747</t>
  </si>
  <si>
    <t>Plants-Basel</t>
  </si>
  <si>
    <t>10.3390/plants10122677</t>
  </si>
  <si>
    <t>YA9PB</t>
  </si>
  <si>
    <t>WOS:000738655500001</t>
  </si>
  <si>
    <t>Tapia, J; Molina-Montenegro, M; Sandoval, C; Rivas, N; Espinoza, J; Basualto, S; Fierro, P; Vargas-Chacoff, L</t>
  </si>
  <si>
    <t>Tapia, Jaime; Molina-Montenegro, Marco; Sandoval, Camila; Rivas, Natalia; Espinoza, Jessica; Basualto, Silvia; Fierro, Pablo; Vargas-Chacoff, Luis</t>
  </si>
  <si>
    <t>Human Activity in Antarctica: Effects on Metallic Trace Elements (MTEs) in Plants and Soils</t>
  </si>
  <si>
    <t>bioaccumulation; biomonitoring; Colobanthus quitensis; metallic trace elements; soil pollution</t>
  </si>
  <si>
    <t>HEAVY-METALS; CLIMATE-CHANGE; ADMIRALTY BAY; WATER-STRESS; KING GEORGE; ACCUMULATION; TERRESTRIAL; SOLUBILITY; ORGANISMS; SEDIMENTS</t>
  </si>
  <si>
    <t>Colobanthus quitensis (Kunt) is one of the two vascular plant species present in Antarctica and develops under severe environmental conditions, being found in both pristine and human-threatened environments. We determined the Cd, Cr, Cu, Mn, Ni, Pb, and Zn levels in C. quitensis roots, leaves, and soils of origin using flame atomic absorption spectroscopy. In January 2017, we collected samples from four geographical zones on the longitudinal gradient along which C. quitensis is distributed, starting from Punta Arenas (PAR) at the extreme south of mainland Chile and moving southwards to the Antarctic territory from King George Island (KGI) to Hannah Point Peninsula (PHA) and finally Lagotellerie Island (LAT). We used certified reference material to validate the plant tissues and soil samples we collected. The highest concentrations of metals that we measured in the soils and in the C. quitensis roots and leaves were in samples we collected at the KGI station, the zone with the greatest human activity. The lowest concentrations we measured were at the LAT station, an island with little human intervention and scarce fauna. The mean concentrations of metals in the roots and leaves of C. quitensis followed a similar order at all sampling locations: Mn &gt; Zn &gt; Cu &gt; Ni &gt; Pb &gt; Cr &gt; Cd. In contrast, in soil, they followed the following order: Mn &gt; Zn &gt; Cu &gt; Cr &gt; Pb &gt; Ni &gt; Cd. The concentration levels obtained for the different metals in the soil and plants tissue samples in this region of Antarctica indicated that the area was non-polluted. However, the metallic trace element (MTE) concentrations may be at an early stage of contamination, as described in other areas of the Antarctic, being a new threat to this continent.</t>
  </si>
  <si>
    <t>[Tapia, Jaime; Espinoza, Jessica] Univ Talca, Inst Nat Resources Chem, Talca 3460000, Chile; [Molina-Montenegro, Marco; Sandoval, Camila; Rivas, Natalia] Univ Talca, Inst Biol Sci, Talca 3460000, Chile; [Molina-Montenegro, Marco] Univ Catolica Norte, Ctr Estudios Avanzados Zonas Aridas, CEAZA, Coquimbo 1780000, Chile; [Basualto, Silvia] Univ Concepcion, EULA Ctr, Concepcion 4030000, Chile; [Fierro, Pablo; Vargas-Chacoff, Luis] Univ Austral Chile, Inst Marine Sci &amp; Limnol, Valdivia 5090000, Chile; [Vargas-Chacoff, Luis] Univ Austral Chile, Ctr Fondap Invest Altas Latitudes, FONDAP IDEAL Ctr, Valdivia 5090000, Chile; [Vargas-Chacoff, Luis] Univ Austral Chile, Millennium Inst Biodivers Antarctic &amp; Subantarct, BASE, Valdivia 5090000, Chile</t>
  </si>
  <si>
    <t>Universidad de Talca; Universidad de Talca; Universidad Catolica del Norte; Universidad de Concepcion; Universidad Austral de Chile; Universidad Austral de Chile; Universidad Austral de Chile</t>
  </si>
  <si>
    <t>Tapia, J (corresponding author), Univ Talca, Inst Nat Resources Chem, Talca 3460000, Chile.;Fierro, P; Vargas-Chacoff, L (corresponding author), Univ Austral Chile, Inst Marine Sci &amp; Limnol, Valdivia 5090000, Chile.;Vargas-Chacoff, L (corresponding author), Univ Austral Chile, Ctr Fondap Invest Altas Latitudes, FONDAP IDEAL Ctr, Valdivia 5090000, Chile.;Vargas-Chacoff, L (corresponding author), Univ Austral Chile, Millennium Inst Biodivers Antarctic &amp; Subantarct, BASE, Valdivia 5090000, Chile.</t>
  </si>
  <si>
    <t>jtapia@utalca.cl; marco.molina@utalca.cl; camisando28@gmail.com; natalirivasj@gmail.com; j.espinoza@utalca.cl; sbasualt@udec.cl; pablo.fierro@uach.cl; luis.vargas@uach.cl</t>
  </si>
  <si>
    <t>Fierro, Pablo/0000-0001-9996-2821; Vargas-Chacoff, Luis/0000-0002-0497-2582; Basualto, Silvia/0000-0001-5804-5090; Molina-Montenegro, Marco/0000-0001-6801-8942</t>
  </si>
  <si>
    <t>ANID-PIA-Anillo INACH ACT; FONDAP-IDEAL</t>
  </si>
  <si>
    <t>This research was funded by ANID-PIA-Anillo INACH ACT 192057 and by FONDAP-IDEAL, grant number 15150003.</t>
  </si>
  <si>
    <t>10.3390/plants10122593</t>
  </si>
  <si>
    <t>YA9BQ</t>
  </si>
  <si>
    <t>WOS:000738620300001</t>
  </si>
  <si>
    <t>Drobnic, F; Storsve, AB; Burri, L; Ding, YP; Banquells, M; Riera, J; Bjork, P; Ferrer-Roca, V; Domingo, JC</t>
  </si>
  <si>
    <t>Drobnic, Franchek; Storsve, Andreas B.; Burri, Lena; Ding, Yunpeng; Banquells, Montserrat; Riera, Joan; Bjork, Per; Ferrer-Roca, Ventura; Domingo, Joan Carles</t>
  </si>
  <si>
    <t>Krill-Oil-Dependent Increases in HS-Omega-3 Index, Plasma Choline and Antioxidant Capacity in Well-Conditioned Power Training Athletes</t>
  </si>
  <si>
    <t>NUTRIENTS</t>
  </si>
  <si>
    <t>choline; CrossFit(TM); power training; DHA; EPA; high-intensity interval training; krill oil; HS-Omega-3 Index; oxidative stress; phosphatidylcholine; sports nutrition</t>
  </si>
  <si>
    <t>POLYUNSATURATED FATTY-ACIDS; SUDDEN CARDIAC DEATH; OMEGA-3 INDEX; OXIDATIVE STRESS; RISK-FACTOR; CARDIOVASCULAR-DISEASE; IMMUNE FUNCTION; EXERCISE; BLOOD; OMEGA-3-FATTY-ACIDS</t>
  </si>
  <si>
    <t>There is evidence that both omega-3 polyunsaturated fatty acids (n-3 PUFAs) and choline can influence sports performance, but information establishing their combined effects when given in the form of krill oil during power training protocols is missing. The purpose of this study was therefore to characterize n-3 PUFA and choline profiles after a one-hour period of high-intensity physical workout after 12 weeks of supplementation. Thirty-five healthy power training athletes received either 2.5 g/day of Neptune krill oil(TM) (550 mg EPA/DHA and 150 mg choline) or olive oil (placebo) in a randomized double-blind design. After 12 weeks, only the krill oil group showed a significant HS-Omega-3 Index increase from 4.82 to 6.77% and a reduction in the ARA/EPA ratio (from 50.72 to 13.61%) (p &lt; 0.001). The krill oil group showed significantly higher recovery of choline concentrations relative to the placebo group from the end of the first to the beginning of the second exercise test (p = 0.04) and an 8% decrease in total antioxidant capacity post-exercise versus 21% in the placebo group (p = 0.35). In conclusion, krill oil can be used as a nutritional strategy for increasing the HS-Omega-3 Index, recover choline concentrations and address oxidative stress after intense power trainings.</t>
  </si>
  <si>
    <t>[Drobnic, Franchek] Med Serv Shanghai Shenhua FC, Shanghai 201315, Peoples R China; [Storsve, Andreas B.; Burri, Lena; Ding, Yunpeng] Aker BioMarine Antarctic ASA, N-1366 Lysaker, Norway; [Bjork, Per] Ctr Alto Rendimiento CAR, Dept Fisiol Deporte, Sant Cugat Del Valles 08174, Spain; [Banquells, Montserrat; Riera, Joan] Cienporciennatural, Direct &amp; Innovat Dept, Madrid 28035, Spain; [Ferrer-Roca, Ventura] Ctr Alto Rendimiento CAR, Dept Biomecan Deporte, Sant Cugat Del Valles 08174, Spain; [Domingo, Joan Carles] Univ Barcelona, Fac Biol, Dept Bioquim &amp; Biol Mol, Barcelona 08028, Spain</t>
  </si>
  <si>
    <t>University of Barcelona</t>
  </si>
  <si>
    <t>Burri, L (corresponding author), Aker BioMarine Antarctic ASA, N-1366 Lysaker, Norway.</t>
  </si>
  <si>
    <t>docdrobnic@gmail.com; storsve@gmail.com; lena.burri@akerbiomarine.com; yunpeng.ding@akerbiomarine.com; mbanquells@car.edu; joanrieracanals@gmail.com; per@cienporciennatural.com; vferrer@car.edu; jcdomingo@ub.edu</t>
  </si>
  <si>
    <t>; Domingo Pedrol, Joan Carles/A-4856-2019</t>
  </si>
  <si>
    <t>, Lena/0000-0002-0099-504X; Drobnic, Franchek/0000-0001-8594-4294; Domingo Pedrol, Joan Carles/0000-0002-6356-0836</t>
  </si>
  <si>
    <t>Cien por Cien Natural; Aker BioMarine Antarctic ASA</t>
  </si>
  <si>
    <t>This research was funded by Cien por Cien Natural and Aker BioMarine Antarctic ASA. Both the krill oil and placebo capsules were produced by Lonza Global using their patented Licap (R) encapsulation.</t>
  </si>
  <si>
    <t>2072-6643</t>
  </si>
  <si>
    <t>Nutrients</t>
  </si>
  <si>
    <t>10.3390/nu13124237</t>
  </si>
  <si>
    <t>Nutrition &amp; Dietetics</t>
  </si>
  <si>
    <t>XX9EC</t>
  </si>
  <si>
    <t>WOS:000736588400001</t>
  </si>
  <si>
    <t>Jo, E; Lee, SJ; Kim, JH; Parker, SJ; Choi, E; Kim, J; Han, SR; Oh, TJ; Park, H</t>
  </si>
  <si>
    <t>Jo, Euna; Lee, Seung Jae; Kim, Jeong-Hoon; Parker, Steven J.; Choi, Eunkyung; Kim, Jinmu; Han, So-Ra; Oh, Tae-Jin; Park, Hyun</t>
  </si>
  <si>
    <t>Chromosomal-Level Assembly of Antarctic Scaly Rockcod, Trematomus loennbergii Genome Using Long-Read Sequencing and Chromosome Conformation Capture (Hi-C) Technologies</t>
  </si>
  <si>
    <t>Antarctic fish; notothenioids; long-read sequencing; Hi-C; chromosomal-level assembly</t>
  </si>
  <si>
    <t>COMPLETE MITOCHONDRIAL GENOME; DE-NOVO IDENTIFICATION; GENE ORGANIZATION; FISH; PERCIFORMES; ANNOTATION; EVOLUTION; COLD; NOTOTHENIIDAE; TELEOSTEI</t>
  </si>
  <si>
    <t>Trematomus species (suborder Notothenioidei; family Nototheniidae) are widely distributed in the southern oceans near Antarctica. There are 11 recognized species in the genus Trematomus, and notothenioids are known to have high chromosomal diversity (2n = 24-58) because of relatively recent and rapid adaptive radiation. Herein, we report the chromosomal-level genome assembly of T. loennbergii, the first characterized genome representative of the genus Trematomus. The final genome assembly of T. loennbergii was obtained using a Pacific Biosciences long-read sequencing platform and high-throughput chromosome conformation capture technology. Twenty-three chromosomal-level scaffolds were assembled to 940 Mb in total size, with a longest contig size of 48.5 Mb and contig N50 length of 24.7 Mb. The genome contained 42.03% repeat sequences, and a total of 24,525 protein-coding genes were annotated. We produced a high-quality genome assembly of T. loennbergii. Our results provide a first reference genome for the genus Trematomus and will serve as a basis for studying the molecular taxonomy and evolution of Antarctic fish.</t>
  </si>
  <si>
    <t>[Jo, Euna; Lee, Seung Jae; Choi, Eunkyung; Kim, Jinmu; Park, Hyun] Korea Univ, Coll Life Sci &amp; Biotechnol, Div Biotechnol, Seoul 02841, South Korea; [Kim, Jeong-Hoon] Korea Polar Res Inst, Div Polar Life Sci, Incheon 21990, South Korea; [Parker, Steven J.] Natl Inst Water &amp; Atmospher Res Ltd NIWA, 217 Akersten St Port Nelson, Nelson 7001, New Zealand; [Han, So-Ra; Oh, Tae-Jin] Sun Moon Univ, Dept BT Convergent Pharmaceut Engn, Asan 31460, South Korea</t>
  </si>
  <si>
    <t>Korea University; Korea Polar Research Institute (KOPRI); Sun Moon University</t>
  </si>
  <si>
    <t>Park, H (corresponding author), Korea Univ, Coll Life Sci &amp; Biotechnol, Div Biotechnol, Seoul 02841, South Korea.;Oh, TJ (corresponding author), Sun Moon Univ, Dept BT Convergent Pharmaceut Engn, Asan 31460, South Korea.</t>
  </si>
  <si>
    <t>eunajo@kopri.re.kr; skullcap@korea.ac.kr; jhkim94@kopri.re.kr; steve.parker@ccamlr.org; amy_choi@korea.ac.kr; rlawlsan04@korea.ac.kr; ksh505834@gmail.com; tjoh3782@sunmoon.ac.kr; hpark@korea.ac.kr</t>
  </si>
  <si>
    <t>Jo, Euna/0000-0003-2666-6743; Kim, Jeong-Hoon/0000-0002-2397-2668; Park, Hyun/0000-0002-8055-2010; Lee, Seungjae/0000-0002-2404-3107</t>
  </si>
  <si>
    <t>'Ecosystem Structure and Function of Marine Protected Area (MPA) in Antarctica' project - Ministry of Oceans and Fisheries [PM21060, 20170336]; Korea University Grant</t>
  </si>
  <si>
    <t>'Ecosystem Structure and Function of Marine Protected Area (MPA) in Antarctica' project - Ministry of Oceans and Fisheries; Korea University Grant</t>
  </si>
  <si>
    <t>This research was supported by the 'Ecosystem Structure and Function of Marine Protected Area (MPA) in Antarctica' project (PM21060), funded by the Ministry of Oceans and Fisheries (20170336) and a Korea University Grant to H.P.</t>
  </si>
  <si>
    <t>10.3390/d13120668</t>
  </si>
  <si>
    <t>XY4AQ</t>
  </si>
  <si>
    <t>WOS:000736917700001</t>
  </si>
  <si>
    <t>Subramaniam, K; Ahmad, SA; Convey, P; Shaharuddin, NA; Khalil, KA; Tengku-Mazuki, TA; Gomez-Fuentes, C; Zulkharnain, A</t>
  </si>
  <si>
    <t>Subramaniam, Kavilasni; Ahmad, Siti Aqlima; Convey, Peter; Shaharuddin, Noor Azmi; Khalil, Khalilah Abdul; Tengku-Mazuki, Tengku Athirrah; Gomez-Fuentes, Claudio; Zulkharnain, Azham</t>
  </si>
  <si>
    <t>Statistical Assessment of Phenol Biodegradation by a Metal-Tolerant Binary Consortium of Indigenous Antarctic Bacteria</t>
  </si>
  <si>
    <t>cold climate; pollution; statistical optimization; mixed culture; metal ion</t>
  </si>
  <si>
    <t>HEAVY-METALS; WASTE-WATER; CRUDE-OIL; DEGRADATION; DIESEL; IMPACTS; COASTAL; MARINE; BIOREMEDIATION; OPTIMIZATION</t>
  </si>
  <si>
    <t>Since the heroic age of Antarctic exploration, the continent has been pressurized by multiple anthropogenic activities, today including research and tourism, which have led to the emergence of phenol pollution. Natural attenuation rates are very slow in this region due to the harsh environmental conditions; hence, biodegradation of phenol using native bacterial strains is recognized as a sustainable remediation approach. The aim of this study was to analyze the effectiveness of phenol degradation by a binary consortium of Antarctic soil bacteria, Arthrobacter sp. strain AQ5-06, and Arthrobacter sp. strain AQ5-15. Phenol degradation by this co-culture was statistically optimized using response surface methodology (RSM) and tolerance of exposure to different heavy metals was investigated under optimized conditions. Analysis of variance of central composite design (CCD) identified temperature as the most significant factor that affects phenol degradation by this consortium, with the optimum temperature ranging from 12.50 to 13.75 degrees C. This co-culture was able to degrade up to 1.7 g/L of phenol within seven days and tolerated phenol concentration as high as 1.9 g/L. Investigation of heavy metal tolerance revealed phenol biodegradation by this co-culture was completed in the presence of arsenic (As), aluminum (Al), copper (Cu), zinc (Zn), lead (Pb), cobalt (Co), chromium (Cr), and nickel (Ni) at concentrations of 1.0 ppm, but was inhibited by cadmium (Cd), silver (Ag), and mercury (Hg).</t>
  </si>
  <si>
    <t>[Subramaniam, Kavilasni; Ahmad, Siti Aqlima; Shaharuddin, Noor Azmi; Tengku-Mazuki, Tengku Athirrah] Univ Putra Malaysia, Fac Biotechnol &amp; Biomol Sci, Dept Biochem, Serdang 43400, Selangor, Malaysia; [Ahmad, Siti Aqlima; Gomez-Fuentes, Claudio] Univ Magallanes, Ctr Res &amp; Antarctic Environm Monitoring CIMAA, Avda Bulnes, Punta Arenas 01855, Region De Magal, Chile; [Convey, Peter] British Antarctic Survey, NERC, Madingley Rd, Cambridge CB3 0ET, England; [Convey, Peter] Univ Johannesburg, Dept Zool, POB 524, ZA-2006 Auckland Pk, South Africa; [Khalil, Khalilah Abdul] Univ Teknol MARA, Fac Sci Appl, Sch Biol, Shah Alam 40450, Selangor, Malaysia; [Gomez-Fuentes, Claudio] Univ Magallanes, Dept Chem Engn, Avda Bulnes, Punta Arenas 01855, Region De Magal, Chile; [Zulkharnain, Azham] Shibaura Inst Technol, Coll Syst Engn &amp; Sci, Dept Biosci &amp; Engn, Minuma Ku, 307 Fukasaku, Saitama 3378570, Japan</t>
  </si>
  <si>
    <t>Universiti Putra Malaysia; Universidad de Magallanes; UK Research &amp; Innovation (UKRI); Natural Environment Research Council (NERC); NERC British Antarctic Survey; University of Johannesburg; Universiti Teknologi MARA; Universidad de Magallanes; Shibaura Institute of Technology</t>
  </si>
  <si>
    <t>Zulkharnain, A (corresponding author), Shibaura Inst Technol, Coll Syst Engn &amp; Sci, Dept Biosci &amp; Engn, Minuma Ku, 307 Fukasaku, Saitama 3378570, Japan.</t>
  </si>
  <si>
    <t>kavilasnisubramaniam@gmail.com; aqlima@upm.edu.my; pcon@bas.ac.uk; noorazmi@upm.edu.my; khali552@uitm.edu.my; drathirrah@gmail.com; claudio.gomez@umag.cl; azham@shibaura-it.ac.jp</t>
  </si>
  <si>
    <t>Gomez-Fuentes, Claudio/ACN-8984-2022; Convey, Peter/AAV-5728-2020</t>
  </si>
  <si>
    <t>Gomez-Fuentes, Claudio/0000-0001-9060-7727; Convey, Peter/0000-0001-8497-9903; Ahmad, Siti Aqlima/0000-0002-7625-3704; Subramaniam, Kavilasni/0009-0002-0712-3065; Zulkharnain, Azham/0000-0001-9173-8171</t>
  </si>
  <si>
    <t>Shibaura Institute of Technology, Japan; Universiti Putra Malaysia (UPM) [UPM-YPASM 9300430, 9631800, 9660000]; Sultan Mizan Antarctic Research Foundation (YPASM) fund; NERC; Centro de Investigacion y Monitoreo Ambiental Antarctico (CIMAA) Project; Graduate Research Fellowship (GRF) from Universiti Putra Malaysia; NERC [bas0100036] Funding Source: UKRI</t>
  </si>
  <si>
    <t>Shibaura Institute of Technology, Japan; Universiti Putra Malaysia (UPM); Sultan Mizan Antarctic Research Foundation (YPASM) fund; NERC(UK Research &amp; Innovation (UKRI)Natural Environment Research Council (NERC)); Centro de Investigacion y Monitoreo Ambiental Antarctico (CIMAA) Project; Graduate Research Fellowship (GRF) from Universiti Putra Malaysia; NERC(UK Research &amp; Innovation (UKRI)Natural Environment Research Council (NERC))</t>
  </si>
  <si>
    <t>This project was financially supported by Shibaura Institute of Technology, Japan under Research Exchange Program Academic Year 2019 attached to K. Subramaniam, Matching Grant PUTRA (UPM-YPASM 9300430), PUTRA-IPS (9631800), PUTRA-Berimpak (9660000) disbursed by Universiti Putra Malaysia (UPM) and YPASM Berth Support by Sultan Mizan Antarctic Research Foundation (YPASM) fund under the research grant attached to S.A. Ahmad. P. Convey is supported by NERC core funding to the BAS `Biodiversity, Ecosystems and Adaptation' Team. C. GomezFuentes is supported by Centro de Investigacion y Monitoreo Ambiental Antarctico (CIMAA) Project. K. Subramaniam is funded by a Graduate Research Fellowship (GRF) from Universiti Putra Malaysia.</t>
  </si>
  <si>
    <t>10.3390/d13120643</t>
  </si>
  <si>
    <t>XY5JW</t>
  </si>
  <si>
    <t>WOS:000737009500001</t>
  </si>
  <si>
    <t>Wang, FL; He, GW; Deng, XG; Yang, Y; Ren, JB</t>
  </si>
  <si>
    <t>Wang, Fenlian; He, Gaowen; Deng, Xiguang; Yang, Yong; Ren, Jiangbo</t>
  </si>
  <si>
    <t>Fish Teeth Sr Isotope Stratigraphy and Nd Isotope Variations: New Insights on REY Enrichments in Deep-Sea Sediments in the Pacific</t>
  </si>
  <si>
    <t>deep-sea sediment; rare earth element; enrichment mechanism; Sr isotope stratigraphy; Pacific Ocean</t>
  </si>
  <si>
    <t>RARE-EARTH-ELEMENTS; PALEOCEANOGRAPHIC IMPLICATIONS; ANTARCTIC PENINSULA; OCEAN; NEODYMIUM; OLIGOCENE; SEAWATER; MIOCENE; CALIBRATION; BIOLOGY</t>
  </si>
  <si>
    <t>Rare earth elements and yttrium (REY) are widely recognized as strategic materials for advanced technological applications. Deep-sea sediments from the eastern South Pacific and central North Pacific were first reported as potential resources containing significant amounts of REY that are comparable to, or greater than, those of land-based deposits. Despite nearly a decade of research, quantitative abundances and spatial distributions of these deposits remain insufficient. Age controls are generally absent due to the lack of biostratigraphic constraints. Thus, the factors controlling the formation of REY-rich sediments are still controversial. In this study, the REY contents of surface sediments (&lt;2 m depth) in 14 piston cores from the Central and Western Pacific were investigated. The results show that deep-sea sediments with high REY contents (&gt;1000 mu g/g) were mainly concentrated around seamounts (e.g., the Marshall Islands). The REY contents of surface sediments generally decreased with distance from the seamounts. Biostratigraphic and fish teeth debris (apatite) Sr isotopic stratigraphy of one piston core (P10) from the Central Pacific indicates that deep-sea sediments with high REY contents were aged from early Oligocene to early Miocene. Since the opening of the Drake Passage during the early Oligocene, the northward-flowing Antarctic Bottom Water (AABW) would have led to an upwelling of nutrients around seamounts with topographic barriers, and at the same time, AABW would delay the rate of sediment burial to try for enough time for REY entering and enriching in the apatite (fish teeth debris). Understanding the spatial distribution of fertile regions for REY-rich sediments provides guidance for searching for other REY resources in the Pacific and in other oceans.</t>
  </si>
  <si>
    <t>[Wang, Fenlian; He, Gaowen; Deng, Xiguang; Yang, Yong; Ren, Jiangbo] Southern Marine Sci &amp; Engn Guangdong Lab Guangzho, Guangzhou 511458, Peoples R China; [Wang, Fenlian; He, Gaowen; Deng, Xiguang; Yang, Yong; Ren, Jiangbo] China Geol Survey, Key Lab Marine Mineral Resources, Minist Nat Resources, Guangzhou Marine Geol Survey, Guangzhou 510075, Peoples R China</t>
  </si>
  <si>
    <t>Hong Kong Branch of the Southern Marine Science &amp; Engineering Guangdong Laboratory (Guangzhou); Ministry of Natural Resources of the People's Republic of China; China Geological Survey; Guangzhou Marine Geological Survey</t>
  </si>
  <si>
    <t>He, GW (corresponding author), Southern Marine Sci &amp; Engn Guangdong Lab Guangzho, Guangzhou 511458, Peoples R China.;He, GW (corresponding author), China Geol Survey, Key Lab Marine Mineral Resources, Minist Nat Resources, Guangzhou Marine Geol Survey, Guangzhou 510075, Peoples R China.</t>
  </si>
  <si>
    <t>wangfenlian@mail.cgs.gov.cn; hgaowen@mail.cgs.gov.cn; dxiguang@mail.cgs.gov.cn; yyong@mail.cgs.gov.cn; renjiangbo@mail.cgs.gov.cn</t>
  </si>
  <si>
    <t>Ren, Jiangbo/JAO-2940-2023; Ren, Jiangbo/ACU-0494-2022</t>
  </si>
  <si>
    <t>10.3390/jmse9121379</t>
  </si>
  <si>
    <t>XZ7LY</t>
  </si>
  <si>
    <t>WOS:000737831300001</t>
  </si>
  <si>
    <t>Giugliano, R; Buonocore, C; Zannella, C; Chianese, A; Esposito, FP; Tedesco, P; De Filippis, A; Galdiero, M; Franci, G; de Pascale, D</t>
  </si>
  <si>
    <t>Giugliano, Rosa; Buonocore, Carmine; Zannella, Carla; Chianese, Annalisa; Palma Esposito, Fortunato; Tedesco, Pietro; De Filippis, Anna; Galdiero, Massimiliano; Franci, Gianluigi; de Pascale, Donatella</t>
  </si>
  <si>
    <t>Antiviral Activity of the Rhamnolipids Mixture from the Antarctic Bacterium Pseudomonas gessardii M15 against Herpes Simplex Viruses and Coronaviruses</t>
  </si>
  <si>
    <t>PHARMACEUTICS</t>
  </si>
  <si>
    <t>microbial biosurfactants; rhamnolipids; antiviral; SARS-CoV-2; enveloped virus; coronavirus; herpes; Antarctic bacteria; TEM</t>
  </si>
  <si>
    <t>BIOSURFACTANTS</t>
  </si>
  <si>
    <t>Emerging and re-emerging viruses represent a serious threat to human health at a global level. In particular, enveloped viruses are one of the main causes of viral outbreaks, as recently demonstrated by SARS-CoV-2. An effective strategy to counteract these viruses could be to target the envelope by using surface-active compounds. Rhamnolipids (RLs) are microbial biosurfactants displaying a wide range of bioactivities, such as antibacterial, antifungal and antibiofilm, among others. Being of microbial origin, they are environmentally-friendly, biodegradable, and less toxic than synthetic surfactants. In this work, we explored the antiviral activity of the rhamnolipids mixture (M15RL) produced by the Antarctic bacteria Pseudomonas gessardii M15 against viruses belonging to Coronaviridae and Herpesviridae families. In addition, we investigated the rhamnolipids' mode of action and the possibility of inactivating viruses on treated surfaces. Our results show complete inactivation of HSV-1 and HSV-2 by M15RLs at 6 mu g/mL, and of HCoV-229E and SARS-CoV-2 at 25 and 50 mu g/mL, respectively. Concerning activity against HCoV-OC43, 80% inhibition of cytopathic effect was recorded, while no activity against naked Poliovirus Type 1 (PV-1) was detectable, suggesting that the antiviral action is mainly directed towards the envelope. In conclusion, we report a significant activity of M15RL against enveloped viruses and demonstrated for the first time the antiviral effect of rhamnolipids against SARS-CoV-2.</t>
  </si>
  <si>
    <t>[Giugliano, Rosa; Zannella, Carla; Chianese, Annalisa; De Filippis, Anna; Galdiero, Massimiliano] Univ Campania Luigi Vanvitelli, Dept Expt Med, I-80138 Naples, Italy; [Buonocore, Carmine; Palma Esposito, Fortunato; Tedesco, Pietro; de Pascale, Donatella] Stn Zool Anton Dohrn, Dept Marine Biotechnol, I-80121 Naples, Italy; [Buonocore, Carmine; de Pascale, Donatella] CNR, Inst Biochem &amp; Cell Biol, I-80131 Naples, Italy; [Franci, Gianluigi] Univ Salerno, Scuola Med Salernitana, Dept Med Surg &amp; Dent, I-84081 Baronissi, Italy</t>
  </si>
  <si>
    <t>Universita della Campania Vanvitelli; Stazione Zoologica Anton Dohrn di Napoli; Consiglio Nazionale delle Ricerche (CNR); University of Salerno</t>
  </si>
  <si>
    <t>de Pascale, D (corresponding author), Stn Zool Anton Dohrn, Dept Marine Biotechnol, I-80121 Naples, Italy.;de Pascale, D (corresponding author), CNR, Inst Biochem &amp; Cell Biol, I-80131 Naples, Italy.;Franci, G (corresponding author), Univ Salerno, Scuola Med Salernitana, Dept Med Surg &amp; Dent, I-84081 Baronissi, Italy.</t>
  </si>
  <si>
    <t>rosa.giugliano@unicampania.it; carmine.buonocore@szn.it; carla.zannella@unicampania.it; annalisa.chianese@unicampania.it; fortunato.palmaesposito@szn.it; pietro.tedesco@szn.it; anna.defilippis@unicampania.it; massimiliano.galdiero@unicampania.it; gfranci@unisa.it; donatella.depascale@szn.it</t>
  </si>
  <si>
    <t>Franci, Gianluigi/AAC-6841-2022; Tedesco, Pietro/AAB-5740-2021; DE FILIPPIS, ANNA/HZK-3236-2023</t>
  </si>
  <si>
    <t>Tedesco, Pietro/0000-0003-0165-5386; Buonocore, Carmine/0000-0002-8327-954X; Palma Esposito, Fortunato/0000-0002-3768-4712; Galdiero, Massimiliano/0000-0002-1576-6290; ZANNELLA, Carla/0000-0001-7991-8700; DE FILIPPIS, ANNA/0000-0002-0395-7962; Giugliano, Rosa/0000-0001-9923-3194; Chianese, Annalisa/0000-0002-1648-4519; Franci, Gianluigi/0000-0003-3321-4331</t>
  </si>
  <si>
    <t>H2020-FNR-11-2020: SECRETED [101000794]; PRIN 2017 Natural and pharmacological inhibition of the early phase of viral replication (VirSudNet) [2017M8R7N9]</t>
  </si>
  <si>
    <t>H2020-FNR-11-2020: SECRETED; PRIN 2017 Natural and pharmacological inhibition of the early phase of viral replication (VirSudNet)</t>
  </si>
  <si>
    <t>This research was partially funded by H2020-FNR-11-2020: SECRETED, GA nffi 101000794 and by PRIN 2017 Natural and pharmacological inhibition of the early phase of viral replication (VirSudNet) Nffi 2017M8R7N9.</t>
  </si>
  <si>
    <t>1999-4923</t>
  </si>
  <si>
    <t>Pharmaceutics</t>
  </si>
  <si>
    <t>10.3390/pharmaceutics13122121</t>
  </si>
  <si>
    <t>XY3MV</t>
  </si>
  <si>
    <t>WOS:000736881800001</t>
  </si>
  <si>
    <t>Esmaeili, M</t>
  </si>
  <si>
    <t>Esmaeili, Moha</t>
  </si>
  <si>
    <t>Blood Performance: A New Formula for Fish Growth and Health</t>
  </si>
  <si>
    <t>haemoglobin; haematocrit; red blood cell; total protein; white blood cell</t>
  </si>
  <si>
    <t>TROUT ONCORHYNCHUS-MYKISS; TILAPIA OREOCHROMIS-NILOTICUS; CHEMISTRY REFERENCE INTERVALS; DIETARY PREBIOTIC INULIN; ALLIUM-SATIVUM POWDER; AFRICAN CATFISH; HEMATOLOGICAL PARAMETERS; BIOCHEMICAL PARAMETERS; BODY-COMPOSITION; IMMUNE-RESPONSES</t>
  </si>
  <si>
    <t>Simple Summary The use of haematological and blood biochemistry parameters has proven to be effective and repeatable ways to monitor fish health. Testing these parameters is becoming more common in aquaculture studies. Further, it is widely accepted that fish with better health status are more likely to grow faster as less energy should be consumed for non-growth purposes. Here, a new formula (Blood Performance) is introduced, which contains five common haematological and blood biochemistry parameters: red blood cells, white blood cells, haemoglobin, haematocrit, and total protein. The idea behind this formula is that any single component of this formula cannot be reliable enough as a biomarker of fish health and growth. However, interestingly, Blood Performance can be much more reliable and accurate for monitoring fish health and growth. Monitoring fish health in a repeatable and accurate manner can contribute to the profitability and sustainability of aquaculture. Haematological and blood biochemistry parameters have been powerful tools and becoming increasingly common in aquaculture studies. Fish growth is closely related to its health status. A fish with a higher growth rate is more likely to be a healthy one. Any change in the physiological status of the fish, from pollution to nutritional stress, can cause changes in the blood parameters. Various aquaculture studies have measured the following components: red blood cells, white blood cells, haemoglobin, haematocrit, and total protein. However, because these parameters do not always follow the same trend across experimental fish, it is difficult to draw a firm conclusion about which parameter should be considered. Therefore, Blood Performance (BP) as a new formula is introduced, which is a more reliable indicator. This formula is simple and sums up the natural logarithm of the five above-mentioned parameters. More than 90 published peer-reviewed articles that measured these five parameters in the last six years confirmed the reliability and validity of this formula. Regardless of which supplements were added to the diets, the fish with a higher growth rate had higher BP as well. In addition, in 44 studies out of 53 articles, there was a significant positive correlation between specific growth rate and BP. Under different stressful situations, from pollution to thermal stress, the fish under stress had a lower BP than the control. Fish meal and fish oil replacement studies were further evidence for this formula and showed that adding excessive alternative proteins decreased growth along with BP. In conclusion, BP can be a reliable indicator of fish health and growth when it is compared between groups in the same experiment or farm. Although there was a positive correlation between specific growth rate and BP, comparing BP between experiments is not recommended. Standardising the haematological assays can improve the reliability and accuracy of BP across experiments.</t>
  </si>
  <si>
    <t>[Esmaeili, Moha] Univ Tasmania, Inst Marine &amp; Antarctic Studies, Hobart Private Bag 49,15-21 Nubeena Cres, Taroona, Tas 7053, Australia</t>
  </si>
  <si>
    <t>Esmaeili, M (corresponding author), Univ Tasmania, Inst Marine &amp; Antarctic Studies, Hobart Private Bag 49,15-21 Nubeena Cres, Taroona, Tas 7053, Australia.</t>
  </si>
  <si>
    <t>moha.esmaeili@utas.edu.au</t>
  </si>
  <si>
    <t>Esmaeili, Noah/Q-4536-2019</t>
  </si>
  <si>
    <t>Esmaeili, Noah/0000-0001-8704-939X</t>
  </si>
  <si>
    <t>10.3390/biology10121236</t>
  </si>
  <si>
    <t>XX6AQ</t>
  </si>
  <si>
    <t>WOS:000736376300001</t>
  </si>
  <si>
    <t>Panasiuk, A; Kalarus, M</t>
  </si>
  <si>
    <t>Panasiuk, Anna; Kalarus, Marcin</t>
  </si>
  <si>
    <t>Appendicularia (Tunicata) in an Antarctic Glacial Fjord-Chaotic Fjordic Structure Community or Good Indicators of Oceanic Water Masses?</t>
  </si>
  <si>
    <t>larvaceans; Antarctica (Admiralty Bay); species diversity and abundance; environmental conditions</t>
  </si>
  <si>
    <t>ANCHOVY ENGRAULIS-ANCHOITA; SOUTHERN-OCEAN; DISTRIBUTION PATTERNS; SPATIAL-DISTRIBUTION; EAST ANTARCTICA; ADMIRALTY BAY; DRAKE PASSAGE; ZOOPLANKTON; PLANKTON; SUMMER</t>
  </si>
  <si>
    <t>Appendicularians are important but remain poorly studied groups of zooplankton in polar regions. The present research is based on samples collected in Admiralty Bay (King George Island) during a year-long period. Six larvacean species were noted, among which Fritillaria borealis and Oikopleura gaussica were found to be the most numerous, while the other species were relatively rare. Fritillaria borealis was a dominant part of the late summer (warm water) community, while O. gaussica had the highest presence in the winter (cold water) community. The abundance of appendicularians recorded in the bay was less numerous than that described by other authors. The most important factors influencing annual changes in the larvaceans in the bay was season, but only in the case of the two species. These facts were probably linked to the very dynamic changes in the abiotic conditions in the fjord, and the influx of specific masses of water.</t>
  </si>
  <si>
    <t>[Panasiuk, Anna] Univ Gdansk, Fac Oceanog &amp; Geog, Dept Marine Plankton Res, Marszalka J Pilsudskiego 46, PL-81378 Gdynia, Poland; [Kalarus, Marcin] Gdynia Maritime Univ, Maritime Inst, Dept Aquat Ecol, Grunwaldzka 311, PL-80309 Gdansk, Poland</t>
  </si>
  <si>
    <t>Fahrenheit Universities; University of Gdansk; Maritime Institute in Gdansk; Gdynia Maritime University</t>
  </si>
  <si>
    <t>Kalarus, M (corresponding author), Gdynia Maritime Univ, Maritime Inst, Dept Aquat Ecol, Grunwaldzka 311, PL-80309 Gdansk, Poland.</t>
  </si>
  <si>
    <t>anna.panasiuk@ug.edu.pl; mkalarus@im.umg.edu.pl</t>
  </si>
  <si>
    <t>Panasiuk, Anna/HDO-1195-2022; Kalarus, Marcin/AAE-2681-2020</t>
  </si>
  <si>
    <t>Kalarus, Marcin/0000-0001-5879-3750; Panasiuk, Anna/0000-0002-1008-2922</t>
  </si>
  <si>
    <t>10.3390/d13120675</t>
  </si>
  <si>
    <t>XY0LU</t>
  </si>
  <si>
    <t>WOS:000736676200001</t>
  </si>
  <si>
    <t>Semprucci, F; Appolloni, L; Grassi, E; Donnarumma, L; Cesaroni, L; Tirimberio, G; Chianese, E; Di Donato, P; Russo, GF; Balsamo, M; Sandulli, R</t>
  </si>
  <si>
    <t>Semprucci, Federica; Appolloni, Luca; Grassi, Eleonora; Donnarumma, Luigia; Cesaroni, Lucia; Tirimberio, Giuseppina; Chianese, Elena; Di Donato, Paola; Russo, Giovanni Fulvio; Balsamo, Maria; Sandulli, Roberto</t>
  </si>
  <si>
    <t>Antarctic Special Protected Area 161 as a Reference to Assess the Effects of Anthropogenic and Natural Impacts on Meiobenthic Assemblages</t>
  </si>
  <si>
    <t>meiobenthos; antarctica; interstitial water; heavy metals; sediment</t>
  </si>
  <si>
    <t>HEAVY-METAL CONTAMINATION; TERRA-NOVA BAY; DAVIS STATION; WASTE-WATER; COASTAL SEDIMENTS; MARINE-SEDIMENTS; MULTIVARIATE-ANALYSIS; ENVIRONMENTAL-IMPACT; ORGANIC ENRICHMENT; MEDITERRANEAN SEA</t>
  </si>
  <si>
    <t>The Antarctic region is usually considered a pristine area. Nevertheless, regional warming effects and increasing human activities, including the presence of several research stations, are inducing considerable environmental changes that may affect the ecosystem's functions. Therefore, during the XXXIII Antarctic expedition, we carried out an investigation in Terra Nova bay (Ross Sea), close to the Antarctic Specially Protected Area (ASPA) n.161. In particular, we compared the effects of two different types of impacts on the meiobenthic assemblages: anthropogenic impact (AI), associated with the activity of Mario Zucchelli Research Station (MZS), and natural impact (NI) attributable to a large colony of Adelie penguins (Pygoscelis adeliae) in Adelie Cove. For each impacted site, a respective control site and two sampling depths (20 and 50 m) were selected. Several environmental variables (pH, dissolved oxygen, major and minor ions, heavy metals, organic load, and sediment grain size) were measured and analysed, to allow a comprehensive characterization of the sampling areas. According to the criteria defined by Unites States Environmental Protection Agency (US EPA 2009), heavy metal concentrations did not reveal critical conditions. However, both the MZS (AI20) and penguin colony (NI20) sites showed higher heavy metal concentrations, the former due to human activities related to the Italian research station, with the latter caused by the penguins excrements. Meiobenthic richness and abundance values suggested that the worst ecological condition was consistently related to the Adelie penguins colony. Furthermore, the higher contribution of r-strategists corroborates the hypothesis that the chronic impact of the penguin colonies may have stronger effects on the meiobenthos than the human activities at the MZS. Food is not limited in shallow Antarctic bottoms, and microscale differences in primary and secondary production processes can likely explain the greater spatial heterogeneity, highlighted both by the univariate and multivariate attributes of meiobenthic assemblage (i.e., richness, diversity, abundance, whole structure assemblage, and rare taxa) at the deeper stations. As reported in other geographical regions, the assemblage structure of rare meiobenthic taxa is confirmed to be more susceptible to environmental variations, rather than the whole assemblage structure.</t>
  </si>
  <si>
    <t>[Semprucci, Federica; Grassi, Eleonora; Cesaroni, Lucia; Balsamo, Maria] Univ Urbino, Dept Biomol Sci DiSB, Via Ca Le Suore, I-61029 Urbino, Italy; [Semprucci, Federica; Balsamo, Maria] Interinst Res Marine Biodivers Resources &amp; Biotec, Fano Marine Ctr, I-61032 Fano, Italy; [Semprucci, Federica; Appolloni, Luca; Donnarumma, Luigia; Russo, Giovanni Fulvio; Balsamo, Maria; Sandulli, Roberto] Consorzio Nazl Interuniv Sci Mare CoNISMa Rome Di, Marine Ecol Lab, Ctr Direz Isola C4, I-80143 Naples, Italy; [Appolloni, Luca; Donnarumma, Luigia; Tirimberio, Giuseppina; Chianese, Elena; Di Donato, Paola; Russo, Giovanni Fulvio; Sandulli, Roberto] Parthenope Univ Naples, Dept Sci &amp; Technol DiST, Ctr Direz Isola C4, I-80143 Naples, Italy; [Di Donato, Paola] Natl Res Council Italy, Inst Biomol Chem, Via Campi Flegrei 34, I-80078 Naples, Italy</t>
  </si>
  <si>
    <t>University of Urbino; CoNISMa; Parthenope University Naples</t>
  </si>
  <si>
    <t>Appolloni, L; Sandulli, R (corresponding author), Consorzio Nazl Interuniv Sci Mare CoNISMa Rome Di, Marine Ecol Lab, Ctr Direz Isola C4, I-80143 Naples, Italy.;Appolloni, L; Chianese, E; Sandulli, R (corresponding author), Parthenope Univ Naples, Dept Sci &amp; Technol DiST, Ctr Direz Isola C4, I-80143 Naples, Italy.</t>
  </si>
  <si>
    <t>federica.semprucci@uniurb.it; luca.appolloni@uniparthenope.it; e.grassi5@campus.uniurb.it; luigia.donnarumma@uniparthenope.it; lucia.cesaroni@uniurb.it; giuseppina.tirimberio@unicampania.it; luca.appolloni@uniparthenope.it; paola.didonato@uniparthenope.it; giovanni.russo@uniparthenope.it; maria.balsamo@uniurb.it; roberto.sandulli@uniparthenope.it</t>
  </si>
  <si>
    <t>Appolloni, Luca/P-2225-2019; Semprucci, Federica/N-5889-2014</t>
  </si>
  <si>
    <t>Appolloni, Luca/0000-0001-5645-3082; Semprucci, Federica/0000-0003-1360-7242; Donnarumma, Luigia/0000-0002-3119-865X; Sandulli, Roberto/0000-0003-3340-3298; Grassi, Eleonora/0000-0001-7096-011X</t>
  </si>
  <si>
    <t>10.3390/d13120626</t>
  </si>
  <si>
    <t>XY0FR</t>
  </si>
  <si>
    <t>WOS:000736660300001</t>
  </si>
  <si>
    <t>Borrelli, C; Katz, ME; Toggweiler, JR</t>
  </si>
  <si>
    <t>Borrelli, C.; Katz, M. E.; Toggweiler, J. R.</t>
  </si>
  <si>
    <t>Middle to Late Eocene Changes of the Ocean Carbonate Cycle</t>
  </si>
  <si>
    <t>Pacific; Atlantic; Indian; Southern Ocean; Eocene; Ocean Drilling Program; calcium carbonate; CCD</t>
  </si>
  <si>
    <t>DEEP-WATER PRODUCTION; MERIDIONAL OVERTURNING CIRCULATION; ND ISOTOPIC STRUCTURE; NORTH PACIFIC-OCEAN; OLIGOCENE TRANSITION; SOUTHERN-OCEAN; ATMOSPHERIC CO2; GLOBAL CLIMATE; ANTARCTIC GLACIATION; CALCITE COMPENSATION</t>
  </si>
  <si>
    <t>Sedimentary records show that calcium carbonate (CaCO3) preservation fluctuated during the Eocene. These fluctuations are well documented for the equatorial Pacific. However, data from other basins are sparse. In this study, we report new middle and late Eocene bulk calcium carbonate percentages and accumulation rates from the northwestern Pacific (Ocean Drilling Program-ODP-Site 884) and the Atlantic (ODP Sites 1053, 1090, and 1263) Oceans; in addition, we calculate CaCO3 accumulation rates for sites with published percentage bulk CaCO3 to expand geographic and paleobathymetric coverage. Using these data, we investigate the response of the carbonate cycle to environmental changes (e.g., temperatures, primary productivity, weathering, and ocean circulation) at the beginning of the greenhouse-icehouse transition (similar to 43-34 Ma). Our results show that in the middle to late Eocene CaCO3 accumulation rates were highly variable at different paleodepths and ocean basins suggesting that the evolution of carbonate accumulation rates over the Eocene was influenced by different processes in different locations. In particular, our data emphasize the role of surface CaCO3 production and ocean ventilation in driving changes in CaCO3 preservation and burial at the seafloor. Our study also highlights the need for a better understanding of the processes regulating CaCO3 surface production today in order to correctly interpret geological records.</t>
  </si>
  <si>
    <t>[Borrelli, C.] Univ Rochester, Dept Earth &amp; Environm Sci, Rochester, NY 14620 USA; [Katz, M. E.] Rensselaer Polytech Inst, Dept Earth &amp; Environm Sci, Troy, NY USA; [Toggweiler, J. R.] NOAA, Geophys Fluid Dynam Lab, Princeton, NJ USA</t>
  </si>
  <si>
    <t>University of Rochester; Rensselaer Polytechnic Institute; National Oceanic Atmospheric Admin (NOAA) - USA</t>
  </si>
  <si>
    <t>Borrelli, C (corresponding author), Univ Rochester, Dept Earth &amp; Environm Sci, Rochester, NY 14620 USA.</t>
  </si>
  <si>
    <t>cborrelli@ur.rochester.edu</t>
  </si>
  <si>
    <t>Toggweiler, J. R./0000-0001-6345-5756</t>
  </si>
  <si>
    <t>NSF [OCE 09-28607/09-27663]</t>
  </si>
  <si>
    <t>NSF(National Science Foundation (NSF))</t>
  </si>
  <si>
    <t>This research was supported by the NSF grant OCE 09-28607/09-27663 (Miriam E. Katz and Benjamin S. Cramer). The authors are grateful to Ben Cramer for insightful discussions regarding the carbonate cycle in the middle Eocene-early Oligocene. C.B. thanks Brianna King, Samantha Langton, Kyle Monahan, Hannah Smith, and Ross Williams for sample processing, and Nichole Anest for her assistance during bulk carbonate analysis. C. B. is indebted to Mitch Lyle, Larry Peterson, Heiko Palike, and Thomas Westerhold for useful conversations about carbonate accumulation rate calculations and the Sites 1218 and 1263 age models. Thomas Westerhold is also acknowledged for providing the Site 1263 sample rmcd depths. Chris Scotese and Michiel Baatsen are acknowledged for providing the maps included in Figure 1. The authors are grateful to several anonymous reviewers for providing comments that greatly improved the paper. This research used samples provided by IODP, which is sponsored by NSF and participating countries under management of the Joint Oceanographic Institutions, Inc.</t>
  </si>
  <si>
    <t>e2020PA004168</t>
  </si>
  <si>
    <t>10.1029/2020PA004168</t>
  </si>
  <si>
    <t>XW9IY</t>
  </si>
  <si>
    <t>WOS:000735924600008</t>
  </si>
  <si>
    <t>Horne, RB; Glauert, SA; Kirsch, P; Heynderickx, D; Bingham, S; Thorn, P; Curran, BA; Pitchford, D; Haggarty, E; Wade, D; Keil, R</t>
  </si>
  <si>
    <t>Horne, Richard B.; Glauert, Sarah A.; Kirsch, Peter; Heynderickx, Daniel; Bingham, Suzy; Thorn, Peter; Curran, Babara-Ann; Pitchford, David; Haggarty, Ewan; Wade, David; Keil, Ralf</t>
  </si>
  <si>
    <t>The Satellite Risk Prediction and Radiation Forecast System (SaRIF)</t>
  </si>
  <si>
    <t>radiation belts; forecasting; satellite anomalies</t>
  </si>
  <si>
    <t>DATA ASSIMILATION; ENERGY ELECTRONS; BELT ELECTRONS; CHORUS; MAGNETOSPHERE; ACCELERATION; SIMULATION; MODELS; WAVE</t>
  </si>
  <si>
    <t>With new satellite constellations being launched into low Earth orbit, the growing use of medium Earth orbit for radio-navigation and timing signals, slot region orbits for telecommunications and the introduction of electric propulsion to reach geostationary orbit, there is a growing need to develop services to protect satellites from space weather. Here we highlight two recent events in relation to satellite operations. We summarize 10 user needs that arose out of meetings with satellite operators, designers, underwriters and space agency staff. We present the satellite risk prediction and radiation forecast (SaRIF) system which is designed to meet most of these needs. The system uses real-time data as input to the BAS radiation belt model (BAS-RBM) to solve the Fokker Planck equation and provides a forecast of the electron flux throughout the outer radiation belt with 1-hr resolution up to 24 hr ahead. The electron flux is used to calculate charging currents, and is combined with GOES near real time proton fluxes to calculate dose rate and total ionizing dose behind set levels of shielding for satellites in Medium Earth orbit, Geostationary orbit and slot region orbits. The results are compared against design standards and presented as risk indicators to forecast the risk of damage. The system works automatically and is updated every hour. We also present data and a best reconstruction of the radiation environment which are held in a searchable archive for satellite anomaly resolution. The SaRIF system is available via the European Space Agency space weather web portal.</t>
  </si>
  <si>
    <t>[Horne, Richard B.; Glauert, Sarah A.; Kirsch, Peter] British Antarctic Survey, Cambridge, England; [Heynderickx, Daniel] DH Consultancy BVBA, Leuven, Belgium; [Bingham, Suzy; Thorn, Peter; Curran, Babara-Ann] Meteorol Off, Exeter, Devon, England; [Pitchford, David] SES, Betzdorf, Luxembourg; [Haggarty, Ewan] Airbus Def &amp; Space, Stevenage, Herts, England; [Wade, David] Atrium Space Insurance Consortium, London, England; [Keil, Ralf] European Space Agcy, Rhea Syst GmbH, Darmstadt, Germany</t>
  </si>
  <si>
    <t>UK Research &amp; Innovation (UKRI); Natural Environment Research Council (NERC); NERC British Antarctic Survey; Met Office - UK; European Space Agency</t>
  </si>
  <si>
    <t>Horne, RB (corresponding author), British Antarctic Survey, Cambridge, England.</t>
  </si>
  <si>
    <t>rh@bas.ac.uk</t>
  </si>
  <si>
    <t>Heynderickx, Daniel/JBS-0816-2023; Horne, Richard B/U-3764-2019</t>
  </si>
  <si>
    <t>Heynderickx, Daniel/0000-0001-7136-9014; Horne, Richard B/0000-0002-0412-6407; Kirsch, Peter/0000-0003-2482-0217</t>
  </si>
  <si>
    <t>ESA; NERC Highlight Topic Grant [NE/P01738X/1]; NERC [NE/V00249X/1]; National and Public Good activity grant [NE/R016445/1]; NERC [NE/R016445/1, NE/P01738X/1] Funding Source: UKRI; SPF [NE/V00249X/1] Funding Source: UKRI</t>
  </si>
  <si>
    <t>ESA(European Space Agency); NERC Highlight Topic Grant; NERC(UK Research &amp; Innovation (UKRI)Natural Environment Research Council (NERC)); National and Public Good activity grant; NERC(UK Research &amp; Innovation (UKRI)Natural Environment Research Council (NERC)); SPF</t>
  </si>
  <si>
    <t>The authors thank P. O'Brien, E. Daly, H. Evans, K. Ryden, A. Hands, and D. Rodgers, for many helpful discussions on radiation effects on satellites. The authors also thank staff at the European Space Operations Centre, Darmstadt, and Inmarsat, London, for hosting discussions on user needs. R. B. Horne, S. A. Glauert, and P. Kirsch were supported by ESA contract funding, NERC Highlight Topic Grant NE/P01738X/1 (Rad-Sat) and NERC grant NE/V00249X/1 (Sat-Risk). R. B. Horne was also supported by National and Public Good activity grant NE/R016445/1. S. Bingham, P. Thorn, B.-A. Curran, and D. Heynderickx were supported by ESA contract funding.</t>
  </si>
  <si>
    <t>e2021SW002823</t>
  </si>
  <si>
    <t>10.1029/2021SW002823</t>
  </si>
  <si>
    <t>XW9CQ</t>
  </si>
  <si>
    <t>WOS:000735908200013</t>
  </si>
  <si>
    <t>Heinemann, G; Zentek, R</t>
  </si>
  <si>
    <t>Heinemann, Guenther; Zentek, Rolf</t>
  </si>
  <si>
    <t>A Model-Based Climatology of Low-Level Jets in the Weddell Sea Region of the Antarctic</t>
  </si>
  <si>
    <t>Antarctic; stable boundary layer; low-level jets; inversion; katabatic winds</t>
  </si>
  <si>
    <t>SURFACE MASS-BALANCE; BOUNDARY-LAYER; KATABATIC FLOW; ICE SHELF; COATS LAND; LAPTEV SEA; DYNAMICS; PARAMETERIZATIONS; PERFORMANCE; SUMMER</t>
  </si>
  <si>
    <t>Low-level jets (LLJs) are climatological features in polar regions. It is well known that katabatic winds over the slopes of the Antarctic ice sheet are associated with strong LLJs. Barrier winds occurring, e.g., along the Antarctic Peninsula may also show LLJ structures. A few observational studies show that LLJs occur over sea ice regions. We present a model-based climatology of the wind field, of low-level inversions and of LLJs in the Weddell Sea region of the Antarctic for the period 2002-2016. The sensitivity of the LLJ detection on the selection of the wind speed maximum is investigated. The common criterion of an anomaly of at least 2 m/s is extended to a relative criterion of wind speed decrease above and below the LLJ. The frequencies of LLJs are sensitive to the choice of the relative criterion, i.e., if the value for the relative decrease exceeds 15%. The LLJs are evaluated with respect to the frequency distributions of height, speed, directional shear and stability for different regions. LLJs are most frequent in the katabatic wind regime over the ice sheet and in barrier wind regions. During winter, katabatic LLJs occur with frequencies of more than 70% in many areas. Katabatic LLJs show a narrow range of heights (mostly below 200 m) and speeds (typically 10-20 m/s), while LLJs over the sea ice cover a broad range of speeds and heights. LLJs are associated with surface inversions or low-level lifted inversions. LLJs in the katabatic wind and barrier wind regions can last several days during winter. The duration of LLJs is sensitive to the LLJ definition criteria. We propose to use only the absolute criterion for model studies.</t>
  </si>
  <si>
    <t>[Heinemann, Guenther; Zentek, Rolf] Univ Trier, Dept Environm Meteorol, D-54286 Trier, Germany</t>
  </si>
  <si>
    <t>Universitat Trier</t>
  </si>
  <si>
    <t>Heinemann, G (corresponding author), Univ Trier, Dept Environm Meteorol, D-54286 Trier, Germany.</t>
  </si>
  <si>
    <t>heinemann@uni-trier.de; zentek@uni-trier.de</t>
  </si>
  <si>
    <t>Zentek, Rolf/0000-0003-3249-8635; Heinemann, Gunther/0000-0002-4831-9016</t>
  </si>
  <si>
    <t>DFG (Deutsche Forschungsgemeinschaft) [SPP 1158, HE 2740/33]; Universitat Trier</t>
  </si>
  <si>
    <t>DFG (Deutsche Forschungsgemeinschaft)(German Research Foundation (DFG)); Universitat Trier</t>
  </si>
  <si>
    <t>This research was funded by the SPP 1158 Antarctic research of the DFG (Deutsche Forschungsgemeinschaft) under grant HE 2740/33. The publication was funded by the Open Access Fund of Universitat Trier and the DFG within the Open Access Publishing funding programme.</t>
  </si>
  <si>
    <t>10.3390/atmos12121635</t>
  </si>
  <si>
    <t>XW6NB</t>
  </si>
  <si>
    <t>WOS:000735732300001</t>
  </si>
  <si>
    <t>Sanchez, G; Halpin, JA; Gard, M; Hasterok, D; Stål, T; Raimondo, T; Peters, S; Burton-Johnson, A</t>
  </si>
  <si>
    <t>Sanchez, G.; Halpin, J. A.; Gard, M.; Hasterok, D.; Stal, T.; Raimondo, T.; Peters, S.; Burton-Johnson, A.</t>
  </si>
  <si>
    <t>PetroChron Antarctica: A Geological Database for Interdisciplinary Use</t>
  </si>
  <si>
    <t>GEOCHEMISTRY GEOPHYSICS GEOSYSTEMS</t>
  </si>
  <si>
    <t>Antarctica; geochronology; geochemistry; petrology; relational database</t>
  </si>
  <si>
    <t>DRONNING MAUD LAND; U-PB GEOCHRONOLOGY; CENTRAL TRANSANTARCTIC MOUNTAINS; RADIOGENIC HEAT-PRODUCTION; PRINCE-CHARLES MOUNTAINS; EAST ANTARCTICA; ARC MAGMATISM; WINDMILL ISLANDS; ENDERBY LAND; ROSS OROGENY</t>
  </si>
  <si>
    <t>We present PetroChron Antarctica, a new relational database including petrological, geochemical and geochronological data sets along with computed rock properties from geological samples across Antarctica. The database contains whole-rock geochemistry with major/trace element and isotope analyses, geochronology from multiple isotopic systems and minerals for given samples, as well as an internally consistent rock classification based on chemical analysis and derived rock properties (i.e., chemical indices, density, p-velocity, and heat production). A broad range of meta-information such as geographic location, petrology, mineralogy, age statistics and significance are also included and can be used to filter and assess the quality of the data. Currently, the database contains 11,559 entries representing 10,056 unique samples with varying amounts of geochemical and geochronological data. The distribution of rock types is dominated by mafic (36%) and felsic (33%) compositions, followed by intermediate (22%) and ultramafic (9%) compositions. Maps of age distribution and isotopic composition highlight major episodes of tectonic and thermal activity that define well known crustal heterogeneities across the continent, with the oldest rocks preserved in East Antarctica and more juvenile lithosphere characterizing West Antarctica. PetroChron Antarctica allows spatial and temporal variations in geology to be explored at the continental scale and integrated with other Earth-cryosphere-biosphere-ocean data sets. As such, it provides a powerful resource ready for diverse applications including plate tectonic reconstructions, geological/geophysical maps, geothermal heat flow models, lithospheric and glacial isostasy, geomorphology, ice sheet reconstructions, biodiversity evolution, and oceanography.</t>
  </si>
  <si>
    <t>[Sanchez, G.; Halpin, J. A.; Stal, T.] Univ Tasmania, Inst Marine &amp; Antarctic Studies, Hobart, Tas, Australia; [Sanchez, G.; Gard, M.] Geosci Australia, Canberra, ACT 2609, Australia; [Gard, M.; Hasterok, D.] Univ Adelaide, Dept Earth Sci, Adelaide, SA, Australia; [Hasterok, D.] Univ Adelaide, Mawson Ctr Geosci, Adelaide, SA, Australia; [Stal, T.] Univ Tasmania, Sch Nat Sci Phys, Hobart, Tas, Australia; [Raimondo, T.; Peters, S.] Univ South Australia, UniSA STEM, Adelaide, SA, Australia; [Raimondo, T.] Univ South Australia, Future Ind Inst, Adelaide, SA 5001, Australia; [Burton-Johnson, A.] British Antarctic Survey, Cambridge, England</t>
  </si>
  <si>
    <t>University of Tasmania; Geoscience Australia; University of Adelaide; University of Adelaide; University of Tasmania; University of South Australia; University of South Australia; UK Research &amp; Innovation (UKRI); Natural Environment Research Council (NERC); NERC British Antarctic Survey</t>
  </si>
  <si>
    <t>Halpin, JA (corresponding author), Univ Tasmania, Inst Marine &amp; Antarctic Studies, Hobart, Tas, Australia.</t>
  </si>
  <si>
    <t>jacqueline.halpin@utas.edu.au</t>
  </si>
  <si>
    <t>Peters, Stefan/A-9725-2015; Hasterok, Derrick/H-9392-2012; Halpin, Jacqueline/A-3776-2014; Raimondo, Tom/F-3766-2013</t>
  </si>
  <si>
    <t>Peters, Stefan/0000-0002-3604-4625; Hasterok, Derrick/0000-0002-8257-7975; Halpin, Jacqueline/0000-0002-4992-8681; Stal, Tobias/0000-0002-4323-6748; Sanchez, Guillaume/0000-0002-9191-4259; Burton-Johnson, Alex/0000-0003-2208-0075; Raimondo, Tom/0000-0001-9115-9196</t>
  </si>
  <si>
    <t>Australian Research Council [DP180104074]; Australian Research Council Special Research Initiative for Antarctic Gateway Partnership [SR140300001]; SCAR Geosciences Group; INSTANT Scientific Research Programme; SERCE Scientific Research Programme; PAIS Scientific Research Programme; GHF subgroup</t>
  </si>
  <si>
    <t>Australian Research Council(Australian Research Council); Australian Research Council Special Research Initiative for Antarctic Gateway Partnership(Australian Research Council); SCAR Geosciences Group; INSTANT Scientific Research Programme; SERCE Scientific Research Programme; PAIS Scientific Research Programme; GHF subgroup</t>
  </si>
  <si>
    <t>This research was supported by the Australian Research Council Discovery Project DP180104074 and the Australian Research Council Special Research Initiative for Antarctic Gateway Partnership (SR140300001). The authors thank Chris Carson (GA), Marlina Elburg (UJ), Simon Cox (GNS), and Laura Morrissey (UniSA) for providing data sets and/or personal compilations, Sally Watson (NIWA) for early contributions to the database, and Josh Gore (UniSA) for early contributions to the web portal. The authors thank Adam Martin and an anonymous reviewer for their encouraging and constructive feedback. The authors also acknowledge the support and motivation of the SCAR Geosciences Group, including the INSTANT, SERCE, and PAIS Scientific Research Programmes and the GHF subgroup.</t>
  </si>
  <si>
    <t>1525-2027</t>
  </si>
  <si>
    <t>GEOCHEM GEOPHY GEOSY</t>
  </si>
  <si>
    <t>Geochem. Geophys. Geosyst.</t>
  </si>
  <si>
    <t>e2021GC010154</t>
  </si>
  <si>
    <t>10.1029/2021GC010154</t>
  </si>
  <si>
    <t>XW8WG</t>
  </si>
  <si>
    <t>WOS:000735891600010</t>
  </si>
  <si>
    <t>Lockwood, M; McWilliams, KA</t>
  </si>
  <si>
    <t>Lockwood, Mike; McWilliams, Kathryn A.</t>
  </si>
  <si>
    <t>On Optimum Solar Wind-Magnetosphere Coupling Functions for Transpolar Voltage and Planetary Geomagnetic Activity</t>
  </si>
  <si>
    <t>solar wind-magnetosphere coupling; coupling functions; distributions of interplanetary parameters; effects of averaging; origins of correlation noise</t>
  </si>
  <si>
    <t>VARYING MAGNETIC RECONNECTION; CAP POTENTIAL SATURATION; INTERPLANETARY CONDITIONS; IONOSPHERIC SIGNATURES; NUMERICAL-MODEL; ENERGY-TRANSFER; SIMPLEX-METHOD; RING CURRENT; SUBSTORM; FIELD</t>
  </si>
  <si>
    <t>Using 65,133 hourly averages of transpolar voltage (phi(PC)) from observations made over 25 yr by the SuperDARN radars, with simultaneous SML and interpolated am geomagnetic indices, we study their optimum interplanetary coupling functions. We find mean lags of 18, 31, and 45 min for phi(PC), am, and SML, respectively, and fit using a general coupling function with three free fit exponents. To converge to a fit, we need to average interplanetary parameters and then apply the exponent which is a widely used approximation: we show how and why this is valid for all interplanetary parameters, except the factor quantifying the effect of the clock angle of the interplanetary magnetic field, sin(d)(theta/2), which must be computed at high time resolution and then averaged. We demonstrate the effect of the exponent d on the distribution, and hence weighting, of samples and show d is best determined from the requirement that the coupling function is a linear predictor, yielding d of 2.50 +/- 0.10, 3.00 +/- 0.22, and 5.20 +/- 0.41 for phi(PC), am, and SML, respectively. To check for overfitting, fits are made to half the available data and tested against the other half. Ensembles of 1,000 fits are used to study the effect of the number of samples on the distribution of errors in individual fits and on systematic biases in the ensemble means. We find only a weak dependence of solar wind density for phi(PC) and SML but a significant one for am. The optimum coupling functions are shown to be significantly different for phi(PC), am, and SML.</t>
  </si>
  <si>
    <t>[Lockwood, Mike] Univ Reading, Dept Meteorol, Reading, Berks, England; [McWilliams, Kathryn A.] Univ Saskatchewan, Inst Space &amp; Atmospher Studies, Saskatoon, SK, Canada</t>
  </si>
  <si>
    <t>University of Reading; University of Saskatchewan</t>
  </si>
  <si>
    <t>STFC consolidated grant [ST/M000885/1]; SWIGS NERC Directed Highlight Topic Grant [NE/P016928/1/]; Canadian Foundation for Innovation (CFI); Province of Saskatchewan; Natural Sciences and Engineering Research Council (NSERC) of Canada; NERC [NE/P016928/1] Funding Source: UKRI</t>
  </si>
  <si>
    <t>STFC consolidated grant(UK Research &amp; Innovation (UKRI)Science &amp; Technology Facilities Council (STFC)); SWIGS NERC Directed Highlight Topic Grant; Canadian Foundation for Innovation (CFI)(Canada Foundation for Innovation); Province of Saskatchewan; Natural Sciences and Engineering Research Council (NSERC) of Canada(Natural Sciences and Engineering Research Council of Canada (NSERC)); NERC(UK Research &amp; Innovation (UKRI)Natural Environment Research Council (NERC))</t>
  </si>
  <si>
    <t>The authors acknowledge the use of data from the SuperDARN project. SuperDARN is a collection of radars funded by national scientific funding agencies of Australia, Canada, China, France, Italy, Japan, Norway, South Africa, UK, and the USA. The work presented in this article was supported by a number of grants. ML is supported by STFC consolidated grant number ST/M000885/1 and by the SWIGS NERC Directed Highlight Topic Grant number NE/P016928/1/. Funding for KAM at University of Saskatchewan was provided by the Canadian Foundation for Innovation (CFI), the Province of Saskatchewan, and a Discovery Grant from the Natural Sciences and Engineering Research Council (NSERC) of Canada. Initial work by KAM for this article was carried out at University of Reading on sabbatical leave from University of Saskatchewan. We thank Evan Thomas, Kevin Sterne, Simon Shepherd, Keith Kotyk, Marina Schmidt, Pasha Ponomarenko, Emma Bland, Maria-Theresia Walach, Ashton Reimer, Angeline Burrell, and Daniel Billett for the SuperDARN radar processing toolkit used to analyze the radar data. The authors are also grateful to the staff of: the Space Physics Data Facility, NASA/Goddard Space Flight Center, who prepared and made available the OMNI2 dataset used; the World Data Center for Geomagnetism, Kyoto who generate and make available the AL index; L'Ecole et Observatoire des Sciences de la Terre (EOST), a joint of the University of Strasbourg and the French National Center for Scientific Research (CNRS) and the International Service of Geomagnetic Indices (ISGI) for making the am index data. They are also grateful to the many groups who built and operated the instruments that have monitored near-Earth interplanetary space, particularly on the spacecraft ACE, Wind and THEMIS-B, and to the SuperMAG project for the SML index and we acknowledge the following projects and PIs: Intermagnet; USGS, Jeffrey J. Love; CARISMA, PI Ian Mann; CANMOS; The S-RAMP Database, PI K. Yumoto and K. Shiokawa; The SPIDR database; AARI, PI Oleg Troshichev; The MACCS program, PI M. Engebretson, Geomagnetism Unit of the Geological Survey of Canada; GIMA; MEASURE, UCLA IGPP and Florida Institute of Technology; SAMBA, PI Eftyhia Zesta; Chain, PI K. Yumoto; SAMNET, PI Farideh Honary; The institutes who maintain the IMAGE magnetometer array, PI Eija Tanskanen; PENGUIN; AUTUMN, PI Martin Connors; DTU Space, PI Rico Behlke; South Pole and McMurdo Magnetometer, PI's Louis J. Lanzarotti and Alan T. Weatherwax; ICESTAR; RAPIDMAG; PENGUIn; British Antarctic Survey; McMac, PI Peter Chi; BGS, PI Susan Macmillan; Pushkov Institute of Terrestrial Magnetism, Ionosphere and Radio Wave Propagation (IZMIRAN); GFZ, PI Juergen Matzka; MFGI, PI B. Heilig; IGFPAS, PI J. Reda; University of L'Aquila, PI M. Vellante; BCMT, V. Lesur and A. Chambodut; Data obtained in cooperation with Geoscience Australia, PI Marina Costelloe; and the SuperMAG, PI Jesper W. Gjerloev. The authors also thanks Joe Borovsky for insightful conversations about this work and, with Simon Wing, for organizing, the on-line Workshop Solar Wind - Magnetosphere Interaction in August/September 2021 at which this work was first presented.</t>
  </si>
  <si>
    <t>e2021JA029946</t>
  </si>
  <si>
    <t>10.1029/2021JA029946</t>
  </si>
  <si>
    <t>XW6GQ</t>
  </si>
  <si>
    <t>WOS:000735715600018</t>
  </si>
  <si>
    <t>Lozinski, AR; Horne, RB; Glauert, SA; Del Zanna, G; Claudepierre, SG</t>
  </si>
  <si>
    <t>Lozinski, Alexander R.; Horne, Richard B.; Glauert, Sarah A.; Del Zanna, Giulio; Claudepierre, Seth G.</t>
  </si>
  <si>
    <t>Modeling Inner Proton Belt Variability at Energies 1 to 10 MeV Using BAS-PRO</t>
  </si>
  <si>
    <t>proton belt; radial diffusion; trapped protons; modeling; solar cell degradation</t>
  </si>
  <si>
    <t>ALBEDO NEUTRON DECAY; RADIATION BELT; CRRES OBSERVATIONS; DIFFUSION; SIMULATION; PARTICLES; DENSITY; ZONE</t>
  </si>
  <si>
    <t>Geomagnetically trapped protons forming Earth's proton radiation belt pose a hazard to orbiting spacecraft. In particular, solar cell degradation is caused by non-ionising collisions with protons at energies of several megaelectron volts (MeV), which can shorten mission lifespan. Dynamic enhancements in trapped proton flux following solar energetic particle events have been observed to last several months, and there is a strong need for physics-based modeling to predict the impact on spacecraft. However, modeling proton belt variability at this energy is challenging because radial diffusion coefficients are not well constrained. We address this by using the British Antarctic Survey proton belt model BAS-PRO to perform 3D simulations of the proton belt in the region 1.15 &lt;= L &lt;= 2 from 2014 to 2018. The model is driven by measurements from the Radiation Belt Storm Probes Ion Composition Experiment and Magnetic Electron Ion Spectrometer instruments carried by the Van Allen Probe satellites. To investigate sensitivity, simulations are repeated for three different sets of proton radial diffusion coefficients D-LL taken from previous literature. Comparing the time evolution of each result, we find that solar cycle variability can drive up to a similar to 75% increase in 7.5 MeV flux at L = 1.3 over four years due to the increased importance of collisional loss at low energies. We also show how the anisotropy of proton pitch angle distributions varies with L and energy, depending on D-LL. However we find that phase space density can vary by three orders of magnitude at L = 1.4 and mu = 20 MeV/G due to uncertainty in D-LL, highlighting the need to better constrain proton D-LL at low energy.</t>
  </si>
  <si>
    <t>[Lozinski, Alexander R.; Horne, Richard B.; Glauert, Sarah A.] British Antarctic Survey, Cambridge, England; [Lozinski, Alexander R.; Del Zanna, Giulio] Univ Cambridge, Dept Appl Math &amp; Theoret Phys, Cambridge, England; [Claudepierre, Seth G.] Aerosp Corp, Space Sci Dept, El Segundo, CA 90245 USA; [Claudepierre, Seth G.] Univ Calif Los Angeles, Dept Atmospher &amp; Ocean Sci, Los Angeles, CA USA</t>
  </si>
  <si>
    <t>UK Research &amp; Innovation (UKRI); Natural Environment Research Council (NERC); NERC British Antarctic Survey; University of Cambridge; Aerospace Corporation - USA; University of California System; University of California Los Angeles</t>
  </si>
  <si>
    <t>Lozinski, AR (corresponding author), British Antarctic Survey, Cambridge, England.;Lozinski, AR (corresponding author), Univ Cambridge, Dept Appl Math &amp; Theoret Phys, Cambridge, England.</t>
  </si>
  <si>
    <t>alezin33@bas.ac.uk</t>
  </si>
  <si>
    <t>Claudepierre, Seth G/A-6109-2012; Horne, Richard B/U-3764-2019</t>
  </si>
  <si>
    <t>Claudepierre, Seth G/0000-0001-5513-5947; Horne, Richard B/0000-0002-0412-6407; Lozinski, Alexander/0000-0002-6508-487X</t>
  </si>
  <si>
    <t>Natural Environment Research Council (NERC) via Doctoral Training Programme [NE/R009457/1]; NERC National Capability grants [NE/R016038/1, NE/R016445/1]; NERC grant [NE/V00249X/1]; Highlight Topic Grant [NE/P01738X/1]; STFC (UK) [ST/P000665/1, ST/T000481/1]; NASA [NNX17AF10G]; RBSP-ECT by JHU/APL under NASA's Prime [967399, NAS5-01072]; NERC [NE/P01738X/1, NE/R009457/1] Funding Source: UKRI; SPF [NE/V00249X/1] Funding Source: UKRI; NASA [NNX17AF10G, 1001331] Funding Source: Federal RePORTER</t>
  </si>
  <si>
    <t>Natural Environment Research Council (NERC) via Doctoral Training Programme(UK Research &amp; Innovation (UKRI)Natural Environment Research Council (NERC)); NERC National Capability grants; NERC grant(UK Research &amp; Innovation (UKRI)Natural Environment Research Council (NERC)); Highlight Topic Grant; STFC (UK)(UK Research &amp; Innovation (UKRI)Science &amp; Technology Facilities Council (STFC)); NASA(National Aeronautics &amp; Space Administration (NASA)); RBSP-ECT by JHU/APL under NASA's Prime; NERC(UK Research &amp; Innovation (UKRI)Natural Environment Research Council (NERC)); SPF; NASA(National Aeronautics &amp; Space Administration (NASA))</t>
  </si>
  <si>
    <t>The results shown in this study can be downloaded from the U.K. Polar Data Centre (at ). This work was funded by the Natural Environment Research Council (NERC) via Doctoral Training Programme NE/R009457/1. Richard B. Horne and Sarah A. Glauert were supported by NERC National Capability grants NE/R016038/1 and NE/R016445/1, and by NERC grant NE/V00249X/1 (Sat-Risk), and by Highlight Topic Grant NE/P01738X/1 (Rad-Sat). Giulio Del Zanna acknowledges support from STFC (UK) via the consolidated grants to the atomic astrophysics group (AAG) at DAMTP, University of Cambridge (ST/P000665/1 and ST/T000481/1). Seth G. Claudepierre acknowledges support from NASA Grant no. NNX17AF10G and from RBSP-ECT funding provided by JHU/APL Contract 967399 under NASA's Prime Contract NAS5-01072. The authors thank Donald G. Mitchell and Jerry W. Manweiler for providing detailed advice on how best to process datasets from the RBSPICE instrument. The authors thank R. S. Selesnick for providing neutron albedo data to evaluate the CRAND source.</t>
  </si>
  <si>
    <t>e2021JA029777</t>
  </si>
  <si>
    <t>10.1029/2021JA029777</t>
  </si>
  <si>
    <t>WOS:000735715600057</t>
  </si>
  <si>
    <t>Nikolaev, AV; Sergeev, VA; Shukhtina, MA; Spanswick, E; Rogov, DD; Stepanov, NA</t>
  </si>
  <si>
    <t>Nikolaev, A., V; Sergeev, V. A.; Shukhtina, M. A.; Spanswick, E.; Rogov, D. D.; Stepanov, N. A.</t>
  </si>
  <si>
    <t>Study of Substorm-Related Auroral Absorption: Latitudinal Width and Factors Affecting the Peak Intensity of Energetic Electron Precipitation</t>
  </si>
  <si>
    <t>energetic electron precipitation; auroral radiowave absorption; dipolarizations; substorm current wedge; substorms; energetic particle injections</t>
  </si>
  <si>
    <t>MIDLATITUDE POSITIVE BAY; CURRENT WEDGE; INJECTIONS; MODEL; ACCELERATION; IONOSPHERE; DEPENDENCE; RIOMETER; INDEX; WAVES</t>
  </si>
  <si>
    <t>Previously, suggesting a scenario of injected and drifting electron cloud to describe the enhancements and precipitations of energetic electrons during substorms we used the linear prediction filter (LPF) method to build the empirical dynamical model of auroral absorption in the middle of auroral zone, driven by the midlatitude positive bay (MPB) index time series. In this paper, to understand better the relationship between magnetic dipolarization, injection, and energetic electron precipitation, we quantitatively explore correlations between dipolarization proxies (MPB and SML indices, substorm current wedge (SCW) intensity, location, and size) and precipitation-related auroral absorption in the morning maximum region for 148 isolated substorms. We confirm good correlation of precipitation peak values with dipolarization proxies and show that the absorption amplitude is most strongly controlled by total SCW current and its azimuthal size, and is also influenced by solar wind-dependent background energetic electron flux in the conjugate plasma sheet. This result confirms the adequacy of our starting assumption that there is a close relationship between the intensities and size of substorm dipolarizations and energetic particle injections. To extend the latitudinal coverage, we computed the LPF response functions for individual riometers of NORSTAR array. Finding similar shapes and amplitudes of their response at latitudes 63 degrees-69 degrees in the regions where maximal precipitation is statistically observed, we suggest, test, and approve that the auroral absorption in the belt 63 degrees-69 degrees may be predicted using a set of LPFs determined empirically in the center of auroral zone for various magnetic local times.</t>
  </si>
  <si>
    <t>[Nikolaev, A., V; Rogov, D. D.; Stepanov, N. A.] Arctic &amp; Antarctic Res Inst, Dept Geophys, St Petersburg, Russia; [Sergeev, V. A.; Shukhtina, M. A.; Stepanov, N. A.] St Petersburg State Univ, Dept Earth Phys, St Petersburg, Russia; [Spanswick, E.] Univ Calgary, Dept Phys &amp; Astron, Calgary, AB, Canada</t>
  </si>
  <si>
    <t>Arctic &amp; Antarctic Research Institute; Saint Petersburg State University; University of Calgary</t>
  </si>
  <si>
    <t>Nikolaev, AV (corresponding author), Arctic &amp; Antarctic Res Inst, Dept Geophys, St Petersburg, Russia.</t>
  </si>
  <si>
    <t>demosfen.spb@gmail.com</t>
  </si>
  <si>
    <t>Spanswick, Emma/JDC-7880-2023; Sergeev, Victor A/H-1173-2013; Shukhtina, Maria A/K-3783-2013; Никита, Степанов/AAB-8570-2022; Nikolaev, Alexander/M-8355-2016</t>
  </si>
  <si>
    <t>Sergeev, Victor A/0000-0002-4569-9631; Shukhtina, Maria A/0000-0001-7892-8392; Никита, Степанов/0000-0003-0014-5886; Rogov, Denis/0000-0003-0008-2774; Nikolaev, Alexander/0000-0001-5558-9615</t>
  </si>
  <si>
    <t>Russian Fund for Basic Research Grant [19-05-00072]</t>
  </si>
  <si>
    <t>Russian Fund for Basic Research Grant</t>
  </si>
  <si>
    <t>This research was supported by the Russian Fund for Basic Research Grant 19-05-00072.</t>
  </si>
  <si>
    <t>e2021JA029779</t>
  </si>
  <si>
    <t>10.1029/2021JA029779</t>
  </si>
  <si>
    <t>WOS:000735715600054</t>
  </si>
  <si>
    <t>Glauert, SA; Horne, RB; Kirsch, P</t>
  </si>
  <si>
    <t>Glauert, S. A.; Horne, R. B.; Kirsch, P.</t>
  </si>
  <si>
    <t>Evaluation of SaRIF High-Energy Electron Reconstructions and Forecasts</t>
  </si>
  <si>
    <t>forecast; reconstruction; SaRIF; evaluation; geostationary</t>
  </si>
  <si>
    <t>RADIATION BELT ELECTRONS; FLUXES; MAGNETOSPHERE; SIMULATION; ANOMALIES; LOSSES; CHORUS; MODEL</t>
  </si>
  <si>
    <t>Increasing numbers of satellites are orbiting through the Earth's radiation belts, and the range of orbits being commonly used is also growing. As a result, there is an increasing need for services to help protect satellites from space weather. The Satellite RIsk prediction and radiation Forecast (SaRIF) system provides reconstructions and forecasts of the high-energy electron flux throughout the outer radiation belt and translates these predictions into charging currents, dose rates, total ionizing dose and risk indicators. SaRIF both informs satellite operators of current and expected conditions and provides a tool to aid in post-event analysis. The reconstructions and forecasts are provided by the British Antarctic Survey Radiation Belt Model (BAS-RBM) running as part of an automatic system using real-time data to specify the boundary conditions and drive processes within the physics-based model. If SaRIF is to provide a useful tool, then the accuracy of the reconstructions and forecasts needs to be understood. Here we assess the accuracy of the simulations for geostationary orbit by comparing the model output with measurements made by the GOES 14 spacecraft for the period March-September 2019. No GOES 14 data was used to create the reconstruction or forecasts. We show that, with some improvements to the original system, the reconstructions have a prediction efficiency of 0.82 for &gt;800 keV electrons and 0.87 for &gt;2 MeV electrons, with corresponding prediction efficiencies of 0.59 and 0.78 for the forecasts.</t>
  </si>
  <si>
    <t>[Glauert, S. A.; Horne, R. B.; Kirsch, P.] British Antarctic Survey, Cambridge, England</t>
  </si>
  <si>
    <t>Glauert, SA (corresponding author), British Antarctic Survey, Cambridge, England.</t>
  </si>
  <si>
    <t>sagl@bas.ac.uk</t>
  </si>
  <si>
    <t>Horne, Richard B/U-3764-2019</t>
  </si>
  <si>
    <t>Horne, Richard B/0000-0002-0412-6407; Kirsch, Peter/0000-0003-2482-0217</t>
  </si>
  <si>
    <t>Natural Environment Research Council (NERC) Highlight Topic grant [NE/P01738X/1]; National and Public Good activity grant [NE/R016445/1]; ESA [4000118861/16/D/MRP]; NERC [NE/P01738X/1, NE/R016445/1] Funding Source: UKRI</t>
  </si>
  <si>
    <t>Natural Environment Research Council (NERC) Highlight Topic grant(UK Research &amp; Innovation (UKRI)Natural Environment Research Council (NERC)); National and Public Good activity grant; ESA(European Space Agency); NERC(UK Research &amp; Innovation (UKRI)Natural Environment Research Council (NERC))</t>
  </si>
  <si>
    <t>This research was supported by the Natural Environment Research Council (NERC) Highlight Topic grant NE/P01738X/1 (Rad-Sat), National and Public Good activity grant NE/R016445/1 and ESA contract 4000118861/16/D/MRP (SSA P2-SWE-XIII prototype).</t>
  </si>
  <si>
    <t>e2021SW002822</t>
  </si>
  <si>
    <t>10.1029/2021SW002822</t>
  </si>
  <si>
    <t>WOS:000735908200010</t>
  </si>
  <si>
    <t>Fernandez, I; de los Rios-escalante, P; Valenzuela, A; Aguayo, P; Smith, CT; Garcia-Cancino, A; Sanchez-Alonso, K; Oyarzun, C; Campos, VL</t>
  </si>
  <si>
    <t>Fernandez, Italo; de los Rios-escalante, Patricio; Valenzuela, Ariel; Aguayo, Paulina; Smith, Carlos T.; Garcia-Cancino, Apolinaria; Sanchez-Alonso, Kimberly; Oyarzun, Ciro; Campos, Victor L.</t>
  </si>
  <si>
    <t>Gastrointestinal Microbiota and Parasite-Fauna of Wild Dissostichus eleginoides Smitt, 1898 Captured at the South-Central Coast of Chile</t>
  </si>
  <si>
    <t>Dissostichus eleginoides; Nototheniidae; microbiota; parasite-fauna</t>
  </si>
  <si>
    <t>PATAGONIAN TOOTHFISH; GUT MICROBIOTA; FISHES; SEA; NOTOTHENIIDAE; ECOLOGY; PISCES; TRACT</t>
  </si>
  <si>
    <t>Dissotichus eleginoides has a discontinuous circumpolar geographic distribution restricted to mountains and platforms, mainly in Subantarctic and Antarctic waters of the southern hemisphere, including the Southeast Pacific, Atlantic and Indian oceans and in areas surrounding the peninsular platforms of subantarctic islands. The aim of this work was to determine and characterize the gastrointestinal parasitic and microbial fauna of specimens of D. eleginoides captured in waters of the south-central zone of Chile. The magnitude of parasitism in D. eleginoides captured in waters of the south-central zone of Chile is variable, and the parasite richness is different from that reported in specimens from subantarctic environments. Next-generation sequencing (NGS) of the microbial community associated to intestine showed a high diversity, where Proteobacteria, Firmicutes, and Bacteriodetes were the dominant phyla. However, both parasitic and microbial structures can vary between fish from different geographic regions</t>
  </si>
  <si>
    <t>[Fernandez, Italo; Smith, Carlos T.; Garcia-Cancino, Apolinaria; Sanchez-Alonso, Kimberly; Campos, Victor L.] Univ Concepcion, Fac Ciencias Biol, Dept Microbiol, Casilla 160-C, Concepcion 4070386, Chile; [de los Rios-escalante, Patricio] Univ Catolica Temuco, Fac Recursos Nat, Dept Ciencias Biol &amp; Quim, Temuco 4780000, Chile; [de los Rios-escalante, Patricio] Univ Catolica Temuco, Nucleo Estudios Ambientales, Temuco 4780000, Chile; [Valenzuela, Ariel; Oyarzun, Ciro] Univ Concepcion, Lab Piscicultura &amp; Patol Acuat, Fac Ciencias Nat &amp; Oceanog, Concepcion 4070386, Chile; [Aguayo, Paulina] Univ Amer, Inst Nat Resources, Fac Vet Med &amp; Agron, Sede Concepcion, Chacabuco 539, Concepcion 3349001, Chile; [Aguayo, Paulina] Univ Concepcion, Fac Environm Sci, EULA Environm Sci Ctr, Concepcion 4070386, Chile</t>
  </si>
  <si>
    <t>Universidad de Concepcion; Universidad Catolica de Temuco; Universidad Catolica de Temuco; Universidad de Concepcion; Universidad de Las Americas - Chile; Universidad de Concepcion</t>
  </si>
  <si>
    <t>Campos, VL (corresponding author), Univ Concepcion, Fac Ciencias Biol, Dept Microbiol, Casilla 160-C, Concepcion 4070386, Chile.</t>
  </si>
  <si>
    <t>prios@uct.cl; paulinaaguayo@udec.cl; vcampos@udec.cl</t>
  </si>
  <si>
    <t>Campos, Victor L/0000-0003-1167-5241; Garcia, Apolinaria/0000-0003-3909-9733; De los Rios-Escalante, Patricio/0000-0001-5056-7003; Valenzuela, Ariel/0000-0002-2104-7882; Sanchez-Alonzo, Kimberly/0000-0002-6451-6810</t>
  </si>
  <si>
    <t>10.3390/microorganisms9122522</t>
  </si>
  <si>
    <t>XW2RK</t>
  </si>
  <si>
    <t>WOS:000735472800001</t>
  </si>
  <si>
    <t>Chen, AF; Yang, LJ; Kang, H; Gao, YS; Xie, ZQ</t>
  </si>
  <si>
    <t>Chen, Afeng; Yang, Lianjiao; Kang, Hui; Gao, Yuesong; Xie, Zhouqing</t>
  </si>
  <si>
    <t>Southern hemisphere fire history since the late glacial, reconstructed from an Antarctic sediment core</t>
  </si>
  <si>
    <t>Levoglucosan; Fire history; Climate; Southern hemisphere</t>
  </si>
  <si>
    <t>INTERGLACIAL TRANSITION; HOLOCENE TRANSITION; MOLECULAR MARKERS; CHARCOAL RECORDS; ORGANIC AEROSOLS; MARINE RECORD; BLACK CARBON; LEVOGLUCOSAN; LAKE; ICE</t>
  </si>
  <si>
    <t>Recently, devastating fires have caused social disruptions and huge economic losses. Understanding the relationship between natural fires and climate is helpful for predicting future fire activity. Here, we detected biomass burning biomarkers (levoglucosan (Lev), mannosan (Man) and galactosan (Gan)) in a sediment core RN-01 from East Antarctica, and reconstructed the Southern Hemisphere fire history for the past 15.6 kyr. Source analysis shows that the Lev in RN-01 is derived from a mixed Southern Hemisphere source, in which South America is generally the most important. Lev/Man ratios indicate that softwood dominates the burning, although the proportion changes over time. The reconstructed fire activities were more frequent during the late glacial (similar to 16-14 kyr BP and similar to 13-11 kyr BP). Since the Holocene, the fire intensity showed an overall trend of decreasing. Precipitation, which was affected by the latitudinal shift of the Intertropical Convergence Zone (ITCZ) and the Southern Westerly Winds (SWW), plays an important role in the long-term change of fire activity since the late glacial period in the Southern Hemisphere. (C) 2021 Elsevier Ltd. All rights reserved.</t>
  </si>
  <si>
    <t>[Gao, Yuesong; Xie, Zhouqing] Univ Sci &amp; Technol China, Inst Polar Environm, Hefei 230026, Anhui, Peoples R China; [Gao, Yuesong; Xie, Zhouqing] Univ Sci &amp; Technol China, Dept Environm Sci &amp; Engn, Anhui Key Lab Polar Environm &amp; Global Change, Hefei 230026, Anhui, Peoples R China</t>
  </si>
  <si>
    <t>Chinese Academy of Sciences; University of Science &amp; Technology of China, CAS; Chinese Academy of Sciences; University of Science &amp; Technology of China, CAS</t>
  </si>
  <si>
    <t>Gao, YS; Xie, ZQ (corresponding author), Univ Sci &amp; Technol China, Inst Polar Environm, Hefei 230026, Anhui, Peoples R China.;Gao, YS; Xie, ZQ (corresponding author), Univ Sci &amp; Technol China, Dept Environm Sci &amp; Engn, Anhui Key Lab Polar Environm &amp; Global Change, Hefei 230026, Anhui, Peoples R China.</t>
  </si>
  <si>
    <t>yuesgao@ustc.edu.cn; zqxie@ustc.edu.cn</t>
  </si>
  <si>
    <t>Gao, Yuesong/GRE-7726-2022</t>
  </si>
  <si>
    <t>National Natural Science Foundation of China (NSFC) [41930532, 41941014]; Ministry of Natural Resources of the People's Republic of China [01-01-02E]; Australian Antarctic program via Australian Antarctic Science Projects [4087, 4088]</t>
  </si>
  <si>
    <t>National Natural Science Foundation of China (NSFC)(National Natural Science Foundation of China (NSFC)); Ministry of Natural Resources of the People's Republic of China; Australian Antarctic program via Australian Antarctic Science Projects</t>
  </si>
  <si>
    <t>We thank Louise Emmerson and Colin Southwell for valuable assistance in the field. This study was funded by National Natural Science Foundation of China (NSFC) (Nos.41930532, 41941014), and Ministry of Natural Resources of the People's Republic of China (IRASCC 2020-2022-No.01-01-02E). We thank Chinese Arctic and Antarctic Administration for supporting field campaign. Field work was also supported by the Australian Antarctic program via Australian Antarctic Science Projects #4087 and #4088. All field procedures were approved by the Australian Antarctic Animal Ethics Committee (AAAEC). Sample information and data were provided by the Resource Sharing Platform of Polar Samples (http://birds.chinare.org.cn) and was maintained by Polar Research Institute of China (PRIC) and Chinese National Arctic &amp; Antarctic Data Center (CN-NADC).</t>
  </si>
  <si>
    <t>10.1016/j.quascirev.2021.107300</t>
  </si>
  <si>
    <t>WOS:000731929600008</t>
  </si>
  <si>
    <t>Negusini, M; Petkov, BH; Tornatore, V; Barindelli, S; Martelli, L; Sarti, P; Tomasi, C</t>
  </si>
  <si>
    <t>Negusini, Monia; Petkov, Boyan H.; Tornatore, Vincenza; Barindelli, Stefano; Martelli, Leonardo; Sarti, Pierguido; Tomasi, Claudio</t>
  </si>
  <si>
    <t>Water Vapour Assessment Using GNSS and Radiosondes over Polar Regions and Estimation of Climatological Trends from Long-Term Time Series Analysis</t>
  </si>
  <si>
    <t>GNSS; radiosonde; ERA; precipitable water vapour; climate trends; Arctic; Antarctica</t>
  </si>
  <si>
    <t>ZENITH TOTAL DELAY; PRECIPITABLE WATER; GPS METEOROLOGY; TROPOSPHERE; VARIABILITY; HUMIDITY; ASSIMILATION; TEMPERATURE; SWITZERLAND; ANTARCTICA</t>
  </si>
  <si>
    <t>The atmospheric humidity in the Polar Regions is an important factor for the global budget of water vapour, which is a significant indicator of Earth's climate state and evolution. The Global Navigation Satellite System (GNSS) can make a valuable contribution in the calculation of the amount of Precipitable Water Vapour (PW). The PW values retrieved from Global Positioning System (GPS), hereafter PWGPS, refer to 20-year observations acquired by more than 40 GNSS geodetic stations located in the polar regions. For GNSS stations co-located with radio-sounding stations (RS), which operate Vaisala radiosondes, we estimated the PW from RS observations (PWRS). The PW values from the ERA-Interim global atmospheric reanalysis were used for validation and comparison of the results for all the selected GPS and RS stations. The correlation coefficients between times series are very high: 0.96 for RS and GPS, 0.98 for RS and ERA in the Arctic; 0.89 for RS and GPS, 0.97 for RS and ERA in Antarctica. The Root-Mean-Square of the Error (RMSE) is 0.9 mm on average for both RS vs. GPS and RS vs. ERA in the Arctic, and 0.6 mm for RS vs. GPS and 0.4 mm for RS vs. ERA in Antarctica. After validation, long-term trends, both for Arctic and Antarctic regions, were estimated using Hector scientific software. Positive PWGPS trends dominate at Arctic sites near the borders of the Atlantic Ocean. Sites located at higher latitudes show no significant values (at 1 sigma level). Negative PWGPS trends were observed in the Arctic region of Greenland and North America. A similar behaviour was found in the Arctic for PWRS trends. The stations in the West Antarctic sector show a general positive PWGPS trend, while the sites on the coastal area of East Antarctica exhibit some significant negative PWGPS trends, but in most cases, no significant PWRS trends were found. The present work confirms that GPS is able to provide reliable estimates of water vapour content in Arctic and Antarctic regions too, where data are sparse and not easy to collect. These preliminary results can give a valid contribution to climate change studies.</t>
  </si>
  <si>
    <t>[Negusini, Monia; Sarti, Pierguido] Ist Nazl Astrofis, Ist Radioastron, I-40129 Bologna, Italy; [Petkov, Boyan H.] Univ G DAnnunzio, Dipartimento Tecnol Innovat Med &amp; Odontoiatria, I-66100 Chieti, Italy; [Petkov, Boyan H.] CNR, Ist Sci Polari, I-40129 Bologna, Italy; [Tornatore, Vincenza; Barindelli, Stefano] Politecn Milan, Dipartimento Ingn Civile &amp; Ambientale, I-20133 Milan, Italy; [Martelli, Leonardo] Ist Nazl Geofis &amp; Vulcanol, I-40128 Bologna, Italy; [Tomasi, Claudio] CNR, Ist Sci Atmosfera &amp; Clima, I-40129 Bologna, Italy</t>
  </si>
  <si>
    <t>Istituto Nazionale Astrofisica (INAF); G d'Annunzio University of Chieti-Pescara; Consiglio Nazionale delle Ricerche (CNR); Istituto di Scienze Polari (ISP-CNR); Polytechnic University of Milan; Istituto Nazionale Geofisica e Vulcanologia (INGV); Consiglio Nazionale delle Ricerche (CNR); Istituto di Scienze dell'Atmosfera e del Clima (ISAC-CNR)</t>
  </si>
  <si>
    <t>Negusini, M (corresponding author), Ist Nazl Astrofis, Ist Radioastron, I-40129 Bologna, Italy.</t>
  </si>
  <si>
    <t>negusini@ira.inaf.it; B.Petkov@isac.cnr.it; vincenza.tornatore@polimi.it; stefano.barindelli@polimi.it; leonardo.martelli@ingv.it; p.sarti@ira.inaf.it; c.tomasi@isac.cnr.it</t>
  </si>
  <si>
    <t>Negusini, Monia/N-6493-2015; Sarti, Pierguido/D-2391-2009</t>
  </si>
  <si>
    <t>Negusini, Monia/0000-0002-0064-5533; Barindelli, Stefano/0000-0002-6416-6099; /0000-0003-4698-9996; Tornatore, Vincenza/0000-0001-7810-1803</t>
  </si>
  <si>
    <t>Programma Nazionale di Ricerche in Antartide (PNRA)</t>
  </si>
  <si>
    <t>Funding The Programma Nazionale di Ricerche in Antartide (PNRA) supported part of this work.</t>
  </si>
  <si>
    <t>10.3390/rs13234871</t>
  </si>
  <si>
    <t>XV7LZ</t>
  </si>
  <si>
    <t>WOS:000735120200001</t>
  </si>
  <si>
    <t>Taufik, SH; Ahmad, SA; Zakaria, NN; Shaharuddin, NA; Azmi, AA; Khalid, FE; Merican, F; Convey, P; Zulkharnain, A; Khalil, KA</t>
  </si>
  <si>
    <t>Taufik, Siti Hajar; Ahmad, Siti Aqlima; Zakaria, Nur Nadhirah; Shaharuddin, Noor Azmi; Azmi, Alyza Azzura; Khalid, Farah Eryssa; Merican, Faradina; Convey, Peter; Zulkharnain, Azham; Abdul Khalil, Khalilah</t>
  </si>
  <si>
    <t>Rice Straw as a Natural Sorbent in a Filter System as an Approach to Bioremediate Diesel Pollution</t>
  </si>
  <si>
    <t>rice straw; sorption capacity; oil absorption efficiency; morphology; spectroscopic analysis; one-factor-at-a-time (OFAT); response surface methodology (RSM)</t>
  </si>
  <si>
    <t>POLYURETHANE FOAMS; OIL; OPTIMIZATION; BIOMASS</t>
  </si>
  <si>
    <t>Rice straw, an agricultural waste product generated in huge quantities worldwide, is utilized to remediate diesel pollution as it possesses excellent characteristics as a natural sorbent. This study aimed to optimize factors that significantly influence the sorption capacity and the efficiency of oil absorption from diesel-polluted seawater by rice straw (RS). Spectroscopic analysis by attenuated total reflectance infrared (ATR-IR) spectroscopy and surface morphology characterization by variable pressure scanning electron microscopy (VPSEM) and energy-dispersive X-ray microanalysis (EDX) were carried out in order to understand the sorbent capability. Optimization of the factors of temperature pre-treatment of RS (90, 100, 110, 120, 130 or 140 degrees C), time of heating (10, 20, 30, 40, 50, 60 or 70 min), packing density (0.08, 0.10, 0.12, 0.14 or 0.16 g cm(-3)) and oil concentration (5, 10, 15, 20 or 25% (v/v)) was carried out using the conventional one-factor-at-a-time (OFAT) approach. To eliminate any non-significant factors, a Plackett-Burman design (PBD) in the response surface methodology (RSM) was used. A central composite design (CCD) was used to identify the presence of significant interactions between factors. The quadratic model produced provided a very good fit to the data (R-2 = 0.9652). The optimized conditions generated from the CCD were 120 degrees C, 10 min, 0.148 g cm(-3) and 25% (v/v), and these conditions enhanced oil sorption capacity from 19.6 (OFAT) to 26 mL of diesel oil, a finding verified experimentally. This study provides an improved understanding of the use of a natural sorbent as an approach to remediate diesel pollution.</t>
  </si>
  <si>
    <t>[Taufik, Siti Hajar; Ahmad, Siti Aqlima; Zakaria, Nur Nadhirah; Shaharuddin, Noor Azmi; Khalid, Farah Eryssa] Univ Putra Malaysia, Fac Biotechnol &amp; Biomol Sci, Dept Biochem, Serdang 43400, Malaysia; [Ahmad, Siti Aqlima] Univ Putra Malaysia UPM, Inst Trop Forestry &amp; Forest Prod INTROP, Lab Bioresource Management, Serdang 43400, Malaysia; [Shaharuddin, Noor Azmi] Univ Putra Malaysia, Inst Plantat Studies, Serdang 43400, Malaysia; [Azmi, Alyza Azzura] Univ Malaysia Terengganu, Fac Sci &amp; Marine Environm, Terengganu 21030, Malaysia; [Merican, Faradina] Univ Sains Malaysia, Sch Biol Sci, George Town 11800, Malaysia; [Convey, Peter] NERC, British Antarctic Survey, Madingley Rd, Cambridge CB3 0ET, England; [Convey, Peter] Univ Johannesburg, Dept Zool, POB 524, ZA-2006 Auckland Pk, South Africa; [Zulkharnain, Azham] Shibaura Inst Technol, Dept Biosci &amp; Engn, Saitama 3378570, Japan; [Abdul Khalil, Khalilah] Univ Teknol MARA, Fac Appl Sci, Sch Biol, Shah Alam 40450, Malaysia</t>
  </si>
  <si>
    <t>Universiti Putra Malaysia; Universiti Putra Malaysia; Universiti Putra Malaysia; Universiti Malaysia Terengganu; Universiti Sains Malaysia; UK Research &amp; Innovation (UKRI); Natural Environment Research Council (NERC); NERC British Antarctic Survey; University of Johannesburg; Shibaura Institute of Technology; Universiti Teknologi MARA</t>
  </si>
  <si>
    <t>Khalil, KA (corresponding author), Univ Teknol MARA, Fac Appl Sci, Sch Biol, Shah Alam 40450, Malaysia.</t>
  </si>
  <si>
    <t>hajartaufik21@gmail.com; aqlima@upm.edu.my; nadhirahairakaz@gmail.com; noorazmi@upm.edu.my; alyza.azzura@umt.edu.my; araheryssa@gmail.com; faradina@usm.my; pcon@bas.ac.uk; azham@shibaura-it.ac.jp; khali552@uitm.edu.my</t>
  </si>
  <si>
    <t>Convey, Peter/AAV-5728-2020; Sidik Merican, Faradina Merican/F-6785-2019</t>
  </si>
  <si>
    <t>Convey, Peter/0000-0001-8497-9903; Ahmad, Siti Aqlima/0000-0002-7625-3704; Sidik Merican, Faradina Merican/0000-0003-1441-0134; Zulkharnain, Azham/0000-0001-9173-8171; Ahmad Saiful Khalid, Farah Eryssa Binti/0000-0002-5370-201X</t>
  </si>
  <si>
    <t>Universiti Teknologi MARA; Putra-IPM fund under a research grant [2019/9678900]; Centro de Investigacion y Monitoreo Ambiental Antarctico (CIMAA); NERC; Majlis Amanah Rakyat (MARA); NERC [bas0100036] Funding Source: UKRI</t>
  </si>
  <si>
    <t>Universiti Teknologi MARA; Putra-IPM fund under a research grant; Centro de Investigacion y Monitoreo Ambiental Antarctico (CIMAA); NERC(UK Research &amp; Innovation (UKRI)Natural Environment Research Council (NERC)); Majlis Amanah Rakyat (MARA); NERC(UK Research &amp; Innovation (UKRI)Natural Environment Research Council (NERC))</t>
  </si>
  <si>
    <t>The APC was funded by Universiti Teknologi MARA. This project was financially supported by the Putra?IPM fund under a research grant to S.A. Ahmad (GPM?2019/9678900) disbursed by Universiti Putra Malaysia (UPM). C. Gomez-Fuentes is supported by Centro de Investigacion y Monitoreo Ambiental Antarctico (CIMAA). P. Convey is supported by NERC core funding to the BAS Biodiversity, Evolution and Adaptation Team. S.H. Taufik and F.E. Khalid are funded by a personal scholarship from Majlis Amanah Rakyat (MARA).</t>
  </si>
  <si>
    <t>10.3390/w13233317</t>
  </si>
  <si>
    <t>XV7IE</t>
  </si>
  <si>
    <t>WOS:000735110300001</t>
  </si>
  <si>
    <t>Barcenas-Peña, A; Diaz, R; Grewe, F; Widhelm, T; Lumbsch, HT</t>
  </si>
  <si>
    <t>Barcenas-Pena, Alejandrina; Diaz, Rudy; Grewe, Felix; Widhelm, Todd; Lumbsch, H. Thorsten</t>
  </si>
  <si>
    <t>Contributions to the phylogeny of Lepraria (Stereocaulaceae) species from the Southern Hemisphere, including three new species</t>
  </si>
  <si>
    <t>BRYOLOGIST</t>
  </si>
  <si>
    <t>Australasia; biodiversity; leprose lichens; new species; phylogeny</t>
  </si>
  <si>
    <t>LATITUDINAL GRADIENTS; LICHENS; ASCOMYCOTA; GENUS; LECANORALES; DIVERSITY; PATTERNS; S.L.; BIOGEOGRAPHY; LEPROCAULON</t>
  </si>
  <si>
    <t>We utilized ITS and mtSSU sequence data to study the phylogenetic relationships of Lepraria samples collected in the Southern Hemisphere, including Australia, Chile, New Zealand and Antarctica. Morphological characters and the secondary chemistry of the specimens were also examined. Using a combination of morphological, chemical and molecular data, we identified nine lineages in our material. The lineages are: Lepraria toilenae, L. eburnea, L. nothofagi, L. straminea, L. caerulescens, L. finkii, and three previously undescribed clades that are here described as L. chileana, L. neozelandica and L. ulrikii. The first is described from Chile. The second occurs in New Zealand, and the third has an Australasian distribution, occurring in New Zealand, mainland Australia, and Tasmania. In addition, L. straminea is identified as an usnic acid-producing species of the genus Lepraria. Moreover, L. caerulescens is confirmed as a distinct species.</t>
  </si>
  <si>
    <t>[Barcenas-Pena, Alejandrina] Field Museum, Grainger Bioinformat Ctr, 1400 South Lake Shore Dr, Chicago, IL 60605 USA; Field Museum, Negaunee Integrat Res Ctr, Sci &amp; Educ, 1400 South Lake Shore Dr, Chicago, IL 60605 USA</t>
  </si>
  <si>
    <t>Field Museum of Natural History (Chicago); Field Museum of Natural History (Chicago)</t>
  </si>
  <si>
    <t>Barcenas-Peña, A (corresponding author), Field Museum, Grainger Bioinformat Ctr, 1400 South Lake Shore Dr, Chicago, IL 60605 USA.</t>
  </si>
  <si>
    <t>abarcenas@fieldmuseum.org</t>
  </si>
  <si>
    <t>Lumbsch, Thorsten/K-3573-2012</t>
  </si>
  <si>
    <t>Barcenas, Alejandrina/0000-0003-1674-1164; Grewe, Felix/0000-0002-2805-5930</t>
  </si>
  <si>
    <t>Grainger Bioinformatics Center; Science Innovation Award from the Field Museum</t>
  </si>
  <si>
    <t>The first author is grateful to the Grainger Bioinformatics Center for a fellowship. This study was supported by a Science Innovation Award from the Field Museum. We are thankful for collection assistance by Gintaras Kantvilas in Australia; Juan Larrain, Matt von Konrat in Chile; Peter De Lange, Jeremy Rolf, Dan Blanchon, Allison Knight and John Knight in New Zealand; Claudia Colesie, Ulrike Ruprecht, Ana Pintado Valverde, Christian Printzen, Javier Salazar, Leopoldo Garcia Sancho and Ulrik Sochting in Antarctica. We thank for logistic support the staff of the Spanish Antarctic Station Juan Carlos I, as well as the captains and crews of the Spanish B.I.O. ``Hesp ' erides.''</t>
  </si>
  <si>
    <t>AMER BRYOLOGICAL LICHENOLOGICAL SOC INC</t>
  </si>
  <si>
    <t>OMAHA</t>
  </si>
  <si>
    <t>C/O DR ROBERT S EGAN, SEC-TRES, ABLS, UNIV NEBRASKA OMAHA, DEPT BIOLOGY, OMAHA, NE 68182-0040 USA</t>
  </si>
  <si>
    <t>0007-2745</t>
  </si>
  <si>
    <t>1938-4378</t>
  </si>
  <si>
    <t>Bryologist</t>
  </si>
  <si>
    <t>WIN</t>
  </si>
  <si>
    <t>10.1639/0007-2745-124.4.494</t>
  </si>
  <si>
    <t>XV2FD</t>
  </si>
  <si>
    <t>WOS:000734763500004</t>
  </si>
  <si>
    <t>Cimatti, M; Brooks, TM; Di Marco, M</t>
  </si>
  <si>
    <t>Cimatti, Marta; Brooks, Thomas M.; Di Marco, Moreno</t>
  </si>
  <si>
    <t>Identifying science-policy consensus regions of high biodiversity value and institutional recognition</t>
  </si>
  <si>
    <t>Convention on Biological Diversity; Hierarchical clustering; Multivariate component analysis; Other effective area -based conservation mea; sure; Post-2020 biodiversity Framework; Protected areas; Spatial conservation priorities</t>
  </si>
  <si>
    <t>CONSERVATION; DISPARITIES; ECOREGIONS; PROTECTION; PRIORITIES</t>
  </si>
  <si>
    <t>Under unsustainable rates of global biodiversity loss, there is urgent need to improve area-based conservation interventions and focus on regions with the highest conservation value. Efficient conservation plans require knowledge of the most important biodiversity areas, but several global prioritization maps show incongruent definition of these areas, slowing down global conservation efforts. We developed a framework to systematically identify and combine areas of high biodiversity value from published spatial prioritization maps. We retrieved 63 articles presenting prioritization maps (out of 5137 screened) and grouped these into three separate clusters based on their underlying methodology and input data, using Multivariate Component Analysis and Hierarchical Clustering on Principal Components. By combining these maps, weighted according to their cluster characteristics, we generated a map of scientific-consensus regions with the highest overlap of independently generated biodiversity priorities. We also created a map of policy-consensus, representing regions with the highest potential to attract the interest of the international conservation organizations. While regions with the highest science-policy biodiversity consensus value are mostly located in the tropics, we found several regions in temperate areas. Alarmingly, less than one third of the top-ranked science-policy consensus regions are currently protected. Thus, there is high potential for targeting area-based conservation interventions in regions that represent consensus priorities for biodiversity conservation and have high potential for policy support. Securing these areas should be a strategic priority for implementing the post-2020 Framework of the Convention on Biological Diversity, as focusing on other areas will lead to trade-offs among multiple biodiversity objectives.</t>
  </si>
  <si>
    <t>[Cimatti, Marta; Di Marco, Moreno] Sapienza Univ Rome, Dept Biol &amp; Biotechnol Charles Darwin, Viale Univ 32, I-00185 Rome, Italy; [Brooks, Thomas M.] Int Union Conservat Nat, Rue Mauverney 28, CH-1196 Gland, Switzerland; [Brooks, Thomas M.] Univ Philippines Los Banos, World Agroforestry Ctr ICRAF, Los Banos, Laguna, Philippines; [Brooks, Thomas M.] Univ Tasmania, Inst Marine &amp; Antarctic Studies, Hobart, Tas, Australia</t>
  </si>
  <si>
    <t>Sapienza University Rome; CGIAR; World Agroforestry (ICRAF); University of the Philippines System; University of the Philippines Los Banos; University of Tasmania</t>
  </si>
  <si>
    <t>Cimatti, M (corresponding author), Sapienza Univ Rome, Dept Biol &amp; Biotechnol Charles Darwin, Viale Univ 32, I-00185 Rome, Italy.</t>
  </si>
  <si>
    <t>marta.cimatti@uniroma1.it</t>
  </si>
  <si>
    <t>Cimatti, Marta/JDM-3353-2023; Di Marco, Moreno/J-4285-2012</t>
  </si>
  <si>
    <t>Di Marco, Moreno/0000-0002-8902-4193; Cimatti, Marta/0000-0002-5477-4664</t>
  </si>
  <si>
    <t>MIUR Rita Levi Montalcini program</t>
  </si>
  <si>
    <t>MDM acknowledges support from the MIUR Rita Levi Montalcini program.</t>
  </si>
  <si>
    <t>e01938</t>
  </si>
  <si>
    <t>10.1016/j.gecco.2021.e01938</t>
  </si>
  <si>
    <t>XV3ZG</t>
  </si>
  <si>
    <t>WOS:000734883400003</t>
  </si>
  <si>
    <t>Cooper, EL; Thorndycraft, VR; Davies, BJ; Palmer, AP; García, JL</t>
  </si>
  <si>
    <t>Cooper, Emma-Louise; Thorndycraft, Varyl R.; Davies, Bethan J.; Palmer, Adrian P.; Garcia, Juan-Luis</t>
  </si>
  <si>
    <t>Glacial geomorphology of the former Patagonian Ice Sheet (44-46 °S)</t>
  </si>
  <si>
    <t>JOURNAL OF MAPS</t>
  </si>
  <si>
    <t>Glaciers; Patagonia; glacial landforms; geographic information system</t>
  </si>
  <si>
    <t>LAGO BUENOS-AIRES; COSMOGENIC NUCLIDE CHRONOLOGY; PACIFIC DRAINAGE REVERSALS; ANTARCTIC COLD REVERSAL; LAKE EVOLUTION; DEGLACIATION; HISTORY; DYNAMICS; ARGENTINA; MORAINES</t>
  </si>
  <si>
    <t>We map the glacial geomorphology of the former Patagonian Ice Sheet between 44 degrees S and 46 degrees S. Building on previous work, our map covers a similar to 50,000 km(2) region of west-central Patagonia. The study area includes the eastward-flowing Rio Pico, Rio Caceres, Rio Cisnes, Lago Plata-Fontana, El Toqui, Lago Coyt/Rio Nirehuao, Simpson/Paso Coyhaique, and Balmaceda palaeo-outlet glaciers, adjacent valleys, and the Andean Cordillera. The inventory contains &gt;70,000 individual landforms mapped from remotely-sensed imagery and field surveys. Mapping was classified into ice-marginal (e.g. moraine ridges, trimlines), subglacial (e.g. glacial lineations, flutes), glaciolacustrine (e.g. palaeolake shorelines, perched deltas), glaciofluvial (e.g. proglacial outwash plains, meltwater channels), and non-glacial (e.g. palaeochannels, landslides or slumps) landform groups. The new map will inform future interpretations of regional glacier dynamics, and the development of robust geochronological datasets that test the timing of glaciation and deglaciation.</t>
  </si>
  <si>
    <t>[Cooper, Emma-Louise; Thorndycraft, Varyl R.; Davies, Bethan J.; Palmer, Adrian P.] Royal Holloway Univ London, Dept Geog, Ctr Quaternary Res, Egham TW20 0EX, Surrey, England; [Garcia, Juan-Luis] Pontificia Univ Catolica Chile, Inst Geog, Fac Hist Geog &amp; Ciencia Polit, Santiago, Chile</t>
  </si>
  <si>
    <t>University of London; Royal Holloway University London; Pontificia Universidad Catolica de Chile</t>
  </si>
  <si>
    <t>Cooper, EL (corresponding author), Royal Holloway Univ London, Dept Geog, Ctr Quaternary Res, Egham TW20 0EX, Surrey, England.</t>
  </si>
  <si>
    <t>emma.cooper.2013@live.rhul.ac.uk</t>
  </si>
  <si>
    <t>Davies, Bethan/KFR-3266-2024; Garcia-Barriga, Juan-Luis/U-6381-2017</t>
  </si>
  <si>
    <t>Davies, Bethan/0000-0002-8636-1813; Palmer, Adrian/0000-0001-8069-3932; Cooper, Emma-Louise/0000-0002-3323-5784; Garcia-Barriga, Juan-Luis/0000-0002-9028-7572</t>
  </si>
  <si>
    <t>London Natural Environment Research Council (NERC) Doctoral Training Partnership [NE/L002485/1]; Fondo Nacional de Desarrollo Cientifico y Tecnologico (FONDECYT) [1161110]</t>
  </si>
  <si>
    <t>London Natural Environment Research Council (NERC) Doctoral Training Partnership(UK Research &amp; Innovation (UKRI)Natural Environment Research Council (NERC)); Fondo Nacional de Desarrollo Cientifico y Tecnologico (FONDECYT)(Comision Nacional de Investigacion Cientifica y Tecnologica (CONICYT)CONICYT FONDECYT)</t>
  </si>
  <si>
    <t>This work was supported through a PhD studentship funded by the London Natural Environment Research Council (NERC) Doctoral Training Partnership under Grant number [NE/L002485/1]. Juan-Luis Garcia thanks the Fondo Nacional de Desarrollo Cientifico y Tecnologico (FONDECYT) for grant [#1161110].</t>
  </si>
  <si>
    <t>1744-5647</t>
  </si>
  <si>
    <t>J MAPS</t>
  </si>
  <si>
    <t>J. Maps</t>
  </si>
  <si>
    <t>10.1080/17445647.2021.1986158</t>
  </si>
  <si>
    <t>XU7RT</t>
  </si>
  <si>
    <t>WOS:000734457800001</t>
  </si>
  <si>
    <t>Artemyev, A; Zimovets, I; Sharykin, I; Nishimura, Y; Downs, C; Weygand, J; Fiori, R; Zhang, XJ; Runov, A; Velli, M; Angelopoulos, V; Panasenco, O; Russell, CT; Miyoshi, Y; Kasahara, S; Matsuoka, A; Yokota, S; Keika, K; Hori, T; Kazama, Y; Wang, SY; Shinohara, I; Ogawa, Y</t>
  </si>
  <si>
    <t>Artemyev, Anton; Zimovets, Ivan; Sharykin, Ivan; Nishimura, Yukitoshi; Downs, Cooper; Weygand, James; Fiori, Robyn; Zhang, Xiao-Jia; Runov, Andrei; Velli, Marco; Angelopoulos, Vassilis; Panasenco, Olga; Russell, Christopher T.; Miyoshi, Yoshizumi; Kasahara, Satoshi; Matsuoka, Ayako; Yokota, Shoichiro; Keika, Kunihiro; Hori, Tomoaki; Kazama, Yoichi; Wang, Shiang-Yu; Shinohara, Iku; Ogawa, Yasunobu</t>
  </si>
  <si>
    <t>Comparative Study of Electric Currents and Energetic Particle Fluxes in a Solar Flare and Earth Magnetospheric Substorm</t>
  </si>
  <si>
    <t>CORONAL MAGNETIC-FIELD; KINETIC ALFVEN WAVES; OF-FLIGHT DISTANCES; DIPOLARIZATION FRONTS; ACTIVE-REGION; MAGNETOMETER ARRAY; MICROWAVE EMISSION; CURRENT SHEETS; PLASMA SHEET; ACCELERATION</t>
  </si>
  <si>
    <t>Magnetic field line reconnection is a universal plasma process responsible for the conversion of magnetic field energy to plasma heating and charged particle acceleration. Solar flares and Earth's magnetospheric substorms are two of the most investigated dynamical systems where global magnetic field reconfiguration is accompanied by energization of plasma populations. Such a reconfiguration includes formation of a long-living current system connecting the primary energy release region and cold dense conductive plasma of the photosphere/ionosphere. In both flares and substorms the evolution of this current system correlates with the formation and dynamics of energetic particle fluxes (although energy ranges can be different for these systems). Our study is focused on the similarity between flares and substorms. Using a wide range of data sets available for flare and substorm investigations, we qualitatively compare the dynamics of currents and energetic particle fluxes for one flare and one substorm. We show that there is a clear correlation between energetic particle precipitations (associated with energy release due to magnetic reconnection seen from riometer and hard X-ray measurements) and magnetic field reconfiguration/formation of the current system, whereas the long-term current system evolution correlates better with hot plasma fluxes (seen from in situ and soft X-ray measurements). We then discuss how data sets of in situ measurements of magnetospheric substorms can help interpret solar flare data.</t>
  </si>
  <si>
    <t>[Artemyev, Anton; Weygand, James; Zhang, Xiao-Jia; Runov, Andrei; Velli, Marco; Angelopoulos, Vassilis; Russell, Christopher T.] Univ Calif Los Angeles, Dept Earth Planetary &amp; Space Sci, Los Angeles, CA 90024 USA; [Artemyev, Anton; Weygand, James; Zhang, Xiao-Jia; Runov, Andrei; Velli, Marco; Angelopoulos, Vassilis; Russell, Christopher T.] Univ Calif Los Angeles, Inst Geophys &amp; Planetary Phys, Los Angeles, CA 90024 USA; [Artemyev, Anton; Zimovets, Ivan; Sharykin, Ivan] RAS, Space Res Inst, Moscow 117997, Russia; [Nishimura, Yukitoshi] Boston Univ, Dept Elect &amp; Comp Engn, Boston, MA 02215 USA; [Nishimura, Yukitoshi] Boston Univ, Ctr Space Sci, Boston, MA 02215 USA; [Downs, Cooper] Predict Sci Inc, San Diego, CA 92121 USA; [Fiori, Robyn] Nat Resources Canada, Canadian Hazards Informat Serv, Ottawa, ON K1A 0E4, Canada; [Panasenco, Olga] Adv Heliophys, Pasadena, CA 91106 USA; [Miyoshi, Yoshizumi; Hori, Tomoaki] Nagoya Univ, ISEE, Nagoya, Aichi 4648601, Japan; [Kasahara, Satoshi; Keika, Kunihiro] Univ Tokyo, Sch Sci, Dept Earth &amp; Planetary Sci, Tokyo 1138654, Japan; [Matsuoka, Ayako] Japan Aerosp Explorat Agcy, Inst Space &amp; Astronaut Sci, Sagamihara, Kanagawa 2525210, Japan; [Yokota, Shoichiro] Osaka Univ, Machikaneyama Cho, Toyonaka, Osaka 5600043, Japan; [Kazama, Yoichi; Wang, Shiang-Yu] Acad Sinica, Inst Astron &amp; Astrophys, 1 Sec Roosevelt Rd, Taipei 10617, Taiwan; [Shinohara, Iku] JAXA, ISAS, Sagamihara, Kanagawa 2520222, Japan; [Ogawa, Yasunobu] Natl Inst Polar Res, Tokyo 1908518, Japan</t>
  </si>
  <si>
    <t>University of California System; University of California Los Angeles; University of California System; University of California Los Angeles; Russian Academy of Sciences; Space Research Institute of the Russian Academy of Sciences; Boston University; Boston University; Predictive Science Inc.; Natural Resources Canada; Nagoya University; University of Tokyo; Japan Aerospace Exploration Agency (JAXA); Institute of Space &amp; Astronautical Science (ISAS); Osaka University; Academia Sinica - Taiwan; Japan Aerospace Exploration Agency (JAXA); Institute of Space &amp; Astronautical Science (ISAS); Research Organization of Information &amp; Systems (ROIS); National Institute of Polar Research (NIPR) - Japan</t>
  </si>
  <si>
    <t>Artemyev, A (corresponding author), Univ Calif Los Angeles, Dept Earth Planetary &amp; Space Sci, Los Angeles, CA 90024 USA.;Artemyev, A (corresponding author), Univ Calif Los Angeles, Inst Geophys &amp; Planetary Phys, Los Angeles, CA 90024 USA.;Artemyev, A (corresponding author), RAS, Space Res Inst, Moscow 117997, Russia.</t>
  </si>
  <si>
    <t>aartemyev@igpp.ucla.edu</t>
  </si>
  <si>
    <t>Russell, Christopher T/E-7745-2012; Miyoshi, Yoshizumi/T-5748-2019; Zimovets, Ivan/AAJ-4117-2020; Kazama, Yusuke/L-7253-2015; Wang, Shiang-Yu/AAZ-2695-2020</t>
  </si>
  <si>
    <t>Miyoshi, Yoshizumi/0000-0001-7998-1240; Zimovets, Ivan/0000-0001-6995-3684; Wang, Shiang-Yu/0000-0001-6491-1901; Zhang, Xiao-Jia/0000-0002-4185-5465; Keika, Kunihiro/0000-0003-0265-4318; Angelopoulos, Vassilis/0000-0001-7024-1561</t>
  </si>
  <si>
    <t>Russian Science Foundation [17-72-20134]; NASA [NAS502099, 80NSSC 18K0657, 80NSSC20K0725]; NASA DRIVE SCIENCE CENTER HERMES grant [80NSSC20K0604]; NSF [AGS-1907698, ANT-1643700]; AFOSR [FA9559-16-1-0364]; Ministry of Education, Culture, Sports, Science and Technology, Japan Society for the Promotion of Science (JSPS) [19H01949, 20H01957]; Japanese Antarctic Research Expedition program; Grants-in-Aid for Scientific Research [20H01957, 19H01949] Funding Source: KAKEN</t>
  </si>
  <si>
    <t>Russian Science Foundation(Russian Science Foundation (RSF)); NASA(National Aeronautics &amp; Space Administration (NASA)); NASA DRIVE SCIENCE CENTER HERMES grant; NSF(National Science Foundation (NSF)); AFOSR(United States Department of DefenseAir Force Office of Scientific Research (AFOSR)); Ministry of Education, Culture, Sports, Science and Technology, Japan Society for the Promotion of Science (JSPS); Japanese Antarctic Research Expedition program; Grants-in-Aid for Scientific Research(Ministry of Education, Culture, Sports, Science and Technology, Japan (MEXT)Japan Society for the Promotion of ScienceGrants-in-Aid for Scientific Research (KAKENHI))</t>
  </si>
  <si>
    <t>The work is supported by the Russian Science Foundation grant No. 17-72-20134 (I.Z., I.S.; Section 3.2), NASA contract NAS502099 (A.A., A.R., V.A., X.Z.), NASA DRIVE SCIENCE CENTER HERMES grant No. 80NSSC20K0604 (A.A., A.R., Y.N., C.D., M.V., O.P.), NASA grants 80NSSC 18K0657 and 80NSSC20K0725, NSF grant AGS-1907698, and AFOSR grant FA9559-16-1-0364 (Y.N.). This is Natural Resources Canada's publication 20210341 (R.F.). Part of this work (K.K.) was supported by the Ministry of Education, Culture, Sports, Science and Technology, Japan Society for the Promotion of Science (JSPS), Grant-in-Aid for Scientific Research (B) (19H01949, 20H01957).; The all-sky imager at the South Pole is supported by NSF ANT-1643700 and the Japanese Antarctic Research Expedition program.</t>
  </si>
  <si>
    <t>10.3847/1538-4357/ac2dfc</t>
  </si>
  <si>
    <t>XP9HJ</t>
  </si>
  <si>
    <t>WOS:000731168600001</t>
  </si>
  <si>
    <t>Yamagata, H; Kochii, S; Yoshida, H; Nogi, Y; Maki, T</t>
  </si>
  <si>
    <t>Yamagata, Hirokazu; Kochii, Shuma; Yoshida, Hiroshi; Nogi, Yoshifumi; Maki, Toshihiro</t>
  </si>
  <si>
    <t>Development of AUV MONACA - Hover-Capable Platform for Detailed Observation Under Ice -</t>
  </si>
  <si>
    <t>JOURNAL OF ROBOTICS AND MECHATRONICS</t>
  </si>
  <si>
    <t>autonomous underwater vehicle (AUV); under-ice survey; Antarctica</t>
  </si>
  <si>
    <t>LINE</t>
  </si>
  <si>
    <t>The melting of ice and changes in ocean currents in Antarctica must be investigated to understand global climate change. In this regard, the volume changes of sea ice and ice shelves, bathymetry, and ocean currents in the Antarctic Ocean must be measured in three dimensions. Therefore, the use of autonomous underwater vehicles (AUVs), which can directly observe under ice, is being considered. The authors developed an AUV named Mobility Oriented Nadir AntarctiC Adventurer (MONACA) to observe sea ice and the lower region of the ice shelf in the Antarctic Ocean. Herein, we describe MONACA and its basic autonomous navigation methods (altitude control, depth control, and waypoint tracking), as well as report the results of a sea experiment conducted in Shimoda Bay, Japan. During the 5-day sea trial, the MONACA successfully measured bathymetry by tracking 15 waypoints in sequence, switching the control criteria in the z-axis direction between 3 m depth and 3 m altitude.</t>
  </si>
  <si>
    <t>[Yamagata, Hirokazu; Kochii, Shuma; Maki, Toshihiro] Univ Tokyo, Inst Ind Sci, Meguro Ku, 4-6-1 Komaba, Tokyo 1538505, Japan; [Yoshida, Hiroshi] Japan Agcy Marine Earth Sci &amp; Technol JAMSTEC, 2-15 Natsushima Cho, Yokosuka, Kanagawa 2370061, Japan; [Nogi, Yoshifumi] Natl Inst Polar Res NIPR, 10-3 Midori Cho, Tachikawa, Tokyo 1908518, Japan; [Nogi, Yoshifumi] Grad Univ Adv Studies SOKENDAI, Dept Polar Sci, Sch Multidisciplinary Sci, 10-3 Midori Cho, Tachikawa, Tokyo 1908518, Japan</t>
  </si>
  <si>
    <t>University of Tokyo; Japan Agency for Marine-Earth Science &amp; Technology (JAMSTEC); Research Organization of Information &amp; Systems (ROIS); National Institute of Polar Research (NIPR) - Japan; Graduate University for Advanced Studies - Japan</t>
  </si>
  <si>
    <t>Yamagata, H (corresponding author), Univ Tokyo, Inst Ind Sci, Meguro Ku, 4-6-1 Komaba, Tokyo 1538505, Japan.</t>
  </si>
  <si>
    <t>yamagat@iis.u-tokyo.ac.jp</t>
  </si>
  <si>
    <t>JSPS KAKENHI [4902]; Grants-in-Aid for Scientific Research [4902] Funding Source: KAKEN</t>
  </si>
  <si>
    <t>This study was supported by JSPS KAKENHI, Grant-in-Aid for Scientific Research on Innovative Areas No. 4902 Giant reservoirs of heat-water-material: Global environmental changes driven by the Southern Ocean and the Antarctic ice sheet. We would like to thank Mr. Daisuke Shibata and other staff at the Shimoda Waterfront Research Center, University of Tsukuba, and Mr. Kenji Okuma and Mr. Takashi Sakamaki at the Institute of Industrial Science, The University of Tokyo, for their assistance with the sea experiments.</t>
  </si>
  <si>
    <t>FUJI TECHNOLOGY PRESS LTD</t>
  </si>
  <si>
    <t>1-15-7, UCHIKANDA, CHIYODA-KU, UNIZO UCHIKANDA 1-CHOME BLDG 2F, TOKYO, 101-0047, JAPAN</t>
  </si>
  <si>
    <t>0915-3942</t>
  </si>
  <si>
    <t>1883-8049</t>
  </si>
  <si>
    <t>J ROBOT MECHATRON</t>
  </si>
  <si>
    <t>J. Robot. Mechatron.</t>
  </si>
  <si>
    <t>10.20965/jrm.2021.p1223</t>
  </si>
  <si>
    <t>Robotics</t>
  </si>
  <si>
    <t>XQ7YR</t>
  </si>
  <si>
    <t>WOS:000731760400003</t>
  </si>
  <si>
    <t>van Putten, I; Ison, S; Cvitanovic, C; Hobday, AJ; Thomas, L</t>
  </si>
  <si>
    <t>van Putten, Ingrid; Ison, Sierra; Cvitanovic, Christopher; Hobday, Alistair J.; Thomas, Linda</t>
  </si>
  <si>
    <t>Who has influence?: The role of trust and communication in the conservation of flatback turtles in Western Australia</t>
  </si>
  <si>
    <t>REGIONAL STUDIES IN MARINE SCIENCE</t>
  </si>
  <si>
    <t>Communities; Conservation; Turtles; Stakeholders; Objectives</t>
  </si>
  <si>
    <t>SOCIAL NETWORK ANALYSIS; KNOWLEDGE EXCHANGE; STAKEHOLDER ANALYSIS; SCIENCE; COLLABORATION; ADAPTATION; ENGAGEMENT; MANAGERS; BENEFITS; SYSTEMS</t>
  </si>
  <si>
    <t>Conservation programs are traditionally built on an understanding of the ecology and biology of the animal and plant species they aim to protect. They also frequently rely on the engagement of stakeholders to positively influence program outcomes. Trust and clear communication between the managers, decision-makers, and the different stakeholders is considered key to program success. Here we describe the relationships between influence, trust, and communication within a large-scale collaborative marine turtle (Natator depressus) conservation program in Western Australia. Based on interview data, we find that trust vested in individuals (rather than in their role) across the network of people is essential. Trusted individuals have a greater perceived ability to influence turtle conservation program outcomes. High levels of trust and frequent meaningful communication go together. Communication is critical in working across the large remote region in Western Australia and in nurturing connections to Indigenous groups and industry. Nevertheless, individuals who were less trusted by others in the networks can also exert influence through the formal role they have in the program, or wield personal influence, and thus be integral in planning and goal setting to achieve program goals. Our results also show that in the case of flatback turtles, Indigenous groups have significantly more personal influence on program goals and success than any other stakeholder groups. Our study shows that investing in building relationships and trust between a network of stakeholders is an integral and essential part of reaching goals and achieving outcomes in marine conservation programs. Direct communication has a positive impact and helps build these trusted relationships. For conservation managers, developing trusted relationships with stakeholders should stand alongside developing ecologically sustainable pathways to species conservation. The greatest chance of improving future conservation outcomes is when trusted stakeholder relationships and ecological solutions are considered together. (C) 2021 Published by Elsevier B.V.</t>
  </si>
  <si>
    <t>[van Putten, Ingrid; Hobday, Alistair J.; Thomas, Linda] CSIRO Oceans &amp; Atmosphere, Hobart, Tas, Australia; [van Putten, Ingrid; Ison, Sierra; Hobday, Alistair J.] Univ Tasmania, Ctr Marine Socioecol, Hobart, Tas, Australia; [Cvitanovic, Christopher] Australian Natl Univ, Australian Natl Ctr Publ Awareness Sci, Canberra, ACT, Australia; [Ison, Sierra] Univ Tasmania, Inst Marine &amp; Antarctic Studies, Hobart, Tas, Australia</t>
  </si>
  <si>
    <t>Commonwealth Scientific &amp; Industrial Research Organisation (CSIRO); University of Tasmania; Australian National University; University of Tasmania</t>
  </si>
  <si>
    <t>van Putten, I (corresponding author), CSIRO Oceans &amp; Atmosphere, Hobart, Tas, Australia.</t>
  </si>
  <si>
    <t>ingrid.vanputten@csiro.au</t>
  </si>
  <si>
    <t>Hobday, Alistair/A-1460-2012; Thomas, Linda/Q-2521-2018</t>
  </si>
  <si>
    <t>Thomas, Linda/0000-0001-8989-8109</t>
  </si>
  <si>
    <t>North West Shelf Flatback Turtle Conservation Program (NWSFTCP); CSIRO, Australia</t>
  </si>
  <si>
    <t>North West Shelf Flatback Turtle Conservation Program (NWSFTCP); CSIRO, Australia(Commonwealth Scientific &amp; Industrial Research Organisation (CSIRO))</t>
  </si>
  <si>
    <t>We thank all respondents who participated in the interviews. This work was supported by funding from the North West Shelf Flatback Turtle Conservation Program (NWSFTCP) and the CSIRO, Australia. We also thank the two anonymous reviewers who provided constructive feedback that helped to improve this paper.</t>
  </si>
  <si>
    <t>2352-4855</t>
  </si>
  <si>
    <t>REG STUD MAR SCI</t>
  </si>
  <si>
    <t>Reg. Stud. Mar. Sci.</t>
  </si>
  <si>
    <t>10.1016/j.rsma.2021.102080</t>
  </si>
  <si>
    <t>Ecology; Marine &amp; Freshwater Biology</t>
  </si>
  <si>
    <t>XQ3ZP</t>
  </si>
  <si>
    <t>WOS:000731486400007</t>
  </si>
  <si>
    <t>Zhu, K; Moynier, F; Alexander, CMO; Davidson, J; Schrader, DL; Zhu, JM; Wu, GL; Schiller, M; Bizzarro, M; Becker, H</t>
  </si>
  <si>
    <t>Zhu, Ke; Moynier, Frederic; Alexander, Conel M. O'D; Davidson, Jemma; Schrader, Devin L.; Zhu, Jian-Ming; Wu, Guang-Liang; Schiller, Martin; Bizzarro, Martin; Becker, Harry</t>
  </si>
  <si>
    <t>Chromium Stable Isotope Panorama of Chondrites and Implications for Earth Early Accretion</t>
  </si>
  <si>
    <t>SOLAR NEBULA; CHEMICAL-COMPOSITION; OXYGEN ISOTOPES; PARENT BODIES; COMPOSITIONAL CLASSIFICATION; CONDENSATION TEMPERATURES; PROTOPLANETARY DISK; SILICON ISOTOPES; BUILDING-BLOCKS; TRACE-ELEMENTS</t>
  </si>
  <si>
    <t>We investigated the stable isotope fractionation of chromium (Cr) for a panorama of chondrites, including EH and EL enstatite chondrites and their chondrules and different phases (by acid leaching). We observed that chondrites have heterogeneous delta Cr-53 values (per mil deviation of the Cr-53/Cr-52 from the NIST SRM 979 standard), which we suggest reflect different physical conditions in the different chondrite accretion regions. Chondrules from a primitive EH3 chondrite (SAH 97096) possess isotopically heavier Cr relative to their host bulk chondrite, which may be caused by Cr evaporation in a reduced chondrule-forming region of the protoplanetary disk. Enstatite chondrites show a range of bulk delta Cr-53 values that likely result from variable mixing of isotopically different sulfide-silicate-metal phases. The bulk silicate Earth (delta Cr-53 = -0.12 +/- 0.02 parts per thousand, 2SE) has a lighter Cr stable isotope composition compared to the average delta Cr-53 value of enstatite chondrites (-0.05 +/- 0.02 parts per thousand, 2SE, when two samples out of 19 are excluded). If the bulk Earth originally had a Cr isotopic composition that was similar to the average enstatite chondrites, this Cr isotope difference may be caused by evaporation under equilibrium conditions from magma oceans on Earth or its planetesimal building blocks, as previously suggested to explain the magnesium and silicon isotope differences between Earth and enstatite chondrites. Alternatively, chemical differences between Earth and enstatite chondrite can result from thermal processes in the solar nebula and the enstatite chondrite-Earth, which would also have changed the Cr isotopic composition of Earth and enstatite chondrite parent body precursors.</t>
  </si>
  <si>
    <t>[Zhu, Ke; Moynier, Frederic] Univ Paris, Inst Phys Globe Paris, CNRS, UMR 7154, 1 Rue Jussieu, F-75005 Paris, France; [Zhu, Ke; Becker, Harry] Free Univ Berlin, Inst Geol Wissensch, Malteserstr 74-100, D-12249 Berlin, Germany; [Alexander, Conel M. O'D] Carnegie Inst Sci, Earth &amp; Planetary Lab, 5241 Broad Branch Rd, Washington, DC 20015 USA; [Davidson, Jemma; Schrader, Devin L.] Arizona State Univ, Ctr Meteorite Studies, Sch Earth &amp; Space Explorat, 781 East Terrace Rd, Tempe, AZ 85287 USA; [Zhu, Jian-Ming; Wu, Guang-Liang] China Univ Geosci Beijing, State Key Lab Geol Proc &amp; Mineral Resources, Beijing 100083, Peoples R China; [Schiller, Martin; Bizzarro, Martin] Univ Copenhagen, Ctr Star &amp; Planet Format, Globe Inst, Oster Voldgade 5-7, DK-1350 Copenhagen, Denmark</t>
  </si>
  <si>
    <t>Centre National de la Recherche Scientifique (CNRS); CNRS - National Institute for Earth Sciences &amp; Astronomy (INSU); Universite Paris Cite; Free University of Berlin; Carnegie Institution for Science; Arizona State University; Arizona State University-Tempe; China University of Geosciences; University of Copenhagen</t>
  </si>
  <si>
    <t>Zhu, K (corresponding author), Univ Paris, Inst Phys Globe Paris, CNRS, UMR 7154, 1 Rue Jussieu, F-75005 Paris, France.;Zhu, K (corresponding author), Free Univ Berlin, Inst Geol Wissensch, Malteserstr 74-100, D-12249 Berlin, Germany.</t>
  </si>
  <si>
    <t>zhuke618@foxmail.com</t>
  </si>
  <si>
    <t>Moynier, Frederic/AAH-1235-2022; Moynier, Frederic/AFL-9257-2022; Schiller, Martin/E-8054-2010; ZHU, Ke/P-4849-2019; Schrader, Devin L/H-6293-2012; Alexander, Conel M. O'D./N-7533-2013; Bizzarro, Martin/I-8701-2012</t>
  </si>
  <si>
    <t>Moynier, Frederic/0000-0003-4321-5581; Moynier, Frederic/0000-0003-4321-5581; Schiller, Martin/0000-0003-4149-0627; ZHU, Ke/0000-0003-3613-7239; Alexander, Conel M. O'D./0000-0002-8558-1427; Bizzarro, Martin/0000-0001-9966-2124; Schrader, Devin/0000-0001-5282-232X</t>
  </si>
  <si>
    <t>Alexander von Humboldt Foundation; China Scholarship Council (CSC) [201706340161]; European Research Council under the H2020 framework program/ERC Starting Grant Agreement [637503-PRISTINE]; UnivEarthS Labex program at Sorbonne Paris Cite [ANR-10-LABX-0023, ANR11-IDEX-0005-02]; ANR through a chaire d'excellence Sorbonne Paris Cite; IPGP multidisciplinary program PARI; Region ile-deFrance SESAME grants [12015908, EX047016]; IdEx Universite de Paris grant [ANR-18-IDEX-0001]; DIM ACAV+; Deutsche Forschungsgemeinschaft (DFG, German Research Foundation) [263649064-TRR 170]; NSF; NASA; [CRC-TRR 170]</t>
  </si>
  <si>
    <t>Alexander von Humboldt Foundation(Alexander von Humboldt Foundation); China Scholarship Council (CSC)(China Scholarship Council); European Research Council under the H2020 framework program/ERC Starting Grant Agreement(European Research Council (ERC)); UnivEarthS Labex program at Sorbonne Paris Cite; ANR through a chaire d'excellence Sorbonne Paris Cite(Agence Nationale de la Recherche (ANR)); IPGP multidisciplinary program PARI; Region ile-deFrance SESAME grants; IdEx Universite de Paris grant; DIM ACAV+; Deutsche Forschungsgemeinschaft (DFG, German Research Foundation)(German Research Foundation (DFG)); NSF(National Science Foundation (NSF)); NASA(National Aeronautics &amp; Space Administration (NASA));</t>
  </si>
  <si>
    <t>We thank Faith Vilas for editorial handling and two anonymous reviewers for constructive comments that greatly improve the quality of the paper. K. Z. thanks the Alexander von Humboldt Foundation for a postdoctoral fellowship, the China Scholarship Council (CSC) for a PhD fellowship (#201706340161), and guest fellowships from CRC-TRR 170 (host: Harry Becker) and Purple Mountain Observation, CAS (host: Weibiao Hsu and Yun Jiang) for during his stay in Berlin (fall 2020) and Nanjing (summer 2021), respectively. F. M. acknowledges funding from the European Research Council under the H2020 framework program/ERC Starting Grant Agreement (#637503-PRISTINE) and financial support of the UnivEarthS Labex program at Sorbonne Paris Cite (#ANR-10-LABX-0023 and #ANR11-IDEX-0005-02), and the ANR through a chaire d'excellence Sorbonne Paris Cite. Parts of this work were supported by IPGP multidisciplinary program PARI, by Region ile-de-France SESAME grants No. 12015908, EX047016 and the IdEx Universite de Paris grant, ANR-18-IDEX-0001 and the DIM ACAV+. Pierre Burckel and Pascale Louvat were appreciated for analysis on ICP-MS and MC-ICP-MS at IPGP, respectively, and Monika Feth, Maren Saenz, and Elis Hoffmann for help on the TIMS at FUB. H.B. is funded by the Deutsche Forschungsgemeinschaft (DFG, German Research Foundation-#263649064-TRR 170). Arizona State University's Center for Meteorite Studies is thanked for providing some of the samples analyzed in this work. US Antarctic meteorite samples were recovered by the Antarctic Search for Meteorites (ANSMET) program, which has been funded by NSF and NASA, and characterized and curated by the Department of Mineral Sciences of the Smithsonian Institution and the Astromaterials Acquisition and Curation Office at NASA Johnson Space Center. This is TRR 170 publication no. 143.</t>
  </si>
  <si>
    <t>10.3847/1538-4357/ac2570</t>
  </si>
  <si>
    <t>XO1XQ</t>
  </si>
  <si>
    <t>WOS:000729986400001</t>
  </si>
  <si>
    <t>Mortenson, E; Lenton, A; Shadwick, EH; Trull, TW; Chamberlain, MA; Zhang, XB</t>
  </si>
  <si>
    <t>Mortenson, Eric; Lenton, Andrew; Shadwick, Elizabeth H.; Trull, Thomas W.; Chamberlain, Matthew A.; Zhang, Xuebin</t>
  </si>
  <si>
    <t>Divergent trajectories of ocean warming and acidification</t>
  </si>
  <si>
    <t>climate change; ocean biogeochemical model; ocean warming and acidification</t>
  </si>
  <si>
    <t>SEA ICE MODEL; CARBON-DIOXIDE; ANTHROPOGENIC CARBON; CLIMATE; HEAT; CO2; UNCERTAINTIES; 21ST-CENTURY; CIRCULATION; PROJECTIONS</t>
  </si>
  <si>
    <t>The ocean provides a major sink for anthropogenic heat and carbon. This sink results in ocean changes through the dual stressors of warming and acidification which can negatively impact the health of the marine ecosystem. Projecting the ocean's future uptake is essential to understand and adapt to further climate change and its impact on the ocean. Historical ocean uptake of heat and CO2 are tightly correlated, but here we show the trajectories diverge over the 21st century. This divergence occurs regionally, increasing over time, resulting from the unique combination of physical and chemical drivers. We explored this relationship using a high-resolution ocean model and a 'business as usual' CO2 emission pathway, and demonstrate that the regional variability in the carbon-to-heat uptake ratios is more pronounced than for the subsequent carbon-to-heat storage (change in inventory) ratios, with a range of a factor of 30 (6) in heat-to-carbon uptake (storage) ratios among the defined regions. The regional differences in heat and carbon trajectories result in coherent regional patterns for sea surface warming and acidification by the end of this century. Relative to the mean global change (MGC) at the sea surface of 2.55 degrees C warming and a decrease of 0.32 in pH, the North Pacific will exceed the MGC for both warming and acidification, the Southern Ocean for acidification only, and the tropics and midlatitude northern hemisphere will exceed MGC only for warming. Regionally, mapping the ocean warming and acidification informs where the marine environment will experience larger changes in one or both. Globally, the projected ocean uptake of anthropogenic heat and carbon informs the degree to which the ocean can continue to serve as a sink for both into the future.</t>
  </si>
  <si>
    <t>[Mortenson, Eric; Lenton, Andrew; Shadwick, Elizabeth H.; Trull, Thomas W.; Chamberlain, Matthew A.; Zhang, Xuebin] CSIRO Oceans &amp; Atmosphere, Hobart, Tas, Australia; [Lenton, Andrew; Shadwick, Elizabeth H.] Univ Tasmania, Australian Antarctic Program Partnership AAPP, Hobart, Tas, Australia; [Lenton, Andrew; Shadwick, Elizabeth H.; Zhang, Xuebin] Ctr Southern Hemisphere Oceans Res CSHOR, Hobart, Tas, Australia</t>
  </si>
  <si>
    <t>Mortenson, E (corresponding author), CSIRO Oceans &amp; Atmosphere, Hobart, Tas, Australia.</t>
  </si>
  <si>
    <t>ericthemort@gmail.com</t>
  </si>
  <si>
    <t>Zhang, Xuebin/A-3405-2012; Chamberlain, Matthew/D-4805-2012; Lenton, Andrew/D-2077-2012</t>
  </si>
  <si>
    <t>Zhang, Xuebin/0000-0003-1731-3524; Mortenson, Eric/0000-0002-3282-4974; Lenton, Andrew/0000-0001-9437-8896; Chamberlain, Matthew/0000-0002-3287-3282</t>
  </si>
  <si>
    <t>Centre for Southern Hemisphere Oceans Research (CSHOR); Commonwealth Scientific and Industrial Research Organisation (CSIRO); Qingdao National Laboratory for Marine Science; Australian Antarctic Program Partnership through the Australian Government's Antarctic Science Collaboration Initiative</t>
  </si>
  <si>
    <t>Centre for Southern Hemisphere Oceans Research (CSHOR); Commonwealth Scientific and Industrial Research Organisation (CSIRO)(Commonwealth Scientific &amp; Industrial Research Organisation (CSIRO)); Qingdao National Laboratory for Marine Science; Australian Antarctic Program Partnership through the Australian Government's Antarctic Science Collaboration Initiative</t>
  </si>
  <si>
    <t>We would like to acknowledge the assistance of Richard Matear, Philip Boyd, and Tyler Rohr in the development of this manuscript. We would also like to express thanks to the anonymous reviewers for their comments and advice. This research was supported by the Centre for Southern Hemisphere Oceans Research (CSHOR), a partnership between the Commonwealth Scientific and Industrial Research Organisation (CSIRO) and the Qingdao National Laboratory for Marine Science; and the Australian Antarctic Program Partnership through the Australian Government's Antarctic Science Collaboration Initiative.</t>
  </si>
  <si>
    <t>10.1088/1748-9326/ac3d57</t>
  </si>
  <si>
    <t>XO1TJ</t>
  </si>
  <si>
    <t>WOS:000729975200001</t>
  </si>
  <si>
    <t>Kirkham, JD; Hogan, KA; Larter, RD; Self, E; Games, K; Huuse, M; Stewart, MA; Ottesen, D; Arnold, NS; Dowdeswell, JA</t>
  </si>
  <si>
    <t>Kirkham, James D.; Hogan, Kelly A.; Larter, Robert D.; Self, Ed; Games, Ken; Huuse, Mads; Stewart, Margaret A.; Ottesen, Dag; Arnold, Neil S.; Dowdeswell, Julian A.</t>
  </si>
  <si>
    <t>Tunnel valley infill and genesis revealed by high-resolution 3-D seismic data</t>
  </si>
  <si>
    <t>GEOLOGY</t>
  </si>
  <si>
    <t>NORTH-SEA; ICE-SHEET; SUBGLACIAL DRAINAGE; ESKER FORMATION; BASIN; CHANNELS; BENEATH</t>
  </si>
  <si>
    <t>Landforms produced beneath former ice sheets offer insights into inaccessible subglacial processes and present analogues for how current ice masses may evolve in a warming climate. Large subglacial channels cut by meltwater erosion (tunnel valleys [TVs]) have the potential to provide valuable empirical constraints for numerical ice-sheet models concerning realistic melt rates, water routing, and the interplay between basal hydrology and ice dynamics. However, the information gleaned from these features has thus far been limited by an inability to adequately resolve their internal structures. We use high-resolution three-dimensional (HR3-D) seismic data (6.25 m bin size, similar to 4 m vertical resolution) to analyze the infill of buried TVs in the North Sea. The HR3-D seismic data represent a step-change in our ability to investigate the mechanisms and rates at which TVs are formed and filled. Over 40% of the TVs examined contain buried glacial landforms including eskers, crevasse-squeeze ridges, glacitectonic structures, and kettle holes. As most of these landforms had not previously been detected using conventional 3-D seismic reflection methods, the mechanisms that formed them are currently absent from models of TV genesis. The ability to observe such intricate internal structures opens the possibility of using TVs to reconstruct the hydrological regimes of former mid-latitude ice sheets as analogues for contemporary ones.</t>
  </si>
  <si>
    <t>[Kirkham, James D.; Hogan, Kelly A.; Larter, Robert D.] British Antarctic Survey, Madingley Rd, Cambridge CB3 0ET, England; [Kirkham, James D.; Arnold, Neil S.; Dowdeswell, Julian A.] Univ Cambridge, Scott Polar Res Inst, Cambridge CB2 1ER, England; [Self, Ed; Games, Ken] Gardline Ltd, Hewett Rd, Great Yarmouth NR31 0NN, England; [Huuse, Mads] Univ Manchester, Dept Earth &amp; Environm Sci, Manchester M13 9PL, Lancs, England; [Stewart, Margaret A.] British Geol Survey, Lyell Ctr, Edinburgh EH14 4AP, Midlothian, Scotland; [Ottesen, Dag] Geol Survey Norway, POB 6315 Torgarden, N-7491 Trondheim, Norway</t>
  </si>
  <si>
    <t>UK Research &amp; Innovation (UKRI); Natural Environment Research Council (NERC); NERC British Antarctic Survey; University of Cambridge; University of Manchester; UK Research &amp; Innovation (UKRI); Natural Environment Research Council (NERC); NERC British Geological Survey; Geological Survey of Norway</t>
  </si>
  <si>
    <t>Kirkham, JD (corresponding author), British Antarctic Survey, Madingley Rd, Cambridge CB3 0ET, England.;Kirkham, JD (corresponding author), Univ Cambridge, Scott Polar Res Inst, Cambridge CB2 1ER, England.</t>
  </si>
  <si>
    <t>Arnold, Neil/AAI-2272-2021; Huuse, Mads/O-9960-2014</t>
  </si>
  <si>
    <t>Huuse, Mads/0000-0002-1766-4343</t>
  </si>
  <si>
    <t>Natural Environment Research Council [NE/L002507/1]; British Antarctic Survey Polar Science for Planet Earth programme; NERC [bgs06001] Funding Source: UKRI</t>
  </si>
  <si>
    <t>Natural Environment Research Council(UK Research &amp; Innovation (UKRI)Natural Environment Research Council (NERC)); British Antarctic Survey Polar Science for Planet Earth programme; NERC(UK Research &amp; Innovation (UKRI)Natural Environment Research Council (NERC))</t>
  </si>
  <si>
    <t>We thank bp, Harbour Energy, Equinor Energy AS, Lundin Energy Norway AS, Petoro AS, Aker BP ASA, Total E&amp;P Norge AS, and Petroleum Geo-Services for permission to publish images from the HR3-D seismic data and the Central North Sea MegaSurveyPlus. IHS and Schlumberger provided academic seismic inter-pretation software licenses. J. Kirkham is supported by Natural Environment Research Council grant NE/L002507/1. This research is supported by the Brit-ish Antarctic Survey Polar Science for Planet Earth programme. The interpretations made in this paper are the views of the authors and not necessarily those of the license owners. Sean Gulick, Benjamin Bell-wald, and Brian Todd are thanked for helpful reviews.</t>
  </si>
  <si>
    <t>0091-7613</t>
  </si>
  <si>
    <t>1943-2682</t>
  </si>
  <si>
    <t>10.1130/G49048.1</t>
  </si>
  <si>
    <t>XO2JN</t>
  </si>
  <si>
    <t>hybrid, Green Accepted, Green Submitted</t>
  </si>
  <si>
    <t>WOS:000730017300005</t>
  </si>
  <si>
    <t>Mariscal, CJL; Classen, L; Elorrieta, MAU; Kappes, A</t>
  </si>
  <si>
    <t>Mariscal, C. J. Lozano; Classen, L.; Elorrieta, M. A. Unland; Kappes, A.</t>
  </si>
  <si>
    <t>Sensitivity of multi-PMT optical modules in Antarctic ice to supernova neutrinos of MeV energy</t>
  </si>
  <si>
    <t>SIGNAL; 1987A; BURST</t>
  </si>
  <si>
    <t>New optical sensors with a segmented photosensitive area are being developed for the next generation of neutrino telescopes at the South Pole. In addition to increasing sensitivity to high-energy astrophysical neutrinos, we show that this will also lead to a significant improvement in sensitivity to MeV neutrinos, such as those produced in core-collapse supernovae (CCSN). These low-energy neutrinos can provide a detailed picture of the events after stellar core collapse, testing our understanding of these violent explosions. We present studies on the event-based detection of MeV neutrinos with a segmented sensor and, for the first time, the potential of a corresponding detector in the deep ice at the South Pole for the detection of extra-galactic CCSN. We find that exploiting temporal coincidences between signals in different photocathode segments, a 27 M-circle dot progenitor mass CCSN can be detected up to a distance of 341 kpc with a false detection rate of 0.01 year(-1) with a detector consisting of 10,000 sensors. Increasing the number of sensors to 20,000 and reducing the optical background by a factor of 70 expands the range such that a CCSN detection rate of 0.1 per year is achieved, while keeping the false detection rate at 0.01 year(-1).</t>
  </si>
  <si>
    <t>[Mariscal, C. J. Lozano; Classen, L.; Elorrieta, M. A. Unland; Kappes, A.] Westfalische Wilhelms Univ Munster, Inst Kernphys, Wilhelm Klemm Str 9, D-48149 Munster, Germany</t>
  </si>
  <si>
    <t>University of Munster</t>
  </si>
  <si>
    <t>Mariscal, CJL (corresponding author), Westfalische Wilhelms Univ Munster, Inst Kernphys, Wilhelm Klemm Str 9, D-48149 Munster, Germany.</t>
  </si>
  <si>
    <t>c.lozano@wwu.de</t>
  </si>
  <si>
    <t>Unland Elorrieta, Martin Antonio/0000-0002-6124-3255; Classen, Lew/0000-0001-9495-5892; Lozano Mariscal, Cristian Jesus/0000-0002-7159-493X; Kappes, Alexander/0000-0003-1315-3711</t>
  </si>
  <si>
    <t>German Bundesministerium fur Bildung und Forschung (BMBF) Verbundforschung Grant [05A20PM2]</t>
  </si>
  <si>
    <t>German Bundesministerium fur Bildung und Forschung (BMBF) Verbundforschung Grant(Federal Ministry of Education &amp; Research (BMBF))</t>
  </si>
  <si>
    <t>We kindly thank T. Hanka for providing the data for the CCSN neutrino fluxes and Segev BenZvi for valuable comments on the manuscript. This work was supported by the German Bundesministerium fur Bildung und Forschung (BMBF) Verbundforschung Grant 05A20PM2.</t>
  </si>
  <si>
    <t>10.1140/epjc/s10052-021-09809-y</t>
  </si>
  <si>
    <t>XG6BS</t>
  </si>
  <si>
    <t>WOS:000724836800001</t>
  </si>
  <si>
    <t>Nuzhyna, N; Kunakh, V; Poronnik, O; Parnikoza, I</t>
  </si>
  <si>
    <t>Nuzhyna, Nataliia; Kunakh, Viktor; Poronnik, Oksana; Parnikoza, Ivan</t>
  </si>
  <si>
    <t>Preservation of Features of Anatomical Polymorphism of Deschampsia antarctica E. Desv. (Poaceae) During In Vitro Clonal Reproduction</t>
  </si>
  <si>
    <t>ACTA AGROBOTANICA</t>
  </si>
  <si>
    <t>Antarctic hairgrass; different growth habitats; leaf structure; genetic diversity; adaptation</t>
  </si>
  <si>
    <t>We studied the anatomical features of the leaf structure of Deschampsia antarctica E. Desv. (Poaceae) obtained from seeds collected from different habitats of the maritime Antarctic. These plants have been maintained in culture in vitro for more than 7 years. The plants include stable chromosome forms comprising diploids (2n = 26), a diploid plant with B-chromosomes (2n = 26 + 0-3B), a triploid with rearranged chromosome morphology, and myxoploids with different ratios of diploid and nondiploid cells in the root meristem. The D. antarctica plants that were studied generally had a similar anatomical structure in culture in vitro and in nature. At the same time, plants of different cultivated genotypes also displayed their own leaf structure features. In particular, qualitative features included asymmetric four-ribs and five-rib leaves instead of typical three-rib leaves for some genotypes, some individuals characterized by the presence of unicellular nonglandular pointed trichomes on an adaxial side, differences in vascular bundle sheath, and other features. No clear dependence of the anatomical structural features on the chromosomal status of the studied genotypes was evident. At the same time, differences were evident in traits that included the number of stomata, thickness of the outer cell walls of the epidermis, bundles sheath state, number of leaf ribs, and the persistent presence of trichomes under prolonged in vitro cloning. The findings indicate that D. antarctica plants collected from different locations of the maritime Antarctic for long-term cultivation in vitro under standard cultivation conditions retain the anatomical characteristics of the wild plants. The polymorphism of in vitro-cultivated plants is not related to the polymorphism of their karyotype, but is apparently due to the heterogeneity of the original plants and possibly the epigenetic fixation of a number of anatomical features produced in the natural microhabitats of D. antarctica populations.</t>
  </si>
  <si>
    <t>[Nuzhyna, Nataliia] Taras Shevchenko Natl Univ Kyiv, ESC Inst Biol &amp; Med, Kiev, Ukraine; [Kunakh, Viktor; Poronnik, Oksana] Natl Acad Sci Ukraine, Inst Mol Biol &amp; Genet, Kiev, Ukraine; [Parnikoza, Ivan] Minist Educ &amp; Sci Ukraine, State Inst Natl Antarctic Ctr, Kiev, Ukraine</t>
  </si>
  <si>
    <t>Ministry of Education &amp; Science of Ukraine; Taras Shevchenko National University of Kyiv; National Academy of Sciences Ukraine; Institute of Molecular Biology &amp; Genetics of NASU; Ministry of Education &amp; Science of Ukraine; State Institution National Antarctic Scientific Center</t>
  </si>
  <si>
    <t>Nuzhyna, N (corresponding author), Taras Shevchenko Natl Univ Kyiv, ESC Inst Biol &amp; Med, Kiev, Ukraine.</t>
  </si>
  <si>
    <t>nuzhynan@gmail.com</t>
  </si>
  <si>
    <t>Parnikoza, Ivan/I-2398-2016; Kunakh, Viktor A./HKV-4993-2023; Nuzhyna, Nataliia/ISS-8147-2023; Poronnik, Oksana/HJI-1907-2023</t>
  </si>
  <si>
    <t>Nuzhyna, Nataliia/0000-0002-4404-4502; Ivan, Parnikoza/0000-0002-0490-8134</t>
  </si>
  <si>
    <t>National Antarctic Scientific Center of Ministry of Education and Science of Ukraine</t>
  </si>
  <si>
    <t>The authors acknowledge the National Antarctic Scientific Center of Ministry of Education and Science of Ukraine for funding the research.</t>
  </si>
  <si>
    <t>POLSKIE TOWARZYSTWO BOTANICZNE</t>
  </si>
  <si>
    <t>AL UJAZDOWSKIE 4, 00-478 WARSAW, POLAND</t>
  </si>
  <si>
    <t>0065-0951</t>
  </si>
  <si>
    <t>2300-357X</t>
  </si>
  <si>
    <t>ACTA AGROBOT</t>
  </si>
  <si>
    <t>Acta Agrobot.</t>
  </si>
  <si>
    <t>10.5586/aa.7416</t>
  </si>
  <si>
    <t>XK4ME</t>
  </si>
  <si>
    <t>WOS:000727441100001</t>
  </si>
  <si>
    <t>Wake, B</t>
  </si>
  <si>
    <t>Wake, Bronwyn</t>
  </si>
  <si>
    <t>Antarctic fast-ice trends</t>
  </si>
  <si>
    <t>10.1038/s41558-021-01240-1</t>
  </si>
  <si>
    <t>XJ7KN</t>
  </si>
  <si>
    <t>WOS:000724630700002</t>
  </si>
  <si>
    <t>Oh, HN; Myeong, NR; Kim, T; Min, GS; Kim, S; Sul, WJ</t>
  </si>
  <si>
    <t>Oh, Han Na; Myeong, Nu Ri; Kim, Taeyune; Min, Gi-Sik; Kim, Sanghee; Sul, Woo Jun</t>
  </si>
  <si>
    <t>Changes in Fecal Pellet Microbiome of the Cold-Adapted Antarctic Copepod Tigriopus kingsejongensis at Different Temperatures and Developmental Stages</t>
  </si>
  <si>
    <t>MICROBIAL ECOLOGY</t>
  </si>
  <si>
    <t>Antarctica; Copepods; Fecal pellet microbiome; Temperature; Virulence factors; Chitinase</t>
  </si>
  <si>
    <t>VIRULENCE FACTORS; MARINE; BACTERIA; JAPONICUS; PLANKTON; IMPACT; ROLES; LINK; GUT</t>
  </si>
  <si>
    <t>Tigriopus kingsejongensis, a copepod species reported from the King Sejong Station, Antarctica, serves as a valuable food resource in ecosystems. We cultured T. kingsejongensis at three different temperatures (2 degrees C, 8 degrees C, and 15 degrees C) in a laboratory to observe the changes in its fecal pellet microbiome depending on the cultivation temperatures and developmental stages. We observed that the fecal pellet microbiome of the copepod changed with temperature: a lower microbial diversity, higher abundance of the aquatic bacterium Vibrio, and lower abundance of the psychrophilic bacterium Colwellia were noted at higher temperatures. In addition, the fecal pellet microbiome of the copepod changed according to the developmental stage: a lower microbial diversity was noted in egg-attached copepods than in nauplii at 8 degrees C. We further analyzed three shotgun metagenomes from the fecal pellet samples of T. kingsejongensis at different temperatures and obtained 44 metagenome-assembled genomes (MAGs). We noted that MAGs of V. splendidus D contained glycosyl hydrolases (GHs) encoding chitinases and virulence factors at a higher relative abundance at 15 degrees C than at lower temperatures. These results indicate that increasing temperature affects the fecal pellet microbiome and the development of copepods. The findings are helpful to understand the changes in cold-adapted copepods and the effect of temperature on their growth.</t>
  </si>
  <si>
    <t>[Oh, Han Na; Myeong, Nu Ri; Kim, Taeyune; Sul, Woo Jun] Chung Ang Univ, Dept Syst Biotechnol, Anseong 17546, South Korea; [Myeong, Nu Ri; Kim, Sanghee] Korea Polar Res Inst, Div Life Sci, Incheon 21990, South Korea; [Min, Gi-Sik] Inha Univ, Dept Biol Sci, Incheon 22212, South Korea</t>
  </si>
  <si>
    <t>Chung Ang University; Korea Polar Research Institute (KOPRI); Inha University</t>
  </si>
  <si>
    <t>Sul, WJ (corresponding author), Chung Ang Univ, Dept Syst Biotechnol, Anseong 17546, South Korea.</t>
  </si>
  <si>
    <t>sulwj@cau.ac.kr</t>
  </si>
  <si>
    <t>Sul, Woo Jun/A-9291-2012</t>
  </si>
  <si>
    <t>Kim, Taeyune/0000-0002-5407-7500</t>
  </si>
  <si>
    <t>Chung-Ang University; National Research Foundation of Korea (NRF) - Korean government (MSIT) [NRF-2019R1A2C1090861]; Korea Polar Research Institute [PE21140]</t>
  </si>
  <si>
    <t>Chung-Ang University(Chung Ang University); National Research Foundation of Korea (NRF) - Korean government (MSIT)(National Research Foundation of KoreaMinistry of Science &amp; ICT (MSIT), Republic of Korea); Korea Polar Research Institute(Korea Polar Research Institute of Marine Research Placement (KOPRI))</t>
  </si>
  <si>
    <t>This research was supported by the Chung-Ang University Graduate Research Scholarship in 2016. This work was also supported by the National Research Foundation of Korea (NRF) grant funded by the Korean government (MSIT) (NRF-2019R1A2C1090861) and a research grant (PE21140) by the Korea Polar Research Institute.</t>
  </si>
  <si>
    <t>0095-3628</t>
  </si>
  <si>
    <t>1432-184X</t>
  </si>
  <si>
    <t>MICROB ECOL</t>
  </si>
  <si>
    <t>Microb. Ecol.</t>
  </si>
  <si>
    <t>NOV</t>
  </si>
  <si>
    <t>10.1007/s00248-021-01928-z</t>
  </si>
  <si>
    <t>7B0SS</t>
  </si>
  <si>
    <t>WOS:000724638600001</t>
  </si>
  <si>
    <t>Li, WR; Lhermitte, S; López-Dekker, P</t>
  </si>
  <si>
    <t>Li, Weiran; Lhermitte, Stef; Lopez-Dekker, Paco</t>
  </si>
  <si>
    <t>The potential of synthetic aperture radar interferometry for assessing meltwater lake dynamics on Antarctic ice shelves</t>
  </si>
  <si>
    <t>SHEET; DECORRELATION; BACKSCATTER; DRAINAGE</t>
  </si>
  <si>
    <t>Surface meltwater drains on several Antarctic ice shelves, resulting in surface and sub-surface lakes that are potentially critical for the ice shelf collapse. Despite these phenomena, our understanding and assessment of the drainage and refreezing of these lakes is limited, mainly due to lack of field observations and to the limitations of optical satellite imagery during polar night and in cloudy conditions. This paper explores the potential of backscatter intensity and of interferometric coherence and phase from synthetic aperture radar (SAR) imagery as an alternative to assess the dynamics of meltwater lakes. In four case study regions over Amery and Roi Baudouin ice shelves, East Antarctica, we examine spatial and temporal variations in SAR backscatter intensity and interferometric (InSAR) coherence and phase over several lakes derived from Sentinel-1A/B C-band SAR imagery. Throughout the year, the lakes are observed in a completely frozen state, in a partially frozen state with a floating ice lid and as open-water lakes. Our analysis reveals that the meltwater lake delineation is challenging during the melting period when the contrast between melting snow and lakes is indistinguishable. Despite this finding, we show using a combination of backscatter and InSAR observations that lake dynamics can be effectively captured during other non-summertime months. Moreover, our findings highlight the utility of InSAR-based observations for discriminating between refrozen ice and sub-surface meltwater and indicate the potential for phase-based detection and monitoring of rapid meltwater drainage events. The potential of this technique to monitor these meltwater change events is, however, strongly determined by the satellite revisit interval and potential changes in scattering properties due to snowfall or melt events.</t>
  </si>
  <si>
    <t>[Li, Weiran; Lhermitte, Stef; Lopez-Dekker, Paco] Delft Univ Technol, Dept Geosci &amp; Remote Sensing, Delft, Netherlands</t>
  </si>
  <si>
    <t>Delft University of Technology</t>
  </si>
  <si>
    <t>Li, WR (corresponding author), Delft Univ Technol, Dept Geosci &amp; Remote Sensing, Delft, Netherlands.</t>
  </si>
  <si>
    <t>w.li-7@tudelft.nl</t>
  </si>
  <si>
    <t>Li, Weiran/HZJ-3346-2023; Lhermitte, Stef (Stefaan)/A-3385-2013</t>
  </si>
  <si>
    <t>Lhermitte, Stef (Stefaan)/0000-0002-1622-0177</t>
  </si>
  <si>
    <t>Byrd Polar and Climate Research Center; Polar Geospatial Center under NSF-OPP awards [1543501, 1810976, 1542736, 1559691, 1043681, 1541332, 0753663, 1548562, 1238993]; NASA [NNX10AN61G]; Direct For Computer &amp; Info Scie &amp; Enginr; Office of Advanced Cyberinfrastructure (OAC) [1238993] Funding Source: National Science Foundation; Direct For Computer &amp; Info Scie &amp; Enginr; Office of Advanced Cyberinfrastructure (OAC) [1541332, 1810976] Funding Source: National Science Foundation; Office of Polar Programs (OPP); Directorate For Geosciences [1543501] Funding Source: National Science Foundation; Office of Polar Programs (OPP); Directorate For Geosciences [0753663] Funding Source: National Science Foundation; NASA [127993, NNX10AN61G] Funding Source: Federal RePORTER</t>
  </si>
  <si>
    <t>Byrd Polar and Climate Research Center; Polar Geospatial Center under NSF-OPP awards; NASA(National Aeronautics &amp; Space Administration (NASA)); Direct For Computer &amp; Info Scie &amp; Enginr; Office of Advanced Cyberinfrastructure (OAC)(National Science Foundation (NSF)NSF - Directorate for Computer &amp; Information Science &amp; Engineering (CISE)); Direct For Computer &amp; Info Scie &amp; Enginr; Office of Advanced Cyberinfrastructure (OAC)(National Science Foundation (NSF)NSF - Directorate for Computer &amp; Information Science &amp; Engineering (CISE)); Office of Polar Programs (OPP); Directorate For Geosciences(National Science Foundation (NSF)NSF - Directorate for Geosciences (GEO)); Office of Polar Programs (OPP); Directorate For Geosciences(National Science Foundation (NSF)NSF - Directorate for Geosciences (GEO)); NASA(National Aeronautics &amp; Space Administration (NASA))</t>
  </si>
  <si>
    <t>We are grateful for the DORIS development team at TU Delft. We acknowledge Copernicus Open Access Hub for providing Sentinel-1 SLC data, the National Snow and Ice Data Center (NSIDC) for providing the SSMIS brightness temperature data, and Google Earth Engine for providing Landsat 8 and Sentinel-1 GRD images. Landsat 8 images are courtesy of the US Geological Survey. This study contains modified Copernicus Climate Change Service information and Copernicus Sentinel data from 2018.; DEM for visualisation is provided by the Byrd Polar and Climate Research Center and the Polar Geospatial Center under NSF-OPP awards 1543501, 1810976, 1542736, 1559691, 1043681, 1541332,0753663, 1548562 and 1238993 and NASA award NNX10AN61G. Computer time is provided through a BlueWaters Innovation initiative. The DEM is produced using data from DigitalGlobe, Inc.</t>
  </si>
  <si>
    <t>10.5194/tc-15-5309-2021</t>
  </si>
  <si>
    <t>XG1WZ</t>
  </si>
  <si>
    <t>Green Accepted, gold, Green Published, Green Submitted</t>
  </si>
  <si>
    <t>WOS:000724551500001</t>
  </si>
  <si>
    <t>Valenzuela, B; Benavides, A; Gutierrez, D; Blamey, L; Monsalves, MT; Modak, B; Blamey, JM</t>
  </si>
  <si>
    <t>Valenzuela, Beatriz; Benavides, Almendra; Gutierrez, Daniela; Blamey, Lotse; Teresa Monsalves, Maria; Modak, Brenda; Blamey, Jenny M.</t>
  </si>
  <si>
    <t>Violacein from an Antarctic Iodobacter sp. 7MAnt and its function as immunomodulator of the defence mechanism of innate immunity in fish cells</t>
  </si>
  <si>
    <t>Antarctic microorganism; immunomodulatory activity; innate immunity; natural compound; violacein</t>
  </si>
  <si>
    <t>TUMOR-NECROSIS-FACTOR; DIFFERENTIAL EXPRESSION; RAINBOW-TROUT; FACTOR-ALPHA; TNF-ALPHA; BETA; EVOLUTION</t>
  </si>
  <si>
    <t>[Valenzuela, Beatriz; Benavides, Almendra; Gutierrez, Daniela; Modak, Brenda] Univ Santiago Chile, Fac Chem &amp; Biol, Dept Environm Sci, Lab Nat Prod Chem,Ctr Aquat Biotechnol, Av Bernardo OHiggins 3363, Santiago, Chile; [Blamey, Lotse; Teresa Monsalves, Maria; Blamey, Jenny M.] Fdn Biociencia, Santiago, Chile; [Blamey, Jenny M.] Univ Santiago Chile, Fac Chem &amp; Biol, Biol Dept, Santiago, Chile</t>
  </si>
  <si>
    <t>Universidad de Santiago de Chile; Universidad de Santiago de Chile</t>
  </si>
  <si>
    <t>Blamey, JM (corresponding author), Univ Santiago Chile, Fac Chem &amp; Biol, Dept Environm Sci, Lab Nat Prod Chem,Ctr Aquat Biotechnol, Av Bernardo OHiggins 3363, Santiago, Chile.</t>
  </si>
  <si>
    <t>jblamey@bloscience.cl</t>
  </si>
  <si>
    <t>Blamey, Jenny/0000-0002-7640-316X</t>
  </si>
  <si>
    <t>[FBIO 002018]; [Fondecyt 11170984]; [022041 MC_Postdoc]</t>
  </si>
  <si>
    <t>; ;</t>
  </si>
  <si>
    <t>This work was funded by Projects FBIO 002018, Fondecyt 11170984 and 022041 MC_Postdoc.</t>
  </si>
  <si>
    <t>10.1111/jfd.13559</t>
  </si>
  <si>
    <t>YV8DL</t>
  </si>
  <si>
    <t>WOS:000724235500001</t>
  </si>
  <si>
    <t>Cade, DE; Fahlbusch, JA; Oestreich, WK; Ryan, J; Calambokidis, J; Findlay, KP; Friedlaender, AS; Hazen, EL; Seakamela, SM; Goldbogen, JA</t>
  </si>
  <si>
    <t>Cade, David E.; Fahlbusch, James A.; Oestreich, William K.; Ryan, John; Calambokidis, John; Findlay, Ken P.; Friedlaender, Ari S.; Hazen, Elliott L.; Seakamela, S. Mduduzi; Goldbogen, Jeremy A.</t>
  </si>
  <si>
    <t>Social exploitation of extensive, ephemeral, environmentally controlled prey patches by supergroups of rorqual whales</t>
  </si>
  <si>
    <t>blue whale; environmentally controlled depletion; FTLE; humpback whale; information sharing; marine hotspot; patchiness social foraging</t>
  </si>
  <si>
    <t>KRILL EUPHAUSIA-SUPERBA; HUMPBACK WHALES; ANTARCTIC KRILL; BLUE WHALES; FIN WHALES; SOUTHERN CALIFORNIA; COHERENT STRUCTURES; LOCAL ENHANCEMENT; FORAGING BEHAVIOR; BALEEN WHALES</t>
  </si>
  <si>
    <t>Large groups of animals aggregate around resource hotspots, with group size often influenced by the heterogeneity of the environment. In most cases, the foraging success of individuals within groups is interdependent, scaling either constructively or destructively with group size. Here we used biologging tags, acoustic prey mapping, passive acoustic recording of social cues and remote sensing of surface currents to investigate an alternative scenario in which large, dense aggregations of southeast Atlantic humpback whales, Megaptera novaeangliae, and northeast Pacific blue whales, Balaenoptera musculus, were each associated with ephemeral krill aggregations large enough such that their availability to predators appeared to be influenced more by environmental features than by consumption, implying independence of group size and consumption rates. We found that the temporal scale and spatial extent of oceanographic drivers were consistent with the temporal scale and locations of predator aggregations, and additionally found that groups formed above bathymetric features known to promote zooplankton concentration. Additionally, we found calling behaviour counter-indicative of competition: blue whale foraging calls were anomalously high during observed aggregation time periods, suggesting signalling behaviour that could alert conspecifics to the location of high-quality resources. Modelled results suggest that the use of social information reduces the time required for individuals to discover and exploit high-quality resources, allowing for more efficient foraging without apparent costs to the caller. Thus, rorqual whales foraging in these environments appear to exhibit a social foraging strategy whereby a behaviour with negligible individual costs (signalling) provides information that enhances group foraging efficiency. The population density dependence of this social foraging strategy may help explain why some rorqual species were at first slow to recover from human exploitation, but have since increased more rapidly. (c) 2021 The Association for the Study of Animal Behaviour. Published by Elsevier Ltd. All rights reserved.</t>
  </si>
  <si>
    <t>[Cade, David E.; Fahlbusch, James A.; Oestreich, William K.; Goldbogen, Jeremy A.] Stanford Univ, Hopkins Marine Stn, Stanford, CA USA; [Cade, David E.; Friedlaender, Ari S.] Univ Calif Santa Cruz, Inst Marine Sci, Santa Cruz, CA USA; [Fahlbusch, James A.; Calambokidis, John] Cascadia Res Collect, Olympia, WA USA; [Ryan, John] Monterey Bay Aquarium Res Inst, Monterey, CA USA; [Findlay, Ken P.] Cape Peninsula Univ Technol, Oceans Econ, Cape Town, South Africa; [Findlay, Ken P.] Univ Pretoria, Dept Zool &amp; Entomol, MRI Whale Unit, Pretoria, South Africa; [Hazen, Elliott L.] Natl Ocean &amp; Atmospher Adm, Div Environm Res, Southwest Fisheries Sci Ctr, Natl Marine Fisheries Serv, Monterey, CA USA; [Seakamela, S. Mduduzi] Victoria &amp; Alfred Waterfront, Branch Oceans &amp; Coasts, Dept Environm Forestry &amp; Fisheries, Cape Town, South Africa</t>
  </si>
  <si>
    <t>Stanford University; University of California System; University of California Santa Cruz; Monterey Bay Aquarium Research Institute; Cape Peninsula University of Technology; University of Pretoria; National Oceanic Atmospheric Admin (NOAA) - USA</t>
  </si>
  <si>
    <t>Cade, DE (corresponding author), Stanford Univ, Hopkins Marine Stn, Stanford, CA USA.;Cade, DE (corresponding author), Univ Calif Santa Cruz, Inst Marine Sci, Santa Cruz, CA USA.</t>
  </si>
  <si>
    <t>Hazen, Elliott/G-4149-2014; Findlay, Ken/A-5766-2019</t>
  </si>
  <si>
    <t>Hazen, Elliott/0000-0002-0412-7178; Friedlaender, Ari/0000-0002-2822-233X; Findlay, Ken/0000-0001-7154-8805; Fahlbusch, James/0000-0001-9275-013X; Ryan, John Phillip/0000-0001-7954-5369; Cade, David/0000-0003-3641-1242; Oestreich, William/0000-0002-0137-5053; Goldbogen, Jeremy/0000-0002-4170-7294</t>
  </si>
  <si>
    <t>NSF IOS grant [1656691]; ONR YIP grant [N000141612477]; Stanford University; South African Department of the Environment, Forestry and Fisheries; NSF [0739828, 1114794]; Monterey Bay Aquarium Research Institute; David and Lucile Packard Foundation; Directorate For Geosciences; Division Of Ocean Sciences [1114794, 0739828] Funding Source: National Science Foundation</t>
  </si>
  <si>
    <t>NSF IOS grant(National Science Foundation (NSF)); ONR YIP grant; Stanford University(Stanford University); South African Department of the Environment, Forestry and Fisheries; NSF(National Science Foundation (NSF)); Monterey Bay Aquarium Research Institute; David and Lucile Packard Foundation(The David &amp; Lucile Packard Foundation); Directorate For Geosciences; Division Of Ocean Sciences(National Science Foundation (NSF)NSF - Directorate for Geosciences (GEO))</t>
  </si>
  <si>
    <t>We gratefully thank the crews of the RV FRS Ellen Khuzwayo and the RV John Martin, as well as Duke Marine Robotics and Remote sensing for UAV images. HF radar data provided by the U.S. Integrated Ocean Observing System (IOOS) High Frequency Radar Network and accessed through the Coastal Observing R&amp;D Center (CORDC). This work funded with NSF IOS grant #1656691, ONR YIP grant #N000141612477, Stanford University's Terman and Bass Fellowships, and funding from the South African Department of the Environment, Forestry and Fisheries. Maintenance of the MARS cabled observatory funded through NSF awards 0739828 and 1114794. Hydrophone recording through MARS was supported by the Monterey Bay Aquarium Research Institute, through a grant from the David and Lucile Packard Foundation. Thanks to C. Dawe, D. French, K. Heller, P. McGill, and the crewof the R/V Rachel Carson for design, deployment, and maintenance of the MARS hydrophone hardware system. Decimated hydrophone recordings used in this study were produced by Paul McGill and Danelle Cline. Monterey bathymetric data provided by MBARI and NOAA's National Centers for Environmental Information, and South African bathymetric data provided by the South Africa Navy Hydrographic Office.</t>
  </si>
  <si>
    <t>10.1016/j.anbehav.2021.09.013</t>
  </si>
  <si>
    <t>VL7IB</t>
  </si>
  <si>
    <t>WOS:000907004000004</t>
  </si>
  <si>
    <t>Gambrel, AE; Rahlin, AS; Song, X; Contaldi, CR; Ade, PAR; Amiri, M; Benton, SJ; Bergman, AS; Bihary, R; Bock, JJ; Bond, JR; Bonetti, JA; Bryan, SA; Chiang, HC; Duivenvoorden, AJ; Eriksen, HK; Farhang, M; Filippini, JP; Fraisse, AA; Freese, K; Galloway, M; Gandilo, NN; Gualtieri, R; Gudmundsson, JE; Halpern, M; Hartley, J; Hasselfield, M; Hilton, G; Holmes, W; Hristov, VV; Huang, Z; Irwin, KD; Jones, WC; Karakci, A; Kuo, CL; Kermish, ZD; Leung, JSY; Li, S; Mak, DSY; Mason, PV; Megerian, K; Moncelsi, L; Morford, TA; Nagy, JM; Netterfield, CB; Nolta, M; O'Brient, R; Osherson, B; Padilla, IL; Racine, B; Reintsema, C; Ruhl, JE; Ruud, TM; Shariff, JA; Shaw, EC; Shiu, C; Soler, JD; Trangsrud, A; Tucker, C; Tucker, RS; Turner, AD; van der List, JF; Weber, AC; Wehus, IK; Wen, S; Wiebe, DV; Young, EY</t>
  </si>
  <si>
    <t>Gambrel, A. E.; Rahlin, A. S.; Song, X.; Contaldi, C. R.; Ade, P. A. R.; Amiri, M.; Benton, S. J.; Bergman, A. S.; Bihary, R.; Bock, J. J.; Bond, J. R.; Bonetti, J. A.; Bryan, S. A.; Chiang, H. C.; Duivenvoorden, A. J.; Eriksen, H. K.; Farhang, M.; Filippini, J. P.; Fraisse, A. A.; Freese, K.; Galloway, M.; Gandilo, N. N.; Gualtieri, R.; Gudmundsson, J. E.; Halpern, M.; Hartley, J.; Hasselfield, M.; Hilton, G.; Holmes, W.; Hristov, V. V.; Huang, Z.; Irwin, K. D.; Jones, W. C.; Karakci, A.; Kuo, C. L.; Kermish, Z. D.; Leung, J. S. -Y.; Li, S.; Mak, D. S. Y.; Mason, P. V.; Megerian, K.; Moncelsi, L.; Morford, T. A.; Nagy, J. M.; Netterfield, C. B.; Nolta, M.; O'Brient, R.; Osherson, B.; Padilla, I. L.; Racine, B.; Reintsema, C.; Ruhl, J. E.; Ruud, T. M.; Shariff, J. A.; Shaw, E. C.; Shiu, C.; Soler, J. D.; Trangsrud, A.; Tucker, C.; Tucker, R. S.; Turner, A. D.; van der List, J. F.; Weber, A. C.; Wehus, I. K.; Wen, S.; Wiebe, D. V.; Young, E. Y.</t>
  </si>
  <si>
    <t>The XFaster Power Spectrum and Likelihood Estimator for the Analysis of Cosmic Microwave Background Maps</t>
  </si>
  <si>
    <t>2003 FLIGHT; POLARIZATION; ANISOTROPY</t>
  </si>
  <si>
    <t>We present the XFaster analysis package, a fast, iterative angular power spectrum estimator based on a diagonal approximation to the quadratic Fisher matrix estimator. It uses Monte Carlo simulations to compute noise biases and filter transfer functions and is thus a hybrid of both Monte Carlo and quadratic estimator methods. In contrast to conventional pseudo-C ( l )-based methods, the algorithm described here requires a minimal number of simulations and does not require them to be precisely representative of the data to estimate accurate covariance matrices for the bandpowers. The formalism works with polarization-sensitive observations and also data sets with identical, partially overlapping, or independent survey regions. The method was first implemented for the analysis of BOOMERanG data and also used as part of the Planck analysis. Here we describe the full, publicly available analysis package, written in Python, as developed for the analysis of data from the 2015 flight of the Spider instrument. The package includes extensions for self-consistently estimating null spectra and estimating fits for Galactic foreground contributions. We show results from the extensive validation of XFaster using simulations and its application to the Spider data set.</t>
  </si>
  <si>
    <t>[Gambrel, A. E.; Rahlin, A. S.] Univ Chicago, Kavli Inst Cosmol Phys, 5640 S Ellis Ave, Chicago, IL 60637 USA; [Rahlin, A. S.] Fermilab Natl Accelerator Lab, POB 500, Batavia, IL 60510 USA; [Song, X.; Benton, S. J.; Bergman, A. S.; Duivenvoorden, A. J.; Fraisse, A. A.; Jones, W. C.; Kermish, Z. D.; Li, S.; Shiu, C.; van der List, J. F.] Princeton Univ, Dept Phys, Jadwin Hall, Princeton, NJ 08544 USA; [Contaldi, C. R.; Mak, D. S. Y.] Imperial Coll London, Blackett Lab, London SW7 2AZ, England; [Ade, P. A. R.; Tucker, C.] Cardiff Univ, Sch Phys &amp; Astron, Cardiff CF24 3AA, England; [Amiri, M.; Halpern, M.; Wiebe, D. V.] Univ British Columbia, Dept Phys &amp; Astron, 6224 Agr Rd, Vancouver, BC V6T 1Z1, Canada; [Bihary, R.; Ruhl, J. E.; Wen, S.] Case Western Reserve Univ, Dept Phys, 10900 Euclid Ave,Rockefeller Bldg, Cleveland Hts, OH 44106 USA; [Bock, J. J.; Hristov, V. V.; Mason, P. V.; Moncelsi, L.; Morford, T. A.; Trangsrud, A.; Tucker, R. S.] CALTECH, Div Phys Math &amp; Astron, MS 367-17,1200 East Calif Blvd, Pasadena, CA 91125 USA; [Bock, J. J.; Bonetti, J. A.; Holmes, W.; Megerian, K.; O'Brient, R.; Trangsrud, A.; Turner, A. D.; Weber, A. C.] Jet Prop Lab, Pasadena, CA 91109 USA; [Bond, J. R.; Farhang, M.; Huang, Z.; Nolta, M.; Shariff, J. A.] Univ Toronto, Canadian Inst Theoret Astrophys, 60 St,George St, Toronto, ON M5S 3H8, Canada; [Bryan, S. A.] Arizona State Univ, Sch Elect Comp &amp; Energy Engn, 650 East Tyler Mall, Tempe, AZ 85281 USA; [Chiang, H. C.] McGill Univ, Dept Phys, 3600 Rue Univ, Montreal, PQ H3A 2T8, Canada; [Chiang, H. C.] Univ KwaZulu Natal, Sch Math Stat &amp; Comp Sci, Durban, South Africa; [Duivenvoorden, A. J.; Freese, K.; Gudmundsson, J. E.] Stockholm Univ, Dept Phys, Oskar Klein Ctr Cosmoparticle Phys, AlbaNova, SE-10691 Stockholm, Sweden; [Eriksen, H. K.; Galloway, M.; Karakci, A.; Racine, B.; Ruud, T. M.; Wehus, I. K.] Univ Oslo, Inst Theoret Astrophys, POB 1029 Blindern, NO-0315 Oslo, Norway; [Farhang, M.] Shahid Beheshti Univ, Dept Phys, Tehran, Iran; [Farhang, M.; Leung, J. S. -Y.; Netterfield, C. B.; Padilla, I. L.] Univ Toronto, Dept Astron &amp; Astrophys, 50 St George St, Toronto, ON M5S 3H4, Canada; [Filippini, J. P.; Osherson, B.; Shaw, E. C.] Univ Illinois, Dept Phys, 1110 West Green St, Urbana, IL 61801 USA; [Filippini, J. P.] Univ Illinois, Dept Astron, 1002 West Green St, Urbana, IL 61801 USA; [Freese, K.] Univ Texas Austin, Dept Phys, 2515 Speedway,C1600, Austin, TX 78712 USA; [Gandilo, N. N.] Steward Observ, 933 North Cherry Ave, Tucson, AZ 85721 USA; [Gualtieri, R.] High Energy Phys Div, Argonne Natl Lab, Argonne, IL 60439 USA; [Hartley, J.; Netterfield, C. B.] Univ Toronto, Dept Phys, 60 St George St, Toronto, ON M5S 3H4, Canada; [Hasselfield, M.] Penn State Univ, Dept Astron &amp; Astrophys, 520 Davey Lab, University Pk, PA 16802 USA; [Hilton, G.; Reintsema, C.] NIST, 325 Broadway,Mailcode 817 03, Boulder, CO 80305 USA; [Irwin, K. D.; Kuo, C. L.; Young, E. Y.] Stanford Univ, Dept Phys, 382 Via Pueblo Mall, Stanford, CA 94305 USA; [Irwin, K. D.; Young, E. Y.] SLAC Natl Accelerator Lab, 2575 Sand Hill Rd, Menlo Pk, CA 94025 USA; [Leung, J. S. -Y.] Univ Toronto, Dunlap Inst Astron &amp; Astrophys, 50 St George St, Toronto, ON M5S 3H4, Canada; [Li, S.] Princeton Univ, Dept Mech &amp; Aerosp Engn, Engn Quadrangle, Princeton, NJ 08544 USA; [Nagy, J. M.] Washington Univ St Louis, Dept Phys, 1 Brookings Dr, St Louis, MO 63130 USA; [Nagy, J. M.] Washington Univ St Louis, McDonnell Ctr Space Sci, 1 Brookings Dr, St Louis, MO 63130 USA; [Padilla, I. L.] Johns Hopkins Univ, Dept Phys &amp; Astron, 3701 San Martin Dr, Baltimore, MD 21218 USA; [Soler, J. D.] Max Planck Inst Astron, Konigstuhl 17, D-69117 Heidelberg, Germany</t>
  </si>
  <si>
    <t>University of Chicago; United States Department of Energy (DOE); University of Chicago; Fermi National Accelerator Laboratory; Princeton University; Imperial College London; Cardiff University; University of British Columbia; University System of Ohio; Case Western Reserve University; California Institute of Technology; National Aeronautics &amp; Space Administration (NASA); NASA Jet Propulsion Laboratory (JPL); University of Toronto; Arizona State University; Arizona State University-Tempe; McGill University; University of Kwazulu Natal; Oskar Klein Centre; Stockholm University; University of Oslo; Shahid Beheshti University; University of Toronto; University of Illinois System; University of Illinois Urbana-Champaign; University of Illinois System; University of Illinois Urbana-Champaign; University of Texas System; University of Texas Austin; United States Department of Energy (DOE); Argonne National Laboratory; University of Toronto; Pennsylvania Commonwealth System of Higher Education (PCSHE); Pennsylvania State University; Pennsylvania State University - University Park; National Institute of Standards &amp; Technology (NIST) - USA; Stanford University; Stanford University; United States Department of Energy (DOE); SLAC National Accelerator Laboratory; University of Toronto; Princeton University; Washington University (WUSTL); Washington University (WUSTL); Johns Hopkins University; Max Planck Society</t>
  </si>
  <si>
    <t>Gambrel, AE (corresponding author), Univ Chicago, Kavli Inst Cosmol Phys, 5640 S Ellis Ave, Chicago, IL 60637 USA.</t>
  </si>
  <si>
    <t>agambrel@kicp.uchicago.edu</t>
  </si>
  <si>
    <t>Huang, Zhiqi/JVN-7317-2024; Moncelsi, Lorenzo/AAU-1009-2020; Gualtieri, Riccardo/AAH-2961-2019; Ruhl, John/HHS-2212-2022; jones, william C/AGJ-6132-2022</t>
  </si>
  <si>
    <t>Huang, Zhiqi/0000-0002-1506-1063; Moncelsi, Lorenzo/0000-0002-4242-3015; Gualtieri, Riccardo/0000-0003-4245-2315; Ruhl, John/0000-0001-5875-4751; jones, william C/0000-0002-3636-1241; Irwin, Kent/0000-0002-2998-9743; Duivenvoorden, Adri/0000-0003-2856-2382; Tucker, Carole/0000-0002-1851-3918; Nagy, Johanna/0000-0002-2036-7008; Galloway, Mathew/0000-0001-9279-137X; Leung, Jason/0000-0001-7116-3710; Li, Lun/0000-0002-8896-911X; Contaldi, Carlo/0000-0001-7285-0707</t>
  </si>
  <si>
    <t>National Aeronautics and Space Administration [NNX07AL64G, NNX12AE95G, NNX17AC55G]; National Science Foundation [PLR-1043515]; Natural Sciences and Engineering Research Council; Canadian Space Agency; Research Council of Norway; Swedish Research Council through the Oskar Klein Centre [638-2013-8993]; Swedish Research Council [2019-93959]; Swedish Space Agency [139/17]; David Dunlap family; University of Toronto; Canada Foundation for Innovation; British Columbia Knowledge Development Fund; Kavli Institute for Cosmological Physics at the University of Chicago; UKRI [ST/P000762/1, ST/N000838/1, ST/T000791/1]; Jeff and Gail Kodosky Endowed Chair at UT Austin; David and Lucile Packard Foundation; Compute Canada; Government of Ontario; Ontario Research Fund-Research Excellence; STFC [ST/T000791/1, ST/N000838/1, ST/P000762/1] Funding Source: UKRI</t>
  </si>
  <si>
    <t>National Aeronautics and Space Administration(National Aeronautics &amp; Space Administration (NASA)); National Science Foundation(National Science Foundation (NSF)); Natural Sciences and Engineering Research Council(Natural Sciences and Engineering Research Council of Canada (NSERC)); Canadian Space Agency(Canadian Space Agency); Research Council of Norway(Research Council of Norway); Swedish Research Council through the Oskar Klein Centre(Swedish Research Council); Swedish Research Council(Swedish Research Council); Swedish Space Agency; David Dunlap family; University of Toronto(University of Toronto); Canada Foundation for Innovation(Canada Foundation for InnovationCGIARSpanish Government); British Columbia Knowledge Development Fund; Kavli Institute for Cosmological Physics at the University of Chicago(University of Chicago); UKRI(UK Research &amp; Innovation (UKRI)); Jeff and Gail Kodosky Endowed Chair at UT Austin; David and Lucile Packard Foundation(The David &amp; Lucile Packard Foundation); Compute Canada; Government of Ontario; Ontario Research Fund-Research Excellence; STFC(UK Research &amp; Innovation (UKRI)Science &amp; Technology Facilities Council (STFC))</t>
  </si>
  <si>
    <t>We acknowledge the contribution to the development of the XFaster pipeline by all members of the BOOMERanG, Planck, and SPIDER collaborations. SPIDER is supported in the U.S. by the National Aeronautics and Space Administration under grants NNX07AL64G, NNX12AE95G, and NNX17AC55G issued through the Science Mission Directorate and by the National Science Foundation through PLR-1043515. Logistical support for the Antarctic deployment and operations is provided by the NSF through the U.S. Antarctic Program. Support in Canada is provided by the Natural Sciences and Engineering Research Council and the Canadian Space Agency. Support in Norway is provided by the Research Council of Norway. Support in Sweden is provided by the Swedish Research Council through the Oskar Klein Centre (contract No. 638-2013-8993), as well as a grant from the Swedish Research Council (dnr. 2019-93959) and a grant from the Swedish Space Agency (dnr. 139/17). The Dunlap Institute is funded through an endowment established by the David Dunlap family and the University of Toronto. The multiplexing readout electronics were developed with support from the Canada Foundation for Innovation and the British Columbia Knowledge Development Fund. A.E.G. is supported by the Kavli Institute for Cosmological Physics at the University of Chicago through an endowment from the Kavli Foundation and its founder, Fred Kavli. C.R.C. was supported by UKRI consolidated grants ST/P000762/1, ST/N000838/1, and ST/T000791/1. K.F. holds the Jeff and Gail Kodosky Endowed Chair at UT Austin and is grateful for that support. W.C.J. acknowledges the generous support of the David and Lucile Packard Foundation, which has been crucial to the success of the project.; Some of the results in this paper have been derived using the HEALPix package (Gorski et al. 2005). The computations described in this paper were performed on four computing clusters: Hippo at the University of KwaZulu-Natal, Feynman at Princeton University, and the GPC and Niagara supercomputers at the SciNet HPC Consortium (Loken et al. 2010; Ponce et al. 2019). SciNet is funded by the Canada Foundation for Innovation under the auspices of Compute Canada, the Government of Ontario, Ontario Research Fund-Research Excellence, and the University of Toronto.</t>
  </si>
  <si>
    <t>10.3847/1538-4357/ac230b</t>
  </si>
  <si>
    <t>XD0JW</t>
  </si>
  <si>
    <t>WOS:000722398000001</t>
  </si>
  <si>
    <t>Barnes, DKA; Bell, JB; Bridges, AE; Ireland, L; Howell, KL; Martin, SM; Sands, CJ; Soto, AM; Souster, T; Flint, G; Morley, SA</t>
  </si>
  <si>
    <t>Barnes, David K. A.; Bell, James B.; Bridges, Amelia E.; Ireland, Louise; Howell, Kerry L.; Martin, Stephanie M.; Sands, Chester J.; Mora Soto, Alejandra; Souster, Terri; Flint, Gareth; Morley, Simon A.</t>
  </si>
  <si>
    <t>Climate Mitigation through Biological Conservation: Extensive and Valuable Blue Carbon Natural Capital in Tristan da Cunha's Giant Marine Protected Zone</t>
  </si>
  <si>
    <t>blue carbon; marine protected area; climate change; climate mitigation; biodiversity</t>
  </si>
  <si>
    <t>MACROALGAE; ASSEMBLAGES; ECOSYSTEMS; COMMUNITY; HABITATS; SERVICES; FISH</t>
  </si>
  <si>
    <t>Simple Summary Solving biodiversity loss and climate change are part of the same problem; intact natural habitats can provide powerful and efficient climate mitigation if protected. Beyond the land (forests), there is little appreciation of just how important ocean nature is to climate mitigation. Carbon captured, stored and the rate at which it is buried (sequestration) by marine organisms is called blue carbon. We measured how much blue carbon occurs around the remote islands and seamounts of the Tristan da Cunha archipelago Marine Protected Zone (MPZ). We estimated that there are 300 tonnes of carbon (tC) captured in seaweed biomass each year, a proportion of which will sink and become a part of the long-term sediment carbon store. In deeper water we found a standing stock of ~2.3 million tC in the shallowest 1000 m depths, of which equivalent to 0.8 million t of carbon dioxide has the potential to be sequestered. At current carbon prices, and were it to attract blue carbon credits, 24 pound million worth of blue carbon can potentially be sequestered from the standing stock of this small United Kingdom Overseas Territory. This standing stock is protected and growth could, therefore, generate an additional 3.5 pound million worth of sequestered carbon a year, making it an unrecognized major component of the local economy. The economic return on this example MPZ probably ranks highly amongst climate mitigation schemes. The message is that placing meaningful protection to carbon-rich natural habitats can massively help society fight climate change and biodiversity loss. Nations who provide this protection should be fairly compensated, particularly where it comes at the detriment of other economic uses of marine habitats. Carbon-rich habitats can provide powerful climate mitigation if meaningful protection is put in place. We attempted to quantify this around the Tristan da Cunha archipelago Marine Protected Area. Its shallows (&lt;1000 m depth) are varied and productive. The 5.4 km(2) of kelp stores ~60 tonnes of carbon (tC) and may export ~240 tC into surrounding depths. In deep-waters we analysed seabed data collected from three research cruises, including seabed mapping, camera imagery, seabed oceanography and benthic samples from mini-Agassiz trawl. Rich biological assemblages on seamounts significantly differed to the islands and carbon storage had complex drivers. We estimate ~2.3 million tC are stored in benthic biodiversity of waters &lt;1000 m, which includes &gt;0.22 million tC that can be sequestered (the proportion of the carbon captured that is expected to become buried in sediment or locked away in skeletal tissue for at least 100 years). Much of this carbon is captured by cold-water coral reefs as a mixture of inorganic (largely calcium carbonate) and organic compounds. As part of its 2020 Marine Protection Strategy, these deep-water reef systems are now protected by a full bottom-trawling ban throughout Tristan da Cunha and representative no take areas on its seamounts. This small United Kingdom Overseas Territory's reef systems represent approximately 0.8 Mt CO2 equivalent sequestered carbon; valued at &gt;24 pound Million GBP (at the UN shadow price of carbon). Annual productivity of this protected standing stock generates an estimated 3 pound million worth of sequestered carbon a year, making it an unrecognized and potentially major component of the economy of small island nations like Tristan da Cunha. Conservation of near intact habitats are expected to provide strong climate and biodiversity returns, which are exemplified by this MPA.</t>
  </si>
  <si>
    <t>[Barnes, David K. A.; Ireland, Louise; Flint, Gareth; Morley, Simon A.] NERC, British Antarctic Survey, Madingley Rd, Cambridge CB3 0ET, England; [Bell, James B.] Univ Leeds, Sch Geog, Leeds LS2 9JT, W Yorkshire, England; [Bridges, Amelia E.; Howell, Kerry L.] Univ Plymouth, Sch Biol &amp; Marine Sci, Plymouth PL4 8AA, Devon, England; [Martin, Stephanie M.] Tristan Cunha Conservat Dept, Edinburgh TDCU 1ZZ, Midlothian, Scotland; [Mora Soto, Alejandra] Univ Oxford, Sch Geog &amp; Environm, Oxford OX1 3QY, England; [Souster, Terri] Norges Arktisk Univ, Fac Biosci Fisheries &amp; Econ, Veg18, N-9019 Tromso, Norway</t>
  </si>
  <si>
    <t>UK Research &amp; Innovation (UKRI); Natural Environment Research Council (NERC); NERC British Antarctic Survey; University of Leeds; University of Plymouth; University of Oxford; UiT The Arctic University of Tromso</t>
  </si>
  <si>
    <t>Barnes, DKA (corresponding author), NERC, British Antarctic Survey, Madingley Rd, Cambridge CB3 0ET, England.</t>
  </si>
  <si>
    <t>dkab@bas.ac.uk; james.bell@cefas.co.uk; amelia.bridges@plymouth.ac.uk; louela@bas.ac.uk; kerry.howell@plymouth.ac.uk; environment.policy@tdc.uk.com; cjsan@bas.ac.uk; alejandra.morasoto@spc.ox.ac.uk; terri.souster@uit.no; gflint@bas.ac.uk; gflint@bas.ac.uk</t>
  </si>
  <si>
    <t>Souster, Terri/HJY-6034-2023; Howell, Kerry L/H-5044-2013; Mora-Soto, Alejandra/HNQ-6933-2023</t>
  </si>
  <si>
    <t>Souster, Terri/0000-0002-7585-1999; Mora-Soto, Alejandra/0000-0003-2254-5338; Bridges, Amelia/0000-0002-1422-9637; Barnes, David/0000-0002-9076-7867; Sands, Chester/0000-0003-1028-0328</t>
  </si>
  <si>
    <t>10.3390/biology10121339</t>
  </si>
  <si>
    <t>XW9YI</t>
  </si>
  <si>
    <t>WOS:000735964600001</t>
  </si>
  <si>
    <t>Burgardt, NI; Melian, NA; Luis, F; Flecha, G</t>
  </si>
  <si>
    <t>Ines Burgardt, Noelia; Agostina Melian, Noelia; Luis, Francisco; Flecha, Gonzalez</t>
  </si>
  <si>
    <t>BaCopA, a Cu(I) ATPase from the Antarctic bacterium Bizionia argentinensis</t>
  </si>
  <si>
    <t>BIOPHYSICAL REVIEWS</t>
  </si>
  <si>
    <t>ion transport ATPases; psychrophilic enzymes; bioinformatics</t>
  </si>
  <si>
    <t>[Ines Burgardt, Noelia; Agostina Melian, Noelia; Luis, Francisco; Flecha, Gonzalez] Inst Quim Fisicoquim Biol, Dept Quim Biol, Buenos Aires, DF, Argentina</t>
  </si>
  <si>
    <t>1867-2450</t>
  </si>
  <si>
    <t>1867-2469</t>
  </si>
  <si>
    <t>BIOPHYS REV-GER</t>
  </si>
  <si>
    <t>Biophys. Rev.</t>
  </si>
  <si>
    <t>BA.10</t>
  </si>
  <si>
    <t>Biophysics</t>
  </si>
  <si>
    <t>VM9YR</t>
  </si>
  <si>
    <t>WOS:001082825300039</t>
  </si>
  <si>
    <t>Marizcurrena, JJ; Castro-Sowinski, S; Cerdá, MF</t>
  </si>
  <si>
    <t>Marizcurrena, Juan Jose; Castro-Sowinski, Susana; Cerda, Maria Fernanda</t>
  </si>
  <si>
    <t>Improving the performance of dye-sensitized solar cells using nanoparticles and a dye produced by an Antarctic bacterium</t>
  </si>
  <si>
    <t>ENVIRONMENTAL SUSTAINABILITY</t>
  </si>
  <si>
    <t>Dye-sensitized solar cells; Impedance; Silver-nanoparticles; Janthinobacterium sp. UV13; Violacein</t>
  </si>
  <si>
    <t>PIGMENTS; IMPROVEMENT; IODIDE</t>
  </si>
  <si>
    <t>Dye-sensitized solar cells (DSSC) are attractive alternatives compared with conventional photovoltaic-silicon-based cells, mainly because they are environmentally friendly. In this work, we report Antarctic bacterial pigments as sensitizers in combination with external co-sensitizers. DSSC were assembled with different concentrations of the purple-pigment violacein, as well in conjunction with xanthophylls and silver nanoparticles. The violacein produced by the Antarctic bacterium Janthinobacterium sp. UV13 is a dye with physical/chemical features compatible with its use as the sensitizer in the production of high conversion efficiency DSSC (stability at day-light and room temperature during 100 days, stability at 85 degrees C during 20 min, a suitable oxidation potential value, light-absorption in the visible range and ability to adsorb onto TiO2 electrodes). The cells' conversion efficiency improved when it was sensitized with preparations of the pigment and silver nanoparticles following sequential steps, with the achievement of conversion efficiency of 0.230 +/- 0.002%. DSSC assembled under these conditions showed long persistence of the photoelectric properties after 100 days. Our results suggest that the use of violacein with silver nanoparticles has significant technological potential, mainly during the manufacturing of eco-friendly solar cells. The purpose of this type of photovoltaic devices in Antarctica offers successful application perspectives to generate energy from renewable resources. [GRAPHICS] .</t>
  </si>
  <si>
    <t>[Marizcurrena, Juan Jose; Castro-Sowinski, Susana] Univ Republica, Fac Ciencias, Secc Bioquim, Igua 4225, Montevideo 11400, Uruguay; [Cerda, Maria Fernanda] Univ Republica, Fac Ciencias, Lab Biomat, Igua 4225, Montevideo 11400, Uruguay</t>
  </si>
  <si>
    <t>Cerdá, MF (corresponding author), Univ Republica, Fac Ciencias, Lab Biomat, Igua 4225, Montevideo 11400, Uruguay.</t>
  </si>
  <si>
    <t>PEDECIBA (Programa de Desarrollo de las Ciencias Basicas); ANII; CAP (Comision Academica de Posgrado, UdelaR)</t>
  </si>
  <si>
    <t>The authors thank the Uruguayan Antarctic Institute (IAU, Instituto Antartico Uruguayo) for the logistic support during the stay in the Antarctic Base Artigas. JJM, SCS and MFC are members of the National Research System (SNI, Sistema Nacional de Investigadores). This work was partially supported by PEDECIBA (Programa de Desarrollo de las Ciencias Basicas).The work of JJM was supported by ANII and CAP (Comision Academica de Posgrado, UdelaR).</t>
  </si>
  <si>
    <t>2523-8922</t>
  </si>
  <si>
    <t>ENVIRON SUSTAIN</t>
  </si>
  <si>
    <t>Environ. Sustain.</t>
  </si>
  <si>
    <t>10.1007/s42398-021-00168-8</t>
  </si>
  <si>
    <t>CO9L0</t>
  </si>
  <si>
    <t>WOS:001126304800010</t>
  </si>
  <si>
    <t>Improving the performance of dye-sensitized solar cells using nanoparticles and a dye produced by an Antarctic bacterium (vol 4, pg 711, 2021 )</t>
  </si>
  <si>
    <t>10.1007/s42398-021-00177-7</t>
  </si>
  <si>
    <t>WOS:001126304800022</t>
  </si>
  <si>
    <t>Spergel, JJ; Kingslake, J; Creyts, T; van Wessem, M; Fricker, HA</t>
  </si>
  <si>
    <t>Spergel, Julian J.; Kingslake, Jonathan; Creyts, Timothy; van Wessem, Melchior; Fricker, Helen A.</t>
  </si>
  <si>
    <t>Surface meltwater drainage and ponding on Amery Ice Shelf, East Antarctica, 1973-2019</t>
  </si>
  <si>
    <t>melt-surface; remote sensing; ice shelves; Antarctic glaciology</t>
  </si>
  <si>
    <t>SUPRAGLACIAL LAKES; MASS-BALANCE; SHALLOW LAKES; CLIMATE; BACKSCATTER; MODEL; MELT; ALASKA</t>
  </si>
  <si>
    <t>Surface melting on Amery Ice Shelf (AIS), East Antarctica, produces an extensive supraglacial drainage system consisting of hundreds of lakes connected by surface channels. This drainage system forms most summers on the southern portion of AIS, transporting meltwater large distances northward, toward the ice front and terminating in lakes. Here we use satellite imagery, Landsat (1, 4 and 8), MODIS multispectral and Sentinel-1 synthetic aperture radar to examine the seasonal and interannual evolution of the drainage system over nearly five decades (1972-2019). We estimate seasonal meltwater input to one lake by integrating output from the regional climate model [Regional Atmospheric Climate Model (RACMO 2.3p2)] over its catchment defined using the Reference Elevation Model of Antarctica. We find only weak positive relationships between modeled seasonal meltwater input and lake area and between meltwater input and lake volume. Consecutive years of extensive melting lead to year-on-year expansion of the drainage system, potentially through a link between melt production, refreezing in firn and the maximum extent of the lakes at the downstream termini of drainage. These mechanisms are important when evaluating the potential of drainage systems to grow in response to increased melting, delivering meltwater to areas of ice shelves vulnerable to hydrofracture.</t>
  </si>
  <si>
    <t>[Spergel, Julian J.; Kingslake, Jonathan; Creyts, Timothy] Columbia Univ, Dept Earth &amp; Environm Sci, Lamont Doherty Earth Observ, New York, NY 10025 USA; [van Wessem, Melchior] Univ Utrecht, Inst Marine &amp; Atmospher Res Utrecht IMAU, Utrecht, Netherlands; [Fricker, Helen A.] Univ Calif San Diego, Scripps Inst Oceanog, San Diego, CA 92103 USA</t>
  </si>
  <si>
    <t>Columbia University; Utrecht University; University of California System; University of California San Diego; Scripps Institution of Oceanography</t>
  </si>
  <si>
    <t>Spergel, JJ (corresponding author), Columbia Univ, Dept Earth &amp; Environm Sci, Lamont Doherty Earth Observ, New York, NY 10025 USA.</t>
  </si>
  <si>
    <t>jspergel@ldeo.columbia.edu</t>
  </si>
  <si>
    <t>Creyts, Timothy/0000-0003-1756-5211</t>
  </si>
  <si>
    <t>NSF [1743310, 1643970]; Columbia University/Lamont-Doherty Earth Observatory; NASA [NNX16AJ95G, NNX10AN61G]; Vetlesen Foundation; Polar Geospatial Center under NSF-OPP awards [1543501, 1810976, 1542736, 1559691, 1043681, 1541332, 0753663, 1548562, 1238993]; Byrd Polar and Climate Research Center under NSF-OPP awards [1543501, 1810976, 1542736, 1559691, 1043681, 1541332, 0753663, 1548562, 1238993]; NASA [902571, NNX16AJ95G] Funding Source: Federal RePORTER; Office of Advanced Cyberinfrastructure (OAC); Direct For Computer &amp; Info Scie &amp; Enginr [1810976] Funding Source: National Science Foundation; Office of Advanced Cyberinfrastructure (OAC); Direct For Computer &amp; Info Scie &amp; Enginr [1541332] Funding Source: National Science Foundation; Office of Polar Programs (OPP); Directorate For Geosciences [1743310, 1543501, 0753663] Funding Source: National Science Foundation; Office of Polar Programs (OPP); Directorate For Geosciences [1643970] Funding Source: National Science Foundation</t>
  </si>
  <si>
    <t>NSF(National Science Foundation (NSF)); Columbia University/Lamont-Doherty Earth Observatory; NASA(National Aeronautics &amp; Space Administration (NASA)); Vetlesen Foundation; Polar Geospatial Center under NSF-OPP awards; Byrd Polar and Climate Research Center under NSF-OPP awards; NASA(National Aeronautics &amp; Space Administration (NASA)); Office of Advanced Cyberinfrastructure (OAC); Direct For Computer &amp; Info Scie &amp; Enginr(National Science Foundation (NSF)NSF - Directorate for Computer &amp; Information Science &amp; Engineering (CISE)); Office of Advanced Cyberinfrastructure (OAC); Direct For Computer &amp; Info Scie &amp; Enginr(National Science Foundation (NSF)NSF - Directorate for Computer &amp; Information Science &amp; Engineering (CISE)); Office of Polar Programs (OPP); Directorate For Geosciences(National Science Foundation (NSF)NSF - Directorate for Geosciences (GEO)); Office of Polar Programs (OPP); Directorate For Geosciences(National Science Foundation (NSF)NSF - Directorate for Geosciences (GEO))</t>
  </si>
  <si>
    <t>We would like to thank Jan Lenaerts, Robin Bell, Allen Pope, Stef Lhermitte and Mahsa Moussavi for discussion and guidance. We would also like to thank the scientific editor Bea Csatho and two anonymous reviewers for a detailed and thoughtful assessment of the manuscript. Spergel and Kingslake were supported by NSF (award no. 1743310) and Columbia University/Lamont-Doherty Earth Observatory. Tim Creyts was supported by NSF (award no. 1643970), NASA (award no. NNX16AJ95G) and the Vetlesen Foundation. We acknowledge the use of imagery from the NASA Worldview application (https://worldview.earthdata.nasa.gov), part of the NASA Earth Observing System Data and Information System. We acknowledge the use of MODIS imagery from NASA LAADSDAAC. We acknowledge the use of the REMA (Howat and others, 2019). DEMs provided by the Byrd Polar and Climate Research Center and the Polar Geospatial Center under NSF-OPP awards 1543501, 1810976, 1542736, 1559691, 1043681, 1541332, 0753663, 1548562 and 1238993, and NASA award NNX10AN61G. Computer time provided through a Blue Waters Innovation Initiative. DEMs produced using data from DigitalGlobe, Inc. We would like to thank the Australian Antarctic Data Centre for providing Antarctic automatic weather station data. Geospatial support for this work was provided by the Polar Geospatial Center under NSF-OPP awards 1043681 and 1559691. All Worldview imagery copyright 2019 DigitalGlobe, Inc.</t>
  </si>
  <si>
    <t>PII S0022143021000460</t>
  </si>
  <si>
    <t>10.1017/jog.2021.46</t>
  </si>
  <si>
    <t>XB5CQ</t>
  </si>
  <si>
    <t>WOS:000721347700004</t>
  </si>
  <si>
    <t>D'Andrilli, J; McConnell, JR</t>
  </si>
  <si>
    <t>D'Andrilli, Juliana; McConnell, Joseph R.</t>
  </si>
  <si>
    <t>Polar ice core organic matter signatures reveal past atmospheric carbon composition and spatial trends across ancient and modern timescales</t>
  </si>
  <si>
    <t>Fluorescence spectroscopy; global cryosphere organic matter comparisons; ice core carbon paleoclimatology</t>
  </si>
  <si>
    <t>FLUORESCENCE SPECTROSCOPY; ELLESMERE-ISLAND; CLIMATE; RECORD; SEA; CAP; REANALYSIS; RECOVERY; DRIVEN; NWT</t>
  </si>
  <si>
    <t>We present polar ice core organic matter (OM) fluorescence signatures to reconstruct ancient and modern atmospheric compositions and relate OM signals to past ecological changes. OM composition from three Arctic ice cores (Canada and Greenland) was characterized by fluorescence spectroscopy and compared to an Antarctic OM record. Diverse OM was measured in ancient and modern ice in both hemispheres and similarities existed across vast spatiotemporal scales. We determined three OM markers, indicating paleoclimate and modern carbon trends: (i) 'humic-like', detected in Holocene ice of more complex and aromatic character, supporting trends of higher plant influences in warmer climates, (ii) monolignol- and non-amino acid-like, describing simple, lignin-like OM precursors ubiquitous in the environment and the microbial degradation products of more complex materials from plants/soils, and (iii) amino acid- and tannin-like, indicating microbial degradation of simple OM chemical species, compared to the other markers. Concentration trends were inferred from fluorescence intensities of individual OM types and related to warmer temperatures. No indicators of freshly produced OM by microbes were detected; signals were interpreted as materials externally produced from the ice and transported to polar regions. This marks the first global comparison of atmospheric reconstructions from OM across vast spatiotemporal scales.</t>
  </si>
  <si>
    <t>[D'Andrilli, Juliana] Louisiana Univ Marine Consortium, Chauvin, LA 70344 USA; [McConnell, Joseph R.] Desert Res Inst, Div Hydrol Sci, Reno, NV 89512 USA</t>
  </si>
  <si>
    <t>Nevada System of Higher Education (NSHE); Desert Research Institute NSHE</t>
  </si>
  <si>
    <t>D'Andrilli, J (corresponding author), Louisiana Univ Marine Consortium, Chauvin, LA 70344 USA.</t>
  </si>
  <si>
    <t>jdandrilli@lumcon.edu</t>
  </si>
  <si>
    <t>D'Andrilli, Juliana/0000-0002-3352-2564</t>
  </si>
  <si>
    <t>National Science Foundation [0909499, 0839075, 0839093, 1142166, 1836328]; Division Of Polar Programs; Directorate For Geosciences [0839075] Funding Source: National Science Foundation</t>
  </si>
  <si>
    <t>National Science Foundation(National Science Foundation (NSF)); Division Of Polar Programs; Directorate For Geosciences(National Science Foundation (NSF)NSF - Directorate for Geosciences (GEO))</t>
  </si>
  <si>
    <t>This work was supported by National Science Foundation Grants 0909499, 0839075, 0839093 and 1142166. We thank the many people that assisted with the ACT-10, GISP2 and Agassiz ice core collection field teams, storage and core processing lines at the National Science Foundation Ice Core Facility (Denver, Colorado, USA), the melting teams at the Desert Research Institute (2010 and 2012; Reno, Nevada, USA), and the National Science Foundation Ice Core Facility support staff. We thank the US Ice Drilling Program for support activities through NSF Cooperative Agreement 1836328. Thank you, also, to J. Zheng from the Geological Survey of Canada for the Agassiz ice cores and accompanying depth profile information. We thank N. Chellman for dating scale assistance for ACT-10, GISP2 and Agassiz ice cores, and C.M. Foreman, J.C. Priscu and the Center for Biofilm Engineering at Montana State University (Bozeman, Montana, USA) for instrument use and laboratory equipment. Thank you to C.A. Stedmon for creative MATLAB problem-solving skills to prepare EEMs data from the Fluoromax-4 instrument for DOMFluor and drEEM PARAFAC modeling exercises (used for ACT-10, GISP2, Agassiz and WDsupp datasets) and thank you, J.R. Junker, for assistance with the Arctic map and data organization for the correlation calculations. Lastly, we kindly thank the two anonymous reviewers for their support and suggestions to greatly strengthen this work.</t>
  </si>
  <si>
    <t>PII S0022143021000514</t>
  </si>
  <si>
    <t>10.1017/jog.2021.51</t>
  </si>
  <si>
    <t>WOS:000721347700007</t>
  </si>
  <si>
    <t>Wever, N; Leonard, K; Maksym, T; White, S; Proksch, M; Lenaerts, JTM</t>
  </si>
  <si>
    <t>Wever, Nander; Leonard, Katherine; Maksym, Ted; White, Seth; Proksch, Martin; Lenaerts, Jan T. M.</t>
  </si>
  <si>
    <t>Spatially distributed simulations of the effect of snow on mass balance and flooding of Antarctic sea ice</t>
  </si>
  <si>
    <t>Polar and subpolar oceans; sea ice; sea-ice modeling; snow</t>
  </si>
  <si>
    <t>WEDDELL SEA; SOUTHERN-OCEAN; LAYER FORMATION; HEAT-FLUX; IN-SITU; MODEL; THICKNESS; DEPTH; VARIABILITY; COVER</t>
  </si>
  <si>
    <t>Southern Ocean sea ice can exhibit widespread flooding and subsequent snow-ice formation, due to relatively thick snow covers compared to the total ice thickness. Considerable subkilometer scale variability in snow and ice thickness causes poorly constrained uncertainties in determining the amount of flooding that occurs. Using datasets of snow depth and ice thickness acquired in the Weddell Sea during austral winter 2013 (AWECS campaign) from three floes, we demonstrate large spatial variability of a factor 10 and 5 for snow and combined snow and ice thickness, respectively. The temporal evolution after the floe visit was recorded by automatic weather station and ice mass balance buoys. Using a physics-based, multi-layer snow/sea ice model in a one-dimensional and distributed mode to simulate the thermodynamic processes, we show that the distributed simulations, modeling flooding across the entire heterogeneous floe, produced vastly different amounts of flooding than one-dimensional single point simulations. Three times the flooding is produced in the one-dimensional simulation for the buoy location than distributed (floe-averaged) simulations. The latter is in close agreement with buoy observations. The results suggest that using point observations or one-dimensional simulations to extrapolate processes on the floe-scale can overestimate the amount of flooding and snow-ice formation.</t>
  </si>
  <si>
    <t>[Wever, Nander; Lenaerts, Jan T. M.] Univ Colorado, Dept Atmospher &amp; Ocean Sci, Boulder, CO 80309 USA; [Leonard, Katherine; White, Seth] Univ Colorado, Cooperat Inst Res Environm Sci CIRES, Boulder, CO 80309 USA; [Leonard, Katherine; Proksch, Martin] WSL Inst Snow &amp; Avalanche Res SLF, Davos, Switzerland; [Leonard, Katherine] Ecole Polytech Fed Lausanne EPFL, Sch Architecture Civil &amp; Environm Engn, Lausanne, Switzerland; [Maksym, Ted] Woods Hole Oceanog Inst WHOI, Woods Hole, MA USA</t>
  </si>
  <si>
    <t>University of Colorado System; University of Colorado Boulder; University of Colorado System; University of Colorado Boulder; Swiss Federal Institutes of Technology Domain; Swiss Federal Institute for Forest, Snow &amp; Landscape Research; Swiss Federal Institutes of Technology Domain; Ecole Polytechnique Federale de Lausanne</t>
  </si>
  <si>
    <t>Wever, N (corresponding author), Univ Colorado, Dept Atmospher &amp; Ocean Sci, Boulder, CO 80309 USA.</t>
  </si>
  <si>
    <t>nander.wever@colorado.edu</t>
  </si>
  <si>
    <t>Lenaerts, Jan/D-9423-2012</t>
  </si>
  <si>
    <t>Lenaerts, Jan/0000-0003-4309-4011; Wever, Nander/0000-0002-4829-8585</t>
  </si>
  <si>
    <t>Swiss National Science Foundation (SNSF) [P2ELP2 172299, PZ00P2 142684]; NSF [ANT-1142075, ANT-1341513]; US National Science Foundation (NSF) grant [ANT-1142075]; Swiss National Science Foundation (SNF) [P2ELP2_172299, PZ00P2_142684] Funding Source: Swiss National Science Foundation (SNF)</t>
  </si>
  <si>
    <t>Swiss National Science Foundation (SNSF)(Swiss National Science Foundation (SNSF)); NSF(National Science Foundation (NSF)); US National Science Foundation (NSF) grant(National Science Foundation (NSF)); Swiss National Science Foundation (SNF)(Swiss National Science Foundation (SNSF))</t>
  </si>
  <si>
    <t>We thank the captain and crew of R/V Polarstern for their excellent logistical support during the expedition ANT-29/6 (AWECS). We also thank the cruise leader Peter Lemke for enabling our field work and all scientists on board who provided us a helping hand in the field when needed. We are also grateful to the Sea Ice Physics Group from the Alfred Wegener Institute in Bremerhaven, Germany, in particular Stefan Hendricks and Priska Hunkeler, who kindly provided GEM-2 data, and Sandra Schwegmann for collecting and preparing the Retro-Drilling dataset. We thank Martin Schneebeli and Michael Lehning from the WSL Institute for Snow and Avalanche Research SLF for loaning us the SnowMicroPen and supporting the project, respectively. Jack Landy and an anonymous reviewer are thanked for providing detailed and insightful comments which helped to improve the manuscript considerably. Nander Wever was funded by ther Swiss National Science Foundation (SNSF) grant number P2ELP2 172299 and Katherine Leonard by SNSF grant number PZ00P2 142684. Katherine Leonad and Seth White were funded by US National Science Foundation (NSF) grant ANT-1142075. Ted Maksym was funded by NSF grant numbers ANT-1142075 and ANT-1341513. Eric Keenan is acknowledged for assisting in preparing the MERRA-2 reanalysis data.</t>
  </si>
  <si>
    <t>PII S002214302100054X</t>
  </si>
  <si>
    <t>10.1017/jog.2021.54</t>
  </si>
  <si>
    <t>WOS:000721347700009</t>
  </si>
  <si>
    <t>Boronina, A; Popov, S; Pryakhina, G; Chetverova, A; Ryzhova, E; Grigoreva, S</t>
  </si>
  <si>
    <t>Boronina, Alina; Popov, Sergey; Pryakhina, Galina; Chetverova, Antonina; Ryzhova, Ekaterina; Grigoreva, Svetlana</t>
  </si>
  <si>
    <t>Formation of a large ice depression on Dalk Glacier (Larsemann Hills, East Antarctica) caused by the rapid drainage of an englacial cavity</t>
  </si>
  <si>
    <t>Antarctic glaciology; glacier hazards; glacier hydrology; glacier modelling; ground-penetrating radar</t>
  </si>
  <si>
    <t>LAKE OUTBURST FLOODS; CHANNELIZED SUBGLACIAL DRAINAGE; WEST ANTARCTICA; INVENTORY; MOVEMENT; BENEATH; REGION; SYSTEM</t>
  </si>
  <si>
    <t>In the afternoon of 30 January 2017, a catastrophic outburst flood occurred in the Larsemann Hills (Princess Elizabeth Land, East Antarctica). The rapid drainage of both a thin supraglacial layer of water (near Boulder Lake) and Lake Ledyanoe into the englacial Lake Dalk provoked its overfill and outburst. As a result, a depression of 183 m x 220 m was formed in the place where Lake Dalk was located. This study summarises and clarifies the current state of knowledge on the flood that occurred in 2017. We present a phenomenological model of depression formation. We specify the reasons for the outburst of the system of lakes Boulder, Ledyanoe and Dalk. In addition, we carry out mathematical modelling of the outburst of each of the three lakes and estimate the flood severity. Outburst hydrographs, channel diameters, volume and duration of floods were calculated. Particular simulation results were validated with field data. In conclusion, we give an overview of the new outburst cycle of the lake system, which began in 2020 with the drainage of the lakes Boulder and Ledyanoe, and the new formation of Lake Dalk. Further research is required to improve our understanding of the lake system responses to changing external factors.</t>
  </si>
  <si>
    <t>[Boronina, Alina] State Hydrol Inst, 23 2nd Line Vasilyevsky Isl, St Petersburg 199004, Russia; [Boronina, Alina; Popov, Sergey; Pryakhina, Galina; Chetverova, Antonina; Grigoreva, Svetlana] St Petersburg State Univ SPbU, 7-9 Univ Skaya Emb, St Petersburg 199034, Russia; [Popov, Sergey] Polar Marine Geosurvey Expedit, 24 Pobedy Str, St Petersburg 198412, Russia; [Chetverova, Antonina; Grigoreva, Svetlana] Arctic &amp; Antarctic Res Inst, 38 Bering Str, St Petersburg 199397, Russia; [Ryzhova, Ekaterina] Geophyspoisk LLC, 15 26th Line Vasilyevsky Isl, St Petersburg 199106, Russia</t>
  </si>
  <si>
    <t>Boronina, A (corresponding author), State Hydrol Inst, 23 2nd Line Vasilyevsky Isl, St Petersburg 199004, Russia.;Boronina, A (corresponding author), St Petersburg State Univ SPbU, 7-9 Univ Skaya Emb, St Petersburg 199034, Russia.</t>
  </si>
  <si>
    <t>Popov, Sergey/IYJ-2371-2023; Popov, Sergey V./I-2319-2013; Cheterova, Antonina/N-1019-2013</t>
  </si>
  <si>
    <t>Popov, Sergey/0000-0002-1830-8658; Popov, Sergey V./0000-0002-1830-8658; Prahina, Galina/0000-0003-3684-4638; Cheterova, Antonina/0000-0001-7461-3617; Grigoreva, Svetlana/0000-0002-8853-559X</t>
  </si>
  <si>
    <t>Russian Foundation for Basic Research [18-05-00421]</t>
  </si>
  <si>
    <t>We thank Russian Antarctic Expedition headed by A. Klepikov for providing logistics and G. Deshevih, E. Kiniabaeva, M. Kuznetsova, A. Mirakin and A. Sukhanova for help in the fieldwork. We are grateful to Dr P. Fretwell and D. Amaro Medina for the corrections and suggestions for improving English, also Dr A. Zirizzotti and Dr S. Urbini from the National Institute of Geophysics and Volcanology, Rome (Istituto Nazionale di Geofisica e Vulcanologia, INGV) for equipment provided for our fieldwork in 2012/13. We thank Dr S. Livingstone and an anonymous reviewer for thorough reviewing, which greatly improved the manuscript. This scientific work was supported by the Russian Foundation for Basic Research grant No. 18-05-00421.</t>
  </si>
  <si>
    <t>PII S0022143021000587</t>
  </si>
  <si>
    <t>10.1017/jog.2021.58</t>
  </si>
  <si>
    <t>WOS:000721347700013</t>
  </si>
  <si>
    <t>Yang, WX; Dou, YK; Zhao, B; Guo, JX; Tang, XY; Zuo, GY; Wang, YC; Chen, Y; Zhang, YZ</t>
  </si>
  <si>
    <t>Yang, Wangxiao; Dou, Yinke; Zhao, Bo; Guo, Jingxue; Tang, Xueyuan; Zuo, Guangyu; Wang, Yuchen; Chen, Yan; Zhang, Yuzhong</t>
  </si>
  <si>
    <t>Inversion for the density-depth profile of Dome A, East Antarctica, using frequency-modulated continuous wave radar</t>
  </si>
  <si>
    <t>Applied glaciology; glaciological instruments and methods; ground-penetrating radar; polar firn; radio-echo sounding</t>
  </si>
  <si>
    <t>SURFACE MASS-BALANCE; ICE-CORE; SNOW ACCUMULATION; ZHONGSHAN STATION; TEMPORAL VARIABILITY; EXPLOSIVE VOLCANISM; SPATIAL VARIABILITY; INTERNAL LAYERS; WEST ANTARCTICA; TRAVERSE ROUTE</t>
  </si>
  <si>
    <t>The density-depth relationship of the Antarctic ice sheet is important for establishing a high-precision surface mass balance model and predicting future ice-sheet contributions to global sea levels. A new algorithm is used to reconstruct firn density and densification rate by inverting monostatic radio wave echoes from ground-operated frequency-modulated continuous wave radar data collected near four ice cores along the transect from Zhongshan Station to Dome A. The inverted density profile is consistent with the core data within 5.54% root mean square error. Due to snow redistribution, the densification rate within 88 km of ice core DT401 is correlated with the accumulation rate and varies greatly over horizontal distances of &lt;5 km. That is, the depth at which a critical density of 830 kg m(-3) is reached decreases and densification rate increases in high-accumulation regions but decreases in low-accumulation regions. This inversion technique can be used to analyse more Antarctic radar data and obtain the density distribution trend, which can improve the accuracy of mass-balance estimations.</t>
  </si>
  <si>
    <t>[Yang, Wangxiao; Dou, Yinke; Zuo, Guangyu; Wang, Yuchen; Chen, Yan; Zhang, Yuzhong] Taiyuan Univ Technol, Coll Elect &amp; Power Engn, Taiyuan 030024, Peoples R China; [Zhao, Bo] Chinese Acad Sci AIRCAS, Chinese Acad Sci, Aerosp Informat Res Inst, Key Lab Electromagnet Radiat &amp; Sensing Technol, Beijing 100190, Peoples R China; [Guo, Jingxue; Tang, Xueyuan] Polar Res Inst China, Shanghai 20136, Peoples R China</t>
  </si>
  <si>
    <t>Taiyuan University of Technology; Chinese Academy of Sciences; Aerospace Information Research Institute, CAS; Polar Research Institute of China</t>
  </si>
  <si>
    <t>Dou, YK (corresponding author), Taiyuan Univ Technol, Coll Elect &amp; Power Engn, Taiyuan 030024, Peoples R China.</t>
  </si>
  <si>
    <t>douyk8888cn@126.com</t>
  </si>
  <si>
    <t>National Natural Science Foundation of China [41776199, 41776204, 41876227, 41876230, 41941006]; National Key R&amp;D Program of China [2018YFB1307504]</t>
  </si>
  <si>
    <t>This study was funded by the National Natural Science Foundation of China (41776199, 41776204, 41876227, 41876230 and 41941006) and the National Key R&amp;D Program of China (2018YFB1307504). The fieldwork was supported by the 32nd Chinese National Antarctic Research Expedition, especially the inland expedition team. We also thank the anonymous reviewers for many helpful edits and comments.</t>
  </si>
  <si>
    <t>PII S0022143021000708</t>
  </si>
  <si>
    <t>10.1017/jog.2021.70</t>
  </si>
  <si>
    <t>WOS:000721347700020</t>
  </si>
  <si>
    <t>Luo, H; Yang, QH; Mu, LJ; Tian-Kunze, X; Nerger, L; Mazloff, M; Kaleschke, L; Chen, DK</t>
  </si>
  <si>
    <t>Luo, Hao; Yang, Qinghua; Mu, Longjiang; Tian-Kunze, Xiangshan; Nerger, Lars; Mazloff, Matthew; Kaleschke, Lars; Chen, Dake</t>
  </si>
  <si>
    <t>DASSO: a data assimilation system for the Southern Ocean that utilizes both sea-ice concentration and thickness observations</t>
  </si>
  <si>
    <t>Southern Ocean; data assimilation; sea-ice thickness; SMOS</t>
  </si>
  <si>
    <t>MODEL; CRYOSAT-2; VOLUME</t>
  </si>
  <si>
    <t>To improve Antarctic sea-ice simulations and estimations, an ensemble-based Data Assimilation System for the Southern Ocean (DASSO) was developed based on a regional sea ice-ocean coupled model, which assimilates sea-ice thickness (SIT) together with sea-ice concentration (SIC) derived from satellites. To validate the performance of DASSO, experiments were conducted from 15 April to 14 October 2016. Generally, assimilating SIC and SIT can suppress the overestimation of sea ice in the model-free run. Besides considering uncertainties in the operational atmospheric forcing data, a covariance inflation procedure in data assimilation further improves the simulation of Antarctic sea ice, especially SIT. The results demonstrate the effectiveness of assimilating sea-ice observations in reconstructing the state of Antarctic sea ice, but also highlight the necessity of more reasonable error estimation for the background as well as the observation.</t>
  </si>
  <si>
    <t>[Luo, Hao; Yang, Qinghua; Chen, Dake] Sun Yat Sen Univ, Sch Atmospher Sci, Zhuhai 519082, Peoples R China; [Mu, Longjiang; Tian-Kunze, Xiangshan; Nerger, Lars; Kaleschke, Lars] Southern Marine Sci &amp; Engn Guangdong Lab Zhuhai, Zhuhai 519082, Peoples R China; [Mazloff, Matthew] Helmholtz Ctr Polar &amp; Marine Res, Alfred Wegener Inst, D-27570 Bremerhaven, Germany; Univ Calif San Diego, Scripps Inst Oceanog, San Diego, CA 92103 USA</t>
  </si>
  <si>
    <t>Sun Yat Sen University; Southern Marine Science &amp; Engineering Guangdong Laboratory; Southern Marine Science &amp; Engineering Guangdong Laboratory (Zhuhai); Helmholtz Association; Alfred Wegener Institute, Helmholtz Centre for Polar &amp; Marine Research; University of California System; University of California San Diego; Scripps Institution of Oceanography</t>
  </si>
  <si>
    <t>Yang, QH (corresponding author), Sun Yat Sen Univ, Sch Atmospher Sci, Zhuhai 519082, Peoples R China.</t>
  </si>
  <si>
    <t>yangqh25@mail.sysu.edu.cn</t>
  </si>
  <si>
    <t>Nerger, Lars/G-4845-2013</t>
  </si>
  <si>
    <t>Nerger, Lars/0000-0002-1908-1010; Tian-Kunze, Xiangshan/0000-0001-8270-1924; Yang, Qinghua/0000-0002-7114-2036; Mu, Longjiang/0000-0001-5668-8025</t>
  </si>
  <si>
    <t>National Natural Science Foundation of China [41941009, 41922044, 42006191]; Guangdong Basic and Applied Basic Research Foundation [2020B1515020025]; ESA [4000i2473 l/l8/I-EF]</t>
  </si>
  <si>
    <t>National Natural Science Foundation of China(National Natural Science Foundation of China (NSFC)); Guangdong Basic and Applied Basic Research Foundation; ESA(European Space Agency)</t>
  </si>
  <si>
    <t>The authors thank two anonymous reviewers for their very helpful comments and suggestions. We thank Petra Heil of Australia Antarctic Division and Australian Antarctic Program Partnership for providing ASPeCt sea-ice observations from 4 to 23 November 2016. We also thank Guokun Lyv of Shanghai Jiao Tong University and Chao-Yuan Yang of Sun Yat-sen University for useful discussions. This is a contribution to the Year of Polar Prediction (YOPP), a flagship activity of the Polar Prediction Project (PPP), initiated by the World Weather Research Programme (WWRP) of the World Meteorological Organisation (WMO). We acknowledge the WMO WWRP for its role in coordinating this international research activity. This study is supported by the National Natural Science Foundation of China (Nos. 41941009, 41922044 and 42006191), and the Guangdong Basic and Applied Basic Research Foundation (No. 2020B1515020025). SMOS Sea Ice Thickness data is produced within the framework of 'SMOS sea ice thickness processing and dissemination service' supported by ESA under the contract No. 4000i2473 l/l8/I-EF. We thank the National Supercomputer Center in Guangzhou for providing compute resources.</t>
  </si>
  <si>
    <t>PII S0022143021000575</t>
  </si>
  <si>
    <t>10.1017/jog.2021.57</t>
  </si>
  <si>
    <t>WOS:000721347700022</t>
  </si>
  <si>
    <t>Li, JJ; Qiu, S; Zhang, Y; Gao, CX; Qian, YG; Liu, YK</t>
  </si>
  <si>
    <t>Li Jin-Jin; Qiu Shi; Zhang Yu; Gao Cai-Xia; Qian Yong-Gang; Liu Yao-Kai</t>
  </si>
  <si>
    <t>Performance assessments of VIIRS DNB on-orbit radiometric calibration accuracy and stability on SNPP and NOAA-20</t>
  </si>
  <si>
    <t>JOURNAL OF INFRARED AND MILLIMETER WAVES</t>
  </si>
  <si>
    <t>on-orbit calibration assessment; Visible Infrared Imaging Radiometer Suit Day/Night Band (VIIRS DNB); Suomi National Polar-orbiting Partnership (SNPP); National Oceanic and Atmospheric Administration 20 (NOAA-20); Dome C; bidirectional reflectance distribution function</t>
  </si>
  <si>
    <t>AVHRR VISIBLE CHANNEL; DOME-C; BIDIRECTIONAL REFLECTANCE; GREENLAND; LIGHTS; DEGRADATION; ANTARCTICA</t>
  </si>
  <si>
    <t>Based on the characteristic of anisotropic reflectance of nighttime TOA (top-of-atmosphere) , a new method was proposed to evaluate the accuracy of on-orbit radiometric calibration of nighttime sensors using a relative accurate simulation of the nighttime radiative transfer. Specially, the Antarctic Dome C site was selected as the study area, and the nighttime on-orbit radiance was simulated by the MT2009 (Miller-Turner 2009) TOA lunar irradiance model and TOA BRDF (Bidirectional Reflectance Distribution Function) model. After the analysis of the consistency of VIIRS DNB (Visible Infrared Imaging Radiometer Suit Day/Night Band) observed and simulated radiance under the same geometry, it was found that their differences were about 4.97x10(-10) W.cm(-2).sr(-1) one order of magnitude blow the minimum detection threshold of VIIRS DNB (3x 10(-9)W.cm(-2).sr(-1)) during 2018-2020. So there is good performance of on-orbit radiometric calibration of VIIRS DNB on SNPP and NOAA-20 based on the error range of acceptable instrument sensitivity. Besides, an evaluation of on-orbit radiometric calibration stability of VIIRS DNB was conducted based on the distance-corrected radiance of SNPP VIIRS DNB and NOAA-20 VIIRS DNB. And it was found that when under the same lunar phase angle, the VIIRS DNB radiance kept a good consistency within 6% between SNPP and NOAA-20.</t>
  </si>
  <si>
    <t>[Li Jin-Jin; Qiu Shi; Zhang Yu; Gao Cai-Xia; Qian Yong-Gang; Liu Yao-Kai] Chinese Acad Sci, Aerosp Informat Res Inst, Key Lab Quantitat Remote Sensing Informat Technol, Beijing 100094, Peoples R China; [Li Jin-Jin] Univ Chinese Acad Sci, Sch Optoelect, Beijing 100049, Peoples R China</t>
  </si>
  <si>
    <t>Qiu, S (corresponding author), Chinese Acad Sci, Aerosp Informat Res Inst, Key Lab Quantitat Remote Sensing Informat Technol, Beijing 100094, Peoples R China.</t>
  </si>
  <si>
    <t>lijinjin18@mails.ucas.ac.cn; qiushi@aircas.ac.cn</t>
  </si>
  <si>
    <t>Li, Jinjin/E-8032-2014; Gao, Caixia/AAE-9570-2021; Qiu, Shi/HGI-9191-2022; 李, 津津/Q-1390-2018</t>
  </si>
  <si>
    <t>李, 津津/0000-0002-9835-168X</t>
  </si>
  <si>
    <t>National Key Research and Development Program of China [2018YFB0504600]; National Natural Science Foundation of China [61801457]; Bureau of International Co-operation Chinese Academy of Sciences [181811KYSB20160040]; Key Research Program of Frontier Sciences,CAS [QYZDB-SSW-JSC051]</t>
  </si>
  <si>
    <t>National Key Research and Development Program of China; National Natural Science Foundation of China(National Natural Science Foundation of China (NSFC)); Bureau of International Co-operation Chinese Academy of Sciences(Chinese Academy of Sciences); Key Research Program of Frontier Sciences,CAS</t>
  </si>
  <si>
    <t>Supported by the National Key Research and Development Program of China(2018YFB0504600),National Natural Science Foundation of China(61801457),the Bureau of International Co-operation Chinese Academy of Sciences(181811KYSB20160040),and Key Research Program of Frontier Sciences,CAS(QYZDB-SSW-JSC051).</t>
  </si>
  <si>
    <t>1001-9014</t>
  </si>
  <si>
    <t>J INFRARED MILLIM W</t>
  </si>
  <si>
    <t>J. Infrared Millim. Waves</t>
  </si>
  <si>
    <t>10.11972/j.issn.1001-9014.2021.06.015</t>
  </si>
  <si>
    <t>Optics</t>
  </si>
  <si>
    <t>6U6PS</t>
  </si>
  <si>
    <t>WOS:000894487000015</t>
  </si>
  <si>
    <t>Jin, ZL; Bose, M; Lichtenberg, T; Mulders, GD</t>
  </si>
  <si>
    <t>Jin, Ziliang; Bose, Maitrayee; Lichtenberg, Tim; Mulders, Gijs D. D.</t>
  </si>
  <si>
    <t>New Evidence for Wet Accretion of Inner Solar System Planetesimals from Meteorites Chelyabinsk and Benenitra</t>
  </si>
  <si>
    <t>PLANETARY SCIENCE JOURNAL</t>
  </si>
  <si>
    <t>ISOTOPIC COMPOSITION; UPPER-MANTLE; WATER; HYDROGEN; DIFFUSION; JUPITER; CONSTRAINTS; CHONDRULES; ASTEROIDS; VOLATILES</t>
  </si>
  <si>
    <t>We investigated the hydrogen isotopic compositions and water contents of pyroxenes in two recent ordinary chondrite falls, namely, Chelyabinsk (2013 fall) and Benenitra (2018 fall), and compared them to three ordinary chondrite Antarctic finds, namely, Graves Nunataks GRA 06179, Larkman Nunatak LAR 12241, and Dominion Range DOM 10035. The pyroxene minerals in Benenitra and Chelyabinsk are hydrated (similar to 0.018-0.087 wt.% H2O) and show D-poor isotopic signatures (delta D-SMOW from -444 parts per thousand to -49 parts per thousand). On the contrary, the ordinary chondrite finds exhibit evidence of terrestrial contamination with elevated water contents (similar to 0.039-0.174 wt.%) and delta D-SMOW values (from -199 parts per thousand to -14 parts per thousand). We evaluated several small parent-body processes that are likely to alter the measured compositions in Benenitra and Chelyabinsk and inferred that water loss in S-type planetesimals is minimal during thermal metamorphism. Benenitra and Chelyabinsk hydrogen compositions reflect a mixed component of D-poor nebular hydrogen and water from the D-rich mesostases. A total of 45%-95% of water in the minerals characterized by low delta D-SMOW values was contributed by nebular hydrogen. S-type asteroids dominantly composed of nominally anhydrous minerals can hold 254-518 ppm of water. Addition of a nebular water component to nominally dry inner solar system bodies during accretion suggests a reduced need of volatile delivery to the terrestrial planets during late accretion.</t>
  </si>
  <si>
    <t>[Jin, Ziliang; Bose, Maitrayee] Arizona State Univ, Sch Earth &amp; Space Explorat, Tempe, AZ 85287 USA; [Jin, Ziliang] Macau Univ Sci &amp; Technol, State Key Lab Lunar &amp; Planetary Sci, Taipa, Macao, Peoples R China; [Lichtenberg, Tim] Univ Oxford, Dept Phys, Atmospher Ocean &amp; Planetary Phys, Oxford, England; [Mulders, Gijs D. D.] Univ Adolfo Ibanez, Fac Ingn &amp; Ciencias, Santiago, Chile; [Mulders, Gijs D. D.] Millennium Inst Astrophys, Santiago, Chile</t>
  </si>
  <si>
    <t>Arizona State University; Arizona State University-Tempe; Macau University of Science &amp; Technology; University of Oxford; Universidad Adolfo Ibanez</t>
  </si>
  <si>
    <t>Jin, ZL (corresponding author), Arizona State Univ, Sch Earth &amp; Space Explorat, Tempe, AZ 85287 USA.;Jin, ZL (corresponding author), Macau Univ Sci &amp; Technol, State Key Lab Lunar &amp; Planetary Sci, Taipa, Macao, Peoples R China.</t>
  </si>
  <si>
    <t>zljin@must.edu.mo</t>
  </si>
  <si>
    <t>Lichtenberg, Tim/G-8841-2016; Jin, Ziliang/JPX-0457-2023</t>
  </si>
  <si>
    <t>Lichtenberg, Tim/0000-0002-3286-7683; Jin, Ziliang/0000-0002-1852-9362</t>
  </si>
  <si>
    <t>NSF [1819550]; State Key lab of Lunar and Planetary Science of Macao University of Science and Technology; Simons Foundation [611576]; National Aeronautics and Space Administration [ICN12_009]; NASA's Science Mission Directorate; ASU; ANID-Millennium Science Initiative; [80NSSC21K0593]; Division Of Earth Sciences; Directorate For Geosciences [1819550] Funding Source: National Science Foundation</t>
  </si>
  <si>
    <t>NSF(National Science Foundation (NSF)); State Key lab of Lunar and Planetary Science of Macao University of Science and Technology; Simons Foundation; National Aeronautics and Space Administration(National Aeronautics &amp; Space Administration (NASA)); NASA's Science Mission Directorate; ASU; ANID-Millennium Science Initiative; ; Division Of Earth Sciences; Directorate For Geosciences(National Science Foundation (NSF)NSF - Directorate for Geosciences (GEO))</t>
  </si>
  <si>
    <t>We thank Philipp Heck at the Field Museum for providing fresh fragments of ordinary chondrite falls, Johnson Space Center for providing thin sections of ordinary chondrite finds, and the Smithsonian Institution and Kathryn M. Kumamoto at Stanford University for the standard samples. We would like to profusely thank the anonymous reviewers for providing constructive comments and suggestions that helped improve the manuscript. Axel Wittmann and Richard L. Hervig (NSF EAR grant 1819550) are thanked for their assistance with electron probe and IMS 6f operations at ASU. Z.J. was funded by the startup funds from the State Key lab of Lunar and Planetary Science of Macao University of Science and Technology. M.B. was funded by her startup funds from ASU for the analytical work. T.L. was supported by a grant from the Simons Foundation (SCOL award No. 611576). G.D.M. acknowledges support from ANID-Millennium Science Initiative-ICN12_009. This material is based on work supported by the National Aeronautics and Space Administration under agreement No. 80NSSC21K0593 for the program Alien Earths. The results reported herein benefitted from collaborations and/or information exchange within NASA's Nexus for Exoplanet System Science (NExSS) research coordination network sponsored by NASA's Science Mission Directorate.</t>
  </si>
  <si>
    <t>2632-3338</t>
  </si>
  <si>
    <t>PLANET SCI J</t>
  </si>
  <si>
    <t>Planet. Sci. J.</t>
  </si>
  <si>
    <t>10.3847/PSJ/ac3d86</t>
  </si>
  <si>
    <t>8C1AD</t>
  </si>
  <si>
    <t>WOS:000917347700001</t>
  </si>
  <si>
    <t>Ao, H; Liebrand, D; Dekkers, MJ; Zhang, P; Song, YG; Liu, QS; Jonell, TN; Sun, Q; Li, XZ; Li, XX; Qiang, XK; An, ZS</t>
  </si>
  <si>
    <t>Ao, Hong; Liebrand, Diederik; Dekkers, Mark J.; Zhang, Peng; Song, Yougui; Liu, Qingsong; Jonell, Tara N.; Sun, Qiang; Li, Xinzhou; Li, Xinxia; Qiang, Xiaoke; An, Zhisheng</t>
  </si>
  <si>
    <t>Eccentricity-paced monsoon variability on the northeastern Tibetan Plateau in the Late Oligocene high CO2 world</t>
  </si>
  <si>
    <t>ASIAN SUMMER MONSOON; ANTARCTIC ICE-SHEET; LANZHOU BASIN; GLOBAL MONSOON; SEA-LEVEL; CLIMATE; CYCLES; RECORD; NORTH; CHINA</t>
  </si>
  <si>
    <t>Constraining monsoon variability and dynamics in the warm unipolar icehouse world of the Late Oligocene can provide important clues to future climate responses to global warming. Here, we present a similar to 4-thousand year (ka) resolution rubidium-to-strontium ratio and magnetic susceptibility records between 28.1 and 24.1 million years ago from a distal alluvial sedimentary sequence in the Lanzhou Basin (China) on the northeastern Tibetan Plateau margin. These Asian monsoon precipitation records exhibit prominent short (similar to 110-ka) and long (405-ka) eccentricity cycles throughout the Late Oligocene, with a weak expression of obliquity (41-ka) and precession (19-ka and 23-ka) cycles. We conclude that a combination of eccentricity-modulated low-latitude summer insolation and glacial-interglacial Antarctic Ice Sheet fluctuations drove the eccentricity-paced precipitation variability on the northeastern Tibetan Plateau in the Late Oligocene high CO2 world by governing regional temperatures, water vapor loading in the western Pacific and Indian Oceans, and the Asian monsoon intensity and displacement.</t>
  </si>
  <si>
    <t>[Ao, Hong; Zhang, Peng; Song, Yougui; Li, Xinzhou; Qiang, Xiaoke; An, Zhisheng] Chinese Acad Sci, Inst Earth Environm, State Key Lab Loess &amp; Quaternary Geol, Xian, Peoples R China; [Ao, Hong; Zhang, Peng; Song, Yougui; Li, Xinzhou; An, Zhisheng] Pilot Natl Lab Marine Sci &amp; Technol Qingdao, Open Studio Ocean Continental Climate &amp; Environm, Qingdao, Peoples R China; [Liebrand, Diederik] Natl Oceanog Ctr, European Way, Southampton SO14 3ZH, Hants, England; [Liebrand, Diederik] PalaeoClimate Sci, 27 Granby Grove, Southampton SO17 3RY, Hants, England; [Dekkers, Mark J.] Univ Utrecht, Fac Geosci, Dept Earth Sci, Paleomagnet Lab Ft Hoofddijk, Utrecht, Netherlands; [Liu, Qingsong] Southern Univ Sci &amp; Technol, Ctr Marine Magnetism CM2, Dept Ocean Sci &amp; Engn, Shenzhen, Peoples R China; [Jonell, Tara N.] Univ Glasgow, Sch Geog &amp; Earth Sci, Glasgow, Lanark, Scotland; [Sun, Qiang] Xian Univ Sci &amp; Technol, Coll Geol &amp; Environm, Xian, Peoples R China; [Li, Xinxia] China Univ Geosci Wuhan, Sch Earth Sci, Wuhan, Peoples R China</t>
  </si>
  <si>
    <t>Chinese Academy of Sciences; Institute of Earth Environment, CAS; Laoshan Laboratory; University of Southampton; NERC National Oceanography Centre; Utrecht University; Southern University of Science &amp; Technology; University of Glasgow; Xi'an University of Science &amp; Technology; China University of Geosciences</t>
  </si>
  <si>
    <t>Ao, H (corresponding author), Chinese Acad Sci, Inst Earth Environm, State Key Lab Loess &amp; Quaternary Geol, Xian, Peoples R China.;Ao, H (corresponding author), Pilot Natl Lab Marine Sci &amp; Technol Qingdao, Open Studio Ocean Continental Climate &amp; Environm, Qingdao, Peoples R China.</t>
  </si>
  <si>
    <t>aohong@ieecas.cn</t>
  </si>
  <si>
    <t>Song, yougui/I-8813-2014; Jonell, Tara N./K-5091-2018; AN, Zhisheng/F-8834-2012</t>
  </si>
  <si>
    <t>Song, yougui/0000-0003-0064-3260; Jonell, Tara N./0000-0002-6811-3816; LI, XINZHOU/0000-0001-8438-3552; ao, hong/0000-0002-3337-520X; Zhang, Peng/0000-0002-2521-9784; Sun, Qiang/0000-0002-6321-4773</t>
  </si>
  <si>
    <t>Chinese Academy of Sciences (CAS) Strategic Priority Research Program [XDB 40000000]; Second Tibetan Plateau Scientific Expedition and Research (STEP) program [2019QZKK0707]; National Natural Science Foundation of China [42074076]</t>
  </si>
  <si>
    <t>Chinese Academy of Sciences (CAS) Strategic Priority Research Program; Second Tibetan Plateau Scientific Expedition and Research (STEP) program; National Natural Science Foundation of China(National Natural Science Foundation of China (NSFC))</t>
  </si>
  <si>
    <t>This study was supported financially by the Chinese Academy of Sciences (CAS) Strategic Priority Research Program (XDB 40000000), the Second Tibetan Plateau Scientific Expedition and Research (STEP) program (2019QZKK0707), and the National Natural Science Foundation of China (42074076).</t>
  </si>
  <si>
    <t>eabk2318</t>
  </si>
  <si>
    <t>10.1126/sciadv.abk2318</t>
  </si>
  <si>
    <t>XP0YM</t>
  </si>
  <si>
    <t>WOS:000730600400013</t>
  </si>
  <si>
    <t>Fernandes, M; Oliva, M; Vieira, G; Palacios, D; Fernández-Fernández, JM; Delmas, M; García-Oteyza, J; Schimmelpfennig, I; Ventura, J; Team, A</t>
  </si>
  <si>
    <t>Fernandes, Marcelo; Oliva, Marc; Vieira, Goncalo; Palacios, David; Maria Fernandez-Fernandez, Jose; Delmas, Magali; Garcia-Oteyza, Julia; Schimmelpfennig, Irene; Ventura, Josep; Team, Aster</t>
  </si>
  <si>
    <t>Maximum glacier extent of the Penultimate Glacial Cycle in the Upper Garonne Basin (Pyrenees): new chronological evidence</t>
  </si>
  <si>
    <t>ENVIRONMENTAL EARTH SCIENCES</t>
  </si>
  <si>
    <t>Central Pyrenees; Upper Garonne Basin; Penultimate Glacial Cycle; Cosmic-ray exposure dating; Moraines; Polished bedrock</t>
  </si>
  <si>
    <t>EQUILIBRIUM-LINE ALTITUDES; BE-10 EXPOSURE AGES; LATE PLEISTOCENE; CLIMATE VARIABILITY; LAST DEGLACIATION; GEOMORPHOLOGIC EVIDENCE; WESTERN PYRENEES; SPANISH PYRENEES; NORTHERN; SURFACE</t>
  </si>
  <si>
    <t>The Upper Garonne Basin included the longest glacier in the Pyrenees during the Late Pleistocene. During major glacial advances, the Garonne palaeoglacier flowed northwards along similar to 80 km from peaks of the axial Pyrenees exceeding 2800-3000 m until the foreland of this mountain range at the Loures-Barousse-Barbazan basin (LBBb), at 420-440 m. Here, the palaeoglacier formed a terminal moraine complex that is examined in this work. Based on geomorphological observations and a 12-sample data set of Be-10 Cosmic-Ray Exposure (CRE) ages, the timing of the maximum glacial extent was constrained as well as the onset of the deglaciation from the end of the Last Glacial Cycle (LGC). Chronological data shows evidence that the external moraines in this basin were abandoned by the ice at the end of the Penultimate Glacial Cycle (PGC) and the onset of the Eemian Interglacial, at similar to 129 ka. No evidence of subsequent glacial advances or standstills occurred during the LGC in this basin were found, as the few existing datable boulders provided in the internal moraine showed inconsistent ages, thus probably being affected by post-glacial processes. The terminal basin was already deglaciated during the global Last Glacial Maximum at 24-21 ka, as revealed by exposure ages of polished surfaces at the confluence of the Garonne-La Pique valleys, 13 km south of the entrance of the LBBb. This study introduces the first CRE ages in the Pyrenees for the glacial advance occurred during the PGC and provides also new evidence that glaciers had already significantly shrunk during the LGM.</t>
  </si>
  <si>
    <t>[Fernandes, Marcelo; Vieira, Goncalo; Maria Fernandez-Fernandez, Jose] Univ Lisbon, Ctr Geog Studies, Inst Geog &amp; Ordenamento Terr, Rua Branca Edmee Marques, P-1600276 Lisbon, Portugal; [Oliva, Marc; Garcia-Oteyza, Julia; Ventura, Josep] Univ Barcelona, Dept Geog, Barcelona, Catalonia, Spain; [Palacios, David] Univ Complutense Madrid, Dept Geog, Madrid, Spain; [Delmas, Magali] Univ Perpignan Via Domitia, HNHP, UMR 7194, Perpignan, France; [Schimmelpfennig, Irene; Team, Aster] Aix Marseille Univ, Coll France, INRAE, CNRS,IRD,34 CEREGE, Aix En Provence, France</t>
  </si>
  <si>
    <t>Universidade de Lisboa; University of Barcelona; Complutense University of Madrid; Centre National de la Recherche Scientifique (CNRS); CNRS - Institute of Ecology &amp; Environment (INEE); Museum National d'Histoire Naturelle (MNHN); Universite PSL; College de France; INRAE; Centre National de la Recherche Scientifique (CNRS); Aix-Marseille Universite; Institut de Recherche pour le Developpement (IRD)</t>
  </si>
  <si>
    <t>Fernandes, M (corresponding author), Univ Lisbon, Ctr Geog Studies, Inst Geog &amp; Ordenamento Terr, Rua Branca Edmee Marques, P-1600276 Lisbon, Portugal.</t>
  </si>
  <si>
    <t>marcelo.fernandes@live.com</t>
  </si>
  <si>
    <t>Oliva, Marc/K-5423-2014; PALACIOS, DAVID/H-3737-2015; Fernández-Fernández, Jose M./H-5801-2017; Vieira, Goncalo/G-5958-2010</t>
  </si>
  <si>
    <t>Vieira, Goncalo/0000-0001-7611-3464; Fernandes, Marcelo/0000-0001-6840-4317</t>
  </si>
  <si>
    <t>Research Group ANTALP (Antarctic, Arctic, Alpine Environments) - Government of Catalonia [2017SGR-1102]; Centro de Estudos Geograficos/IGOT-University of Lisbon (FCT I.P.) [UIDB/00295/2020, UIDP/00295/2020]; Spanish Ministry of Economy and Competitiveness [CTM2017-87976-P]; Fundacao para a Ciencia e Tecnologia of Portugal [FCT-SFRH/139569/2018, 02/SAICT/2017-32002]; Ramon y Cajal Program [RYC-2015-17597]; NUNANTAR project; INSU/CNRS; ANR through the Projets thematiques d'excellence program</t>
  </si>
  <si>
    <t>Research Group ANTALP (Antarctic, Arctic, Alpine Environments) - Government of Catalonia; Centro de Estudos Geograficos/IGOT-University of Lisbon (FCT I.P.); Spanish Ministry of Economy and Competitiveness(Spanish Government); Fundacao para a Ciencia e Tecnologia of Portugal(Fundacao para a Ciencia e a Tecnologia (FCT)); Ramon y Cajal Program(Spanish Government); NUNANTAR project; INSU/CNRS(Centre National de la Recherche Scientifique (CNRS)); ANR through the Projets thematiques d'excellence program(Agence Nationale de la Recherche (ANR))</t>
  </si>
  <si>
    <t>This research was financially supported by the Research Group ANTALP (Antarctic, Arctic, Alpine Environments; 2017SGR-1102) funded by the Government of Catalonia and the Centro de Estudos Geograficos/IGOT-University of Lisbon (FCT I.P. UIDB/00295/2020 and UIDP/00295/2020). The study topics complement those of the project PALEOGREEN (CTM2017-87976-P) funded by the Spanish Ministry of Economy and Competitiveness and the project NUNANTAR funded by the Fundacao para a Ciencia e Tecnologia of Portugal (02/SAICT/2017-32002). Marcelo Fernandes currently holds a PhD fellowship of the Fundacao para a Ciencia e Tecnologia of Portugal (FCT-SFRH/139569/2018); Marc Oliva is supported by the Ramon y Cajal Program (RYC-2015-17597) and Jose M. Fernandez-Fernandez is supported by a postdoctoral grant within the NUNANTAR project. 10Be measurements were performed at the ASTER AMS national facility (CEREGE, Aix-en-Provence), which is supported by the INSU/CNRS and the ANR through the Projets thematiques d'excellence program for the Equipements d'excellence ASTER-CEREGE action and IRD. This work is also framed within the College on Polar and Extreme Environments (Polar2E) of the University of Lisbon.</t>
  </si>
  <si>
    <t>1866-6280</t>
  </si>
  <si>
    <t>1866-6299</t>
  </si>
  <si>
    <t>ENVIRON EARTH SCI</t>
  </si>
  <si>
    <t>Environ. Earth Sci.</t>
  </si>
  <si>
    <t>10.1007/s12665-021-10022-z</t>
  </si>
  <si>
    <t>Environmental Sciences; Geosciences, Multidisciplinary; Water Resources</t>
  </si>
  <si>
    <t>Environmental Sciences &amp; Ecology; Geology; Water Resources</t>
  </si>
  <si>
    <t>XC2YF</t>
  </si>
  <si>
    <t>WOS:000721884100003</t>
  </si>
  <si>
    <t>Nishimura, F; Kim, Y; Bando, T; Fujise, Y; Nakamura, G; Murase, H; Kato, H</t>
  </si>
  <si>
    <t>Nishimura, F.; Kim, Y.; Bando, T.; Fujise, Y.; Nakamura, G.; Murase, H.; Kato, H.</t>
  </si>
  <si>
    <t>Morphological differences in skulls and feeding apparatuses between Antarctic (Balaenoptera bonaerensis) and common (Balaenoptera acutorostrata) minke whales, and the implication for their feeding ecology</t>
  </si>
  <si>
    <t>Balaenoptera bonaerensis; Balaenoptera acutorostrata; Antarctic minke whale; common minke whale; skull morphology; feeding morphology; engulfment capacity</t>
  </si>
  <si>
    <t>RORQUAL WHALES; ENGULFMENT; FOOD; CONSUMPTION; ALLOMETRY; RADIATION; PACIFIC; HABITAT; BALEEN; FIN</t>
  </si>
  <si>
    <t>The differences in rorqual feeding ecology have been linked to the presence of different morphological markers. The Antarctic minke whale (Balaenoptera bonaerensis Burmeister, 1867) and the common minke whale (Baiaenoptera acutorostrata Lacepede, 1804) are closely related species, but their morphological differences have not been fully investigated. In this study, we compared 21 skull and 11 feeding apparatus (baleen and mouth-related parts) measurement points between these two species using hundreds of individuals covering a wide range of body lengths in both sexes. Their engulfment capacities were estimated using these measurements. Our results show that Antarctic minke whales have (i) proportionally larger skulls to the body length, (ii) more dorsoventrally and laterally curved rostra, (iii) proportionally larger feeding apparatuses to the condylobasal length, and (iv) significantly larger engulfment capacity than common minke whales. These differences could indicate that Antarctic minke whales have developed a feeding strategy suitable for feeding on krill, which forms large schools. In contrast, common minke whales have adapted to prey on small pelagic fishes that are agile and form small schools.</t>
  </si>
  <si>
    <t>[Nishimura, F.; Kim, Y.; Nakamura, G.; Murase, H.; Kato, H.] Tokyo Univ Marine Sci &amp; Technol, Lab Cetacean Biol, Minato Ku, 4-5-7 Konan, Tokyo 1088477, Japan; [Bando, T.; Fujise, Y.; Kato, H.] Inst Cetacean Res, Chuo Ku, Toyomi Shinko Bldg 5F,4-5 Toyomi Cho, Tokyo 1040055, Japan</t>
  </si>
  <si>
    <t>Tokyo University of Marine Science &amp; Technology</t>
  </si>
  <si>
    <t>Nishimura, F (corresponding author), Tokyo Univ Marine Sci &amp; Technol, Lab Cetacean Biol, Minato Ku, 4-5-7 Konan, Tokyo 1088477, Japan.</t>
  </si>
  <si>
    <t>leaf079.barusa@gmail.com</t>
  </si>
  <si>
    <t>Murase, Hiroto/W-3556-2019</t>
  </si>
  <si>
    <t>Murase, Hiroto/0000-0001-7784-6555</t>
  </si>
  <si>
    <t>Moritani Scholarship Foundation; Nakato Scholarship Foundation</t>
  </si>
  <si>
    <t>The research programs were conducted by the Institute of Cetacean Research, Japan Fisheries Research and Education Agency, and the Fisheries Agency of Japan. Thework of F. Nishimurawas partially supported by the Moritani Scholarship Foundation and the Nakato Scholarship Foundation.</t>
  </si>
  <si>
    <t>10.1139/cjz-2020-0237</t>
  </si>
  <si>
    <t>XB4IX</t>
  </si>
  <si>
    <t>WOS:000721295300006</t>
  </si>
  <si>
    <t>Lu, YQ; Liu, QY; Xie, SP</t>
  </si>
  <si>
    <t>Lu Yiqun; Liu Qinyu; Xie Shang-Ping</t>
  </si>
  <si>
    <t>Covariability of Subantarctic Mode Water and the Southern Branch of the Subtropical Indian Ocean Countercurrent in Argo Observations</t>
  </si>
  <si>
    <t>JOURNAL OF OCEAN UNIVERSITY OF CHINA</t>
  </si>
  <si>
    <t>subantarctic mode water; South Indian Ocean Countercurrent; Argo observations; long-term change; interannual variability</t>
  </si>
  <si>
    <t>MIXED-LAYER; OVERTURNING CIRCULATION; PACIFIC; CLOSURE; FRONTS</t>
  </si>
  <si>
    <t>The Subantarctic Mode Water (SAMW) forms in the deep mixed layer north of the Antarctic Circumpolar Current and spreads northward into the subtropical gyre. The subtropical South Indian Countercurrent (SICC) flows eastward on the north flank of the thick SAMW layer within 22 degrees - 32 degrees S from south of Madagascar at around 25 degrees S, 50 degrees E toward western Australia. The dynamical relation of the SAMW and the southern branch of the SICC (30 degrees - 32 degrees S) is investigated in this work based on the monthly mean Argo data from 2004 to 2019. The physical properties of the SAMW and its pathway from the formation region are described. Most of the SAMW in the Indian Ocean sector originates from the deep mixed layers of the southeastern Indian Ocean (about 40 degrees S, 85 degrees - 105 degrees E) and moves along the subtropical gyre. It takes around ten years to arrive east of Madagascar Island preserving its low potential vorticity characteristics. As a thick layer with homogeneous vertical properties, the SAMW forces the upper pycnocline to shoal, and the associated eastward shear results in the surface-intensified SICC. The SAMW forms a tongue-shaped thickness pattern, which influences the southern branch of the SICC above the northern flank of the thickest SAMW layer between 24 degrees S and 32 degrees S. The seasonal, interannual, and decade variations of the southern branch of the SICC are closely related to the meridional gradient of the underlying SAMW thickness. The SAMW thickened and strengthened from 2005 to 2015, thereby anchoring a strengthened SICC. The interannual covariability of the SAMW and SICC further supports the SAMW's role in driving SICC variability.</t>
  </si>
  <si>
    <t>[Lu Yiqun; Liu Qinyu] Ocean Univ China, Phys Oceanog Lab, Qingdao 266100, Peoples R China; [Lu Yiqun; Liu Qinyu] Qingdao Natl Lab Marine Sci &amp; Technol, Qingdao 266100, Peoples R China; [Xie Shang-Ping] Univ Calif San Diego, Scripps Inst Oceanog, La Jolla, CA 92093 USA</t>
  </si>
  <si>
    <t>Ocean University of China; Laoshan Laboratory; University of California System; University of California San Diego; Scripps Institution of Oceanography</t>
  </si>
  <si>
    <t>Liu, QY (corresponding author), Ocean Univ China, Phys Oceanog Lab, Qingdao 266100, Peoples R China.;Liu, QY (corresponding author), Qingdao Natl Lab Marine Sci &amp; Technol, Qingdao 266100, Peoples R China.</t>
  </si>
  <si>
    <t>liuqy@ouc.edu.cn</t>
  </si>
  <si>
    <t>Xie, Shang-Ping/C-1254-2009</t>
  </si>
  <si>
    <t>Xie, Shang-Ping/0000-0002-3676-1325</t>
  </si>
  <si>
    <t>OCEAN UNIV CHINA</t>
  </si>
  <si>
    <t>QINGDAO</t>
  </si>
  <si>
    <t>5 YUSHAN RD, QINGDAO, 266003, PEOPLES R CHINA</t>
  </si>
  <si>
    <t>1672-5182</t>
  </si>
  <si>
    <t>1993-5021</t>
  </si>
  <si>
    <t>J OCEAN U CHINA</t>
  </si>
  <si>
    <t>J. OCEAN UNIV.</t>
  </si>
  <si>
    <t>10.1007/s11802-021-4677-4</t>
  </si>
  <si>
    <t>XA7HU</t>
  </si>
  <si>
    <t>WOS:000720813700003</t>
  </si>
  <si>
    <t>Pham, HTM; Jöst, AB; Karanovic, I</t>
  </si>
  <si>
    <t>Pham, Huyen T. M.; Jost, Anna B.; Karanovic, Ivana</t>
  </si>
  <si>
    <t>Phylogenetic position of Xenoleberis Kornicker, 1994 within Cylindroleberidinae (Ostracoda: Myodocopa) with descriptions of three new species and one new genus from the Northwestern Pacific Ocean</t>
  </si>
  <si>
    <t>MARINE BIODIVERSITY</t>
  </si>
  <si>
    <t>Biodiversity; Crustacea; Far East; Molecular phylogeny; Systematics; Taxonomic key</t>
  </si>
  <si>
    <t>MULTIPLE SEQUENCE ALIGNMENT; MOLECULAR PHYLOGENY; BOOTSTRAP FREQUENCIES; SMALL INVERTEBRATES; RIBOSOMAL DNA; IQ-TREE; CRUSTACEA; EVOLUTIONARY; MORPHOLOGY; EMERGENCE</t>
  </si>
  <si>
    <t>Cylindroleberididae is a peculiar ostracod myodocopid family, characterized by the presence of gills. It accounts for over 200 species described from all bathymetric ranges and from all the world's oceans. Nevertheless, its biodiversity is still underestimated, with each study brining new taxa to the list. As a result of recent sampling effort in seas around Korea and Japan, we report five cylindroleberid taxa. One of those is described as a new genus (Toyoshioleberis gen. nov.), and four belong to Xenoleberis Komicker, 1994. Of the latter, three are described as new species, and one has already been reported from Japan, but is the first record for Korea. In fact, our study is also the first record of the family from this country. Having fresh samples provided an opportunity to obtain sequences of three gene markers (16S, 28S, and 18S rRNA), and, by combining those with the ones belonging to Cylindroleberididae available in GenBank, we reconstruct a molecular phylogeny with the aim to assess the position of the new taxa within the family and try to resolve the currently polyphyletic nature of some cylindroleberid taxa. The results of the phylogenetic analyses indicate the monophyly of Xenoleberis and its deep separation from Toyoshioleberis, along with distinct morphological features genetics to support our taxonomic decision. In addition, the phylogenetic results confirm that the general systematic of Cylindroleberididae should be reassessed, in particular the tribes of the subfamily Cyclasteropinae should be given a higher systematic ranking, as suggested previously based on morphology alone.</t>
  </si>
  <si>
    <t>[Pham, Huyen T. M.; Jost, Anna B.; Karanovic, Ivana] Hanyang Univ, Coll Nat Sci, Res Inst Convergence Basic Sci, Dept Life Sci, Seoul 04763, South Korea; [Karanovic, Ivana] Univ Tasmania, Inst Marine &amp; Antarctic Studies, Private Bag 49, Hobart, Tas 7001, Australia</t>
  </si>
  <si>
    <t>Hanyang University; University of Tasmania</t>
  </si>
  <si>
    <t>Karanovic, I (corresponding author), Hanyang Univ, Coll Nat Sci, Res Inst Convergence Basic Sci, Dept Life Sci, Seoul 04763, South Korea.;Karanovic, I (corresponding author), Univ Tasmania, Inst Marine &amp; Antarctic Studies, Private Bag 49, Hobart, Tas 7001, Australia.</t>
  </si>
  <si>
    <t>minhhuyen.ks.nb@gmail.com; annajoest@outlook.com; ivana@hanyang.ac.kr</t>
  </si>
  <si>
    <t>Huyen, Pham Thi Minh/GQB-2488-2022</t>
  </si>
  <si>
    <t>Huyen, Pham Thi Minh/0000-0001-9689-8596; Jost-Kim, Anna Beate/0000-0002-1289-3630</t>
  </si>
  <si>
    <t>National Research Foundation of Korea [2016R1D1A1B01009806]; Ministry of Science and ICT [2019H1D3A1A01070922]; NRF - Ministry of Education [2020R1A6A1A06046827]; National Institute of Biological Resources (NIBR) - Ministry of Environment (MOE) of the Republic of Korea [NIBR202102203]</t>
  </si>
  <si>
    <t>National Research Foundation of Korea(National Research Foundation of Korea); Ministry of Science and ICT(Ministry of Science, ICT &amp; Future Planning, Republic of Korea); NRF - Ministry of Education(National Research Foundation of Korea); National Institute of Biological Resources (NIBR) - Ministry of Environment (MOE) of the Republic of Korea(Ministry of Environment (ME), Republic of Korea)</t>
  </si>
  <si>
    <t>This study was funded by the National Research Foundation of Korea (grant number: 2016R1D1A1B01009806), the Brain Pool Program through NRF funded by the Ministry of Science and ICT (grant number: 2019H1D3A1A01070922), the Basic Science Research Program through NRF funded by the Ministry of Education (grant number: 2020R1A6A1A06046827), and the National Institute of Biological Resources (NIBR), funded by theMinistry of Environment (MOE) of the Republic of Korea (grant number: NIBR202102203).</t>
  </si>
  <si>
    <t>1867-1616</t>
  </si>
  <si>
    <t>1867-1624</t>
  </si>
  <si>
    <t>MAR BIODIVERS</t>
  </si>
  <si>
    <t>Mar. Biodivers.</t>
  </si>
  <si>
    <t>10.1007/s12526-021-01223-7</t>
  </si>
  <si>
    <t>Biodiversity Conservation; Marine &amp; Freshwater Biology</t>
  </si>
  <si>
    <t>Biodiversity &amp; Conservation; Marine &amp; Freshwater Biology</t>
  </si>
  <si>
    <t>WX8JB</t>
  </si>
  <si>
    <t>WOS:000718834700001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</si>
</sst>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64</v>
      </c>
      <c r="AH2">
        <v>2</v>
      </c>
      <c r="AI2">
        <v>2</v>
      </c>
      <c r="AJ2">
        <v>2</v>
      </c>
      <c r="AK2">
        <v>9</v>
      </c>
      <c r="AL2" t="s">
        <v>92</v>
      </c>
      <c r="AM2" t="s">
        <v>93</v>
      </c>
      <c r="AN2" t="s">
        <v>94</v>
      </c>
      <c r="AO2" t="s">
        <v>95</v>
      </c>
      <c r="AP2" t="s">
        <v>96</v>
      </c>
      <c r="AQ2" t="s">
        <v>74</v>
      </c>
      <c r="AR2" t="s">
        <v>97</v>
      </c>
      <c r="AS2" t="s">
        <v>98</v>
      </c>
      <c r="AT2" t="s">
        <v>99</v>
      </c>
      <c r="AU2">
        <v>2022</v>
      </c>
      <c r="AV2">
        <v>176</v>
      </c>
      <c r="AW2" t="s">
        <v>74</v>
      </c>
      <c r="AX2" t="s">
        <v>74</v>
      </c>
      <c r="AY2" t="s">
        <v>74</v>
      </c>
      <c r="AZ2" t="s">
        <v>74</v>
      </c>
      <c r="BA2" t="s">
        <v>74</v>
      </c>
      <c r="BB2" t="s">
        <v>74</v>
      </c>
      <c r="BC2" t="s">
        <v>74</v>
      </c>
      <c r="BD2">
        <v>113425</v>
      </c>
      <c r="BE2" t="s">
        <v>100</v>
      </c>
      <c r="BF2" t="str">
        <f>HYPERLINK("http://dx.doi.org/10.1016/j.marpolbul.2022.113425","http://dx.doi.org/10.1016/j.marpolbul.2022.113425")</f>
        <v>http://dx.doi.org/10.1016/j.marpolbul.2022.113425</v>
      </c>
      <c r="BG2" t="s">
        <v>74</v>
      </c>
      <c r="BH2" t="s">
        <v>101</v>
      </c>
      <c r="BI2">
        <v>9</v>
      </c>
      <c r="BJ2" t="s">
        <v>102</v>
      </c>
      <c r="BK2" t="s">
        <v>103</v>
      </c>
      <c r="BL2" t="s">
        <v>104</v>
      </c>
      <c r="BM2" t="s">
        <v>105</v>
      </c>
      <c r="BN2">
        <v>35189533</v>
      </c>
      <c r="BO2" t="s">
        <v>74</v>
      </c>
      <c r="BP2" t="s">
        <v>74</v>
      </c>
      <c r="BQ2" t="s">
        <v>74</v>
      </c>
      <c r="BR2" t="s">
        <v>106</v>
      </c>
      <c r="BS2" t="s">
        <v>107</v>
      </c>
      <c r="BT2" t="str">
        <f>HYPERLINK("https%3A%2F%2Fwww.webofscience.com%2Fwos%2Fwoscc%2Ffull-record%2FWOS:000777864700003","View Full Record in Web of Science")</f>
        <v>View Full Record in Web of Science</v>
      </c>
    </row>
    <row r="3" spans="1:72" x14ac:dyDescent="0.15">
      <c r="A3" t="s">
        <v>72</v>
      </c>
      <c r="B3" t="s">
        <v>108</v>
      </c>
      <c r="C3" t="s">
        <v>74</v>
      </c>
      <c r="D3" t="s">
        <v>74</v>
      </c>
      <c r="E3" t="s">
        <v>74</v>
      </c>
      <c r="F3" t="s">
        <v>109</v>
      </c>
      <c r="G3" t="s">
        <v>74</v>
      </c>
      <c r="H3" t="s">
        <v>74</v>
      </c>
      <c r="I3" t="s">
        <v>110</v>
      </c>
      <c r="J3" t="s">
        <v>111</v>
      </c>
      <c r="K3" t="s">
        <v>74</v>
      </c>
      <c r="L3" t="s">
        <v>74</v>
      </c>
      <c r="M3" t="s">
        <v>78</v>
      </c>
      <c r="N3" t="s">
        <v>79</v>
      </c>
      <c r="O3" t="s">
        <v>74</v>
      </c>
      <c r="P3" t="s">
        <v>74</v>
      </c>
      <c r="Q3" t="s">
        <v>74</v>
      </c>
      <c r="R3" t="s">
        <v>74</v>
      </c>
      <c r="S3" t="s">
        <v>74</v>
      </c>
      <c r="T3" t="s">
        <v>74</v>
      </c>
      <c r="U3" t="s">
        <v>112</v>
      </c>
      <c r="V3" t="s">
        <v>113</v>
      </c>
      <c r="W3" t="s">
        <v>114</v>
      </c>
      <c r="X3" t="s">
        <v>115</v>
      </c>
      <c r="Y3" t="s">
        <v>116</v>
      </c>
      <c r="Z3" t="s">
        <v>117</v>
      </c>
      <c r="AA3" t="s">
        <v>118</v>
      </c>
      <c r="AB3" t="s">
        <v>119</v>
      </c>
      <c r="AC3" t="s">
        <v>74</v>
      </c>
      <c r="AD3" t="s">
        <v>74</v>
      </c>
      <c r="AE3" t="s">
        <v>74</v>
      </c>
      <c r="AF3" t="s">
        <v>74</v>
      </c>
      <c r="AG3">
        <v>114</v>
      </c>
      <c r="AH3">
        <v>6</v>
      </c>
      <c r="AI3">
        <v>6</v>
      </c>
      <c r="AJ3">
        <v>1</v>
      </c>
      <c r="AK3">
        <v>20</v>
      </c>
      <c r="AL3" t="s">
        <v>120</v>
      </c>
      <c r="AM3" t="s">
        <v>121</v>
      </c>
      <c r="AN3" t="s">
        <v>122</v>
      </c>
      <c r="AO3" t="s">
        <v>123</v>
      </c>
      <c r="AP3" t="s">
        <v>124</v>
      </c>
      <c r="AQ3" t="s">
        <v>74</v>
      </c>
      <c r="AR3" t="s">
        <v>125</v>
      </c>
      <c r="AS3" t="s">
        <v>126</v>
      </c>
      <c r="AT3" t="s">
        <v>127</v>
      </c>
      <c r="AU3">
        <v>2022</v>
      </c>
      <c r="AV3">
        <v>22</v>
      </c>
      <c r="AW3">
        <v>4</v>
      </c>
      <c r="AX3" t="s">
        <v>74</v>
      </c>
      <c r="AY3" t="s">
        <v>74</v>
      </c>
      <c r="AZ3" t="s">
        <v>74</v>
      </c>
      <c r="BA3" t="s">
        <v>74</v>
      </c>
      <c r="BB3">
        <v>2309</v>
      </c>
      <c r="BC3">
        <v>2332</v>
      </c>
      <c r="BD3" t="s">
        <v>74</v>
      </c>
      <c r="BE3" t="s">
        <v>128</v>
      </c>
      <c r="BF3" t="str">
        <f>HYPERLINK("http://dx.doi.org/10.5194/acp-22-2309-2022","http://dx.doi.org/10.5194/acp-22-2309-2022")</f>
        <v>http://dx.doi.org/10.5194/acp-22-2309-2022</v>
      </c>
      <c r="BG3" t="s">
        <v>74</v>
      </c>
      <c r="BH3" t="s">
        <v>74</v>
      </c>
      <c r="BI3">
        <v>24</v>
      </c>
      <c r="BJ3" t="s">
        <v>129</v>
      </c>
      <c r="BK3" t="s">
        <v>103</v>
      </c>
      <c r="BL3" t="s">
        <v>130</v>
      </c>
      <c r="BM3" t="s">
        <v>131</v>
      </c>
      <c r="BN3" t="s">
        <v>74</v>
      </c>
      <c r="BO3" t="s">
        <v>132</v>
      </c>
      <c r="BP3" t="s">
        <v>74</v>
      </c>
      <c r="BQ3" t="s">
        <v>74</v>
      </c>
      <c r="BR3" t="s">
        <v>106</v>
      </c>
      <c r="BS3" t="s">
        <v>133</v>
      </c>
      <c r="BT3" t="str">
        <f>HYPERLINK("https%3A%2F%2Fwww.webofscience.com%2Fwos%2Fwoscc%2Ffull-record%2FWOS:000760393000001","View Full Record in Web of Science")</f>
        <v>View Full Record in Web of Science</v>
      </c>
    </row>
    <row r="4" spans="1:72" x14ac:dyDescent="0.15">
      <c r="A4" t="s">
        <v>72</v>
      </c>
      <c r="B4" t="s">
        <v>134</v>
      </c>
      <c r="C4" t="s">
        <v>74</v>
      </c>
      <c r="D4" t="s">
        <v>74</v>
      </c>
      <c r="E4" t="s">
        <v>74</v>
      </c>
      <c r="F4" t="s">
        <v>135</v>
      </c>
      <c r="G4" t="s">
        <v>74</v>
      </c>
      <c r="H4" t="s">
        <v>74</v>
      </c>
      <c r="I4" t="s">
        <v>136</v>
      </c>
      <c r="J4" t="s">
        <v>137</v>
      </c>
      <c r="K4" t="s">
        <v>74</v>
      </c>
      <c r="L4" t="s">
        <v>74</v>
      </c>
      <c r="M4" t="s">
        <v>78</v>
      </c>
      <c r="N4" t="s">
        <v>79</v>
      </c>
      <c r="O4" t="s">
        <v>74</v>
      </c>
      <c r="P4" t="s">
        <v>74</v>
      </c>
      <c r="Q4" t="s">
        <v>74</v>
      </c>
      <c r="R4" t="s">
        <v>74</v>
      </c>
      <c r="S4" t="s">
        <v>74</v>
      </c>
      <c r="T4" t="s">
        <v>74</v>
      </c>
      <c r="U4" t="s">
        <v>138</v>
      </c>
      <c r="V4" t="s">
        <v>139</v>
      </c>
      <c r="W4" t="s">
        <v>140</v>
      </c>
      <c r="X4" t="s">
        <v>141</v>
      </c>
      <c r="Y4" t="s">
        <v>142</v>
      </c>
      <c r="Z4" t="s">
        <v>143</v>
      </c>
      <c r="AA4" t="s">
        <v>144</v>
      </c>
      <c r="AB4" t="s">
        <v>145</v>
      </c>
      <c r="AC4" t="s">
        <v>74</v>
      </c>
      <c r="AD4" t="s">
        <v>74</v>
      </c>
      <c r="AE4" t="s">
        <v>74</v>
      </c>
      <c r="AF4" t="s">
        <v>74</v>
      </c>
      <c r="AG4">
        <v>93</v>
      </c>
      <c r="AH4">
        <v>10</v>
      </c>
      <c r="AI4">
        <v>11</v>
      </c>
      <c r="AJ4">
        <v>2</v>
      </c>
      <c r="AK4">
        <v>13</v>
      </c>
      <c r="AL4" t="s">
        <v>120</v>
      </c>
      <c r="AM4" t="s">
        <v>121</v>
      </c>
      <c r="AN4" t="s">
        <v>122</v>
      </c>
      <c r="AO4" t="s">
        <v>146</v>
      </c>
      <c r="AP4" t="s">
        <v>147</v>
      </c>
      <c r="AQ4" t="s">
        <v>74</v>
      </c>
      <c r="AR4" t="s">
        <v>148</v>
      </c>
      <c r="AS4" t="s">
        <v>149</v>
      </c>
      <c r="AT4" t="s">
        <v>127</v>
      </c>
      <c r="AU4">
        <v>2022</v>
      </c>
      <c r="AV4">
        <v>15</v>
      </c>
      <c r="AW4">
        <v>4</v>
      </c>
      <c r="AX4" t="s">
        <v>74</v>
      </c>
      <c r="AY4" t="s">
        <v>74</v>
      </c>
      <c r="AZ4" t="s">
        <v>74</v>
      </c>
      <c r="BA4" t="s">
        <v>74</v>
      </c>
      <c r="BB4">
        <v>1477</v>
      </c>
      <c r="BC4">
        <v>1497</v>
      </c>
      <c r="BD4" t="s">
        <v>74</v>
      </c>
      <c r="BE4" t="s">
        <v>150</v>
      </c>
      <c r="BF4" t="str">
        <f>HYPERLINK("http://dx.doi.org/10.5194/gmd-15-1477-2022","http://dx.doi.org/10.5194/gmd-15-1477-2022")</f>
        <v>http://dx.doi.org/10.5194/gmd-15-1477-2022</v>
      </c>
      <c r="BG4" t="s">
        <v>74</v>
      </c>
      <c r="BH4" t="s">
        <v>74</v>
      </c>
      <c r="BI4">
        <v>21</v>
      </c>
      <c r="BJ4" t="s">
        <v>151</v>
      </c>
      <c r="BK4" t="s">
        <v>103</v>
      </c>
      <c r="BL4" t="s">
        <v>152</v>
      </c>
      <c r="BM4" t="s">
        <v>153</v>
      </c>
      <c r="BN4" t="s">
        <v>74</v>
      </c>
      <c r="BO4" t="s">
        <v>154</v>
      </c>
      <c r="BP4" t="s">
        <v>74</v>
      </c>
      <c r="BQ4" t="s">
        <v>74</v>
      </c>
      <c r="BR4" t="s">
        <v>106</v>
      </c>
      <c r="BS4" t="s">
        <v>155</v>
      </c>
      <c r="BT4" t="str">
        <f>HYPERLINK("https%3A%2F%2Fwww.webofscience.com%2Fwos%2Fwoscc%2Ffull-record%2FWOS:000760301100001","View Full Record in Web of Science")</f>
        <v>View Full Record in Web of Science</v>
      </c>
    </row>
    <row r="5" spans="1:72" x14ac:dyDescent="0.15">
      <c r="A5" t="s">
        <v>72</v>
      </c>
      <c r="B5" t="s">
        <v>156</v>
      </c>
      <c r="C5" t="s">
        <v>74</v>
      </c>
      <c r="D5" t="s">
        <v>74</v>
      </c>
      <c r="E5" t="s">
        <v>74</v>
      </c>
      <c r="F5" t="s">
        <v>157</v>
      </c>
      <c r="G5" t="s">
        <v>74</v>
      </c>
      <c r="H5" t="s">
        <v>74</v>
      </c>
      <c r="I5" t="s">
        <v>158</v>
      </c>
      <c r="J5" t="s">
        <v>159</v>
      </c>
      <c r="K5" t="s">
        <v>74</v>
      </c>
      <c r="L5" t="s">
        <v>74</v>
      </c>
      <c r="M5" t="s">
        <v>78</v>
      </c>
      <c r="N5" t="s">
        <v>79</v>
      </c>
      <c r="O5" t="s">
        <v>74</v>
      </c>
      <c r="P5" t="s">
        <v>74</v>
      </c>
      <c r="Q5" t="s">
        <v>74</v>
      </c>
      <c r="R5" t="s">
        <v>74</v>
      </c>
      <c r="S5" t="s">
        <v>74</v>
      </c>
      <c r="T5" t="s">
        <v>160</v>
      </c>
      <c r="U5" t="s">
        <v>161</v>
      </c>
      <c r="V5" t="s">
        <v>74</v>
      </c>
      <c r="W5" t="s">
        <v>162</v>
      </c>
      <c r="X5" t="s">
        <v>163</v>
      </c>
      <c r="Y5" t="s">
        <v>164</v>
      </c>
      <c r="Z5" t="s">
        <v>165</v>
      </c>
      <c r="AA5" t="s">
        <v>166</v>
      </c>
      <c r="AB5" t="s">
        <v>167</v>
      </c>
      <c r="AC5" t="s">
        <v>168</v>
      </c>
      <c r="AD5" t="s">
        <v>169</v>
      </c>
      <c r="AE5" t="s">
        <v>170</v>
      </c>
      <c r="AF5" t="s">
        <v>74</v>
      </c>
      <c r="AG5">
        <v>35</v>
      </c>
      <c r="AH5">
        <v>1</v>
      </c>
      <c r="AI5">
        <v>1</v>
      </c>
      <c r="AJ5">
        <v>1</v>
      </c>
      <c r="AK5">
        <v>5</v>
      </c>
      <c r="AL5" t="s">
        <v>171</v>
      </c>
      <c r="AM5" t="s">
        <v>172</v>
      </c>
      <c r="AN5" t="s">
        <v>173</v>
      </c>
      <c r="AO5" t="s">
        <v>174</v>
      </c>
      <c r="AP5" t="s">
        <v>175</v>
      </c>
      <c r="AQ5" t="s">
        <v>74</v>
      </c>
      <c r="AR5" t="s">
        <v>176</v>
      </c>
      <c r="AS5" t="s">
        <v>177</v>
      </c>
      <c r="AT5" t="s">
        <v>178</v>
      </c>
      <c r="AU5">
        <v>2022</v>
      </c>
      <c r="AV5">
        <v>45</v>
      </c>
      <c r="AW5">
        <v>5</v>
      </c>
      <c r="AX5" t="s">
        <v>74</v>
      </c>
      <c r="AY5" t="s">
        <v>74</v>
      </c>
      <c r="AZ5" t="s">
        <v>74</v>
      </c>
      <c r="BA5" t="s">
        <v>74</v>
      </c>
      <c r="BB5">
        <v>755</v>
      </c>
      <c r="BC5">
        <v>760</v>
      </c>
      <c r="BD5" t="s">
        <v>74</v>
      </c>
      <c r="BE5" t="s">
        <v>179</v>
      </c>
      <c r="BF5" t="str">
        <f>HYPERLINK("http://dx.doi.org/10.1111/jfd.13598","http://dx.doi.org/10.1111/jfd.13598")</f>
        <v>http://dx.doi.org/10.1111/jfd.13598</v>
      </c>
      <c r="BG5" t="s">
        <v>74</v>
      </c>
      <c r="BH5" t="s">
        <v>101</v>
      </c>
      <c r="BI5">
        <v>6</v>
      </c>
      <c r="BJ5" t="s">
        <v>180</v>
      </c>
      <c r="BK5" t="s">
        <v>103</v>
      </c>
      <c r="BL5" t="s">
        <v>180</v>
      </c>
      <c r="BM5" t="s">
        <v>181</v>
      </c>
      <c r="BN5">
        <v>35180313</v>
      </c>
      <c r="BO5" t="s">
        <v>74</v>
      </c>
      <c r="BP5" t="s">
        <v>74</v>
      </c>
      <c r="BQ5" t="s">
        <v>74</v>
      </c>
      <c r="BR5" t="s">
        <v>106</v>
      </c>
      <c r="BS5" t="s">
        <v>182</v>
      </c>
      <c r="BT5" t="str">
        <f>HYPERLINK("https%3A%2F%2Fwww.webofscience.com%2Fwos%2Fwoscc%2Ffull-record%2FWOS:000757527300001","View Full Record in Web of Science")</f>
        <v>View Full Record in Web of Science</v>
      </c>
    </row>
    <row r="6" spans="1:72" x14ac:dyDescent="0.15">
      <c r="A6" t="s">
        <v>72</v>
      </c>
      <c r="B6" t="s">
        <v>183</v>
      </c>
      <c r="C6" t="s">
        <v>74</v>
      </c>
      <c r="D6" t="s">
        <v>74</v>
      </c>
      <c r="E6" t="s">
        <v>74</v>
      </c>
      <c r="F6" t="s">
        <v>184</v>
      </c>
      <c r="G6" t="s">
        <v>74</v>
      </c>
      <c r="H6" t="s">
        <v>74</v>
      </c>
      <c r="I6" t="s">
        <v>185</v>
      </c>
      <c r="J6" t="s">
        <v>186</v>
      </c>
      <c r="K6" t="s">
        <v>74</v>
      </c>
      <c r="L6" t="s">
        <v>74</v>
      </c>
      <c r="M6" t="s">
        <v>78</v>
      </c>
      <c r="N6" t="s">
        <v>79</v>
      </c>
      <c r="O6" t="s">
        <v>74</v>
      </c>
      <c r="P6" t="s">
        <v>74</v>
      </c>
      <c r="Q6" t="s">
        <v>74</v>
      </c>
      <c r="R6" t="s">
        <v>74</v>
      </c>
      <c r="S6" t="s">
        <v>74</v>
      </c>
      <c r="T6" t="s">
        <v>187</v>
      </c>
      <c r="U6" t="s">
        <v>188</v>
      </c>
      <c r="V6" t="s">
        <v>189</v>
      </c>
      <c r="W6" t="s">
        <v>190</v>
      </c>
      <c r="X6" t="s">
        <v>191</v>
      </c>
      <c r="Y6" t="s">
        <v>192</v>
      </c>
      <c r="Z6" t="s">
        <v>193</v>
      </c>
      <c r="AA6" t="s">
        <v>74</v>
      </c>
      <c r="AB6" t="s">
        <v>194</v>
      </c>
      <c r="AC6" t="s">
        <v>195</v>
      </c>
      <c r="AD6" t="s">
        <v>196</v>
      </c>
      <c r="AE6" t="s">
        <v>197</v>
      </c>
      <c r="AF6" t="s">
        <v>74</v>
      </c>
      <c r="AG6">
        <v>107</v>
      </c>
      <c r="AH6">
        <v>3</v>
      </c>
      <c r="AI6">
        <v>3</v>
      </c>
      <c r="AJ6">
        <v>2</v>
      </c>
      <c r="AK6">
        <v>22</v>
      </c>
      <c r="AL6" t="s">
        <v>198</v>
      </c>
      <c r="AM6" t="s">
        <v>199</v>
      </c>
      <c r="AN6" t="s">
        <v>200</v>
      </c>
      <c r="AO6" t="s">
        <v>201</v>
      </c>
      <c r="AP6" t="s">
        <v>202</v>
      </c>
      <c r="AQ6" t="s">
        <v>74</v>
      </c>
      <c r="AR6" t="s">
        <v>203</v>
      </c>
      <c r="AS6" t="s">
        <v>204</v>
      </c>
      <c r="AT6" t="s">
        <v>205</v>
      </c>
      <c r="AU6">
        <v>2022</v>
      </c>
      <c r="AV6">
        <v>68</v>
      </c>
      <c r="AW6">
        <v>271</v>
      </c>
      <c r="AX6" t="s">
        <v>74</v>
      </c>
      <c r="AY6" t="s">
        <v>74</v>
      </c>
      <c r="AZ6" t="s">
        <v>74</v>
      </c>
      <c r="BA6" t="s">
        <v>74</v>
      </c>
      <c r="BB6">
        <v>912</v>
      </c>
      <c r="BC6">
        <v>926</v>
      </c>
      <c r="BD6" t="s">
        <v>206</v>
      </c>
      <c r="BE6" t="s">
        <v>207</v>
      </c>
      <c r="BF6" t="str">
        <f>HYPERLINK("http://dx.doi.org/10.1017/jog.2022.6","http://dx.doi.org/10.1017/jog.2022.6")</f>
        <v>http://dx.doi.org/10.1017/jog.2022.6</v>
      </c>
      <c r="BG6" t="s">
        <v>74</v>
      </c>
      <c r="BH6" t="s">
        <v>101</v>
      </c>
      <c r="BI6">
        <v>15</v>
      </c>
      <c r="BJ6" t="s">
        <v>208</v>
      </c>
      <c r="BK6" t="s">
        <v>103</v>
      </c>
      <c r="BL6" t="s">
        <v>209</v>
      </c>
      <c r="BM6" t="s">
        <v>210</v>
      </c>
      <c r="BN6" t="s">
        <v>74</v>
      </c>
      <c r="BO6" t="s">
        <v>211</v>
      </c>
      <c r="BP6" t="s">
        <v>74</v>
      </c>
      <c r="BQ6" t="s">
        <v>74</v>
      </c>
      <c r="BR6" t="s">
        <v>106</v>
      </c>
      <c r="BS6" t="s">
        <v>212</v>
      </c>
      <c r="BT6" t="str">
        <f>HYPERLINK("https%3A%2F%2Fwww.webofscience.com%2Fwos%2Fwoscc%2Ffull-record%2FWOS:000757695800001","View Full Record in Web of Science")</f>
        <v>View Full Record in Web of Science</v>
      </c>
    </row>
    <row r="7" spans="1:72" x14ac:dyDescent="0.15">
      <c r="A7" t="s">
        <v>72</v>
      </c>
      <c r="B7" t="s">
        <v>213</v>
      </c>
      <c r="C7" t="s">
        <v>74</v>
      </c>
      <c r="D7" t="s">
        <v>74</v>
      </c>
      <c r="E7" t="s">
        <v>74</v>
      </c>
      <c r="F7" t="s">
        <v>214</v>
      </c>
      <c r="G7" t="s">
        <v>74</v>
      </c>
      <c r="H7" t="s">
        <v>74</v>
      </c>
      <c r="I7" t="s">
        <v>215</v>
      </c>
      <c r="J7" t="s">
        <v>216</v>
      </c>
      <c r="K7" t="s">
        <v>74</v>
      </c>
      <c r="L7" t="s">
        <v>74</v>
      </c>
      <c r="M7" t="s">
        <v>78</v>
      </c>
      <c r="N7" t="s">
        <v>79</v>
      </c>
      <c r="O7" t="s">
        <v>74</v>
      </c>
      <c r="P7" t="s">
        <v>74</v>
      </c>
      <c r="Q7" t="s">
        <v>74</v>
      </c>
      <c r="R7" t="s">
        <v>74</v>
      </c>
      <c r="S7" t="s">
        <v>74</v>
      </c>
      <c r="T7" t="s">
        <v>217</v>
      </c>
      <c r="U7" t="s">
        <v>218</v>
      </c>
      <c r="V7" t="s">
        <v>219</v>
      </c>
      <c r="W7" t="s">
        <v>220</v>
      </c>
      <c r="X7" t="s">
        <v>221</v>
      </c>
      <c r="Y7" t="s">
        <v>222</v>
      </c>
      <c r="Z7" t="s">
        <v>223</v>
      </c>
      <c r="AA7" t="s">
        <v>224</v>
      </c>
      <c r="AB7" t="s">
        <v>225</v>
      </c>
      <c r="AC7" t="s">
        <v>226</v>
      </c>
      <c r="AD7" t="s">
        <v>227</v>
      </c>
      <c r="AE7" t="s">
        <v>228</v>
      </c>
      <c r="AF7" t="s">
        <v>74</v>
      </c>
      <c r="AG7">
        <v>44</v>
      </c>
      <c r="AH7">
        <v>7</v>
      </c>
      <c r="AI7">
        <v>7</v>
      </c>
      <c r="AJ7">
        <v>6</v>
      </c>
      <c r="AK7">
        <v>35</v>
      </c>
      <c r="AL7" t="s">
        <v>171</v>
      </c>
      <c r="AM7" t="s">
        <v>172</v>
      </c>
      <c r="AN7" t="s">
        <v>173</v>
      </c>
      <c r="AO7" t="s">
        <v>229</v>
      </c>
      <c r="AP7" t="s">
        <v>230</v>
      </c>
      <c r="AQ7" t="s">
        <v>74</v>
      </c>
      <c r="AR7" t="s">
        <v>231</v>
      </c>
      <c r="AS7" t="s">
        <v>232</v>
      </c>
      <c r="AT7" t="s">
        <v>178</v>
      </c>
      <c r="AU7">
        <v>2022</v>
      </c>
      <c r="AV7">
        <v>57</v>
      </c>
      <c r="AW7">
        <v>5</v>
      </c>
      <c r="AX7" t="s">
        <v>74</v>
      </c>
      <c r="AY7" t="s">
        <v>74</v>
      </c>
      <c r="AZ7" t="s">
        <v>233</v>
      </c>
      <c r="BA7" t="s">
        <v>74</v>
      </c>
      <c r="BB7">
        <v>2886</v>
      </c>
      <c r="BC7">
        <v>2895</v>
      </c>
      <c r="BD7" t="s">
        <v>74</v>
      </c>
      <c r="BE7" t="s">
        <v>234</v>
      </c>
      <c r="BF7" t="str">
        <f>HYPERLINK("http://dx.doi.org/10.1111/ijfs.15588","http://dx.doi.org/10.1111/ijfs.15588")</f>
        <v>http://dx.doi.org/10.1111/ijfs.15588</v>
      </c>
      <c r="BG7" t="s">
        <v>74</v>
      </c>
      <c r="BH7" t="s">
        <v>101</v>
      </c>
      <c r="BI7">
        <v>10</v>
      </c>
      <c r="BJ7" t="s">
        <v>235</v>
      </c>
      <c r="BK7" t="s">
        <v>103</v>
      </c>
      <c r="BL7" t="s">
        <v>235</v>
      </c>
      <c r="BM7" t="s">
        <v>236</v>
      </c>
      <c r="BN7" t="s">
        <v>74</v>
      </c>
      <c r="BO7" t="s">
        <v>74</v>
      </c>
      <c r="BP7" t="s">
        <v>74</v>
      </c>
      <c r="BQ7" t="s">
        <v>74</v>
      </c>
      <c r="BR7" t="s">
        <v>106</v>
      </c>
      <c r="BS7" t="s">
        <v>237</v>
      </c>
      <c r="BT7" t="str">
        <f>HYPERLINK("https%3A%2F%2Fwww.webofscience.com%2Fwos%2Fwoscc%2Ffull-record%2FWOS:000757328300001","View Full Record in Web of Science")</f>
        <v>View Full Record in Web of Science</v>
      </c>
    </row>
    <row r="8" spans="1:72" x14ac:dyDescent="0.15">
      <c r="A8" t="s">
        <v>72</v>
      </c>
      <c r="B8" t="s">
        <v>238</v>
      </c>
      <c r="C8" t="s">
        <v>74</v>
      </c>
      <c r="D8" t="s">
        <v>74</v>
      </c>
      <c r="E8" t="s">
        <v>74</v>
      </c>
      <c r="F8" t="s">
        <v>239</v>
      </c>
      <c r="G8" t="s">
        <v>74</v>
      </c>
      <c r="H8" t="s">
        <v>74</v>
      </c>
      <c r="I8" t="s">
        <v>240</v>
      </c>
      <c r="J8" t="s">
        <v>241</v>
      </c>
      <c r="K8" t="s">
        <v>74</v>
      </c>
      <c r="L8" t="s">
        <v>74</v>
      </c>
      <c r="M8" t="s">
        <v>78</v>
      </c>
      <c r="N8" t="s">
        <v>79</v>
      </c>
      <c r="O8" t="s">
        <v>74</v>
      </c>
      <c r="P8" t="s">
        <v>74</v>
      </c>
      <c r="Q8" t="s">
        <v>74</v>
      </c>
      <c r="R8" t="s">
        <v>74</v>
      </c>
      <c r="S8" t="s">
        <v>74</v>
      </c>
      <c r="T8" t="s">
        <v>242</v>
      </c>
      <c r="U8" t="s">
        <v>243</v>
      </c>
      <c r="V8" t="s">
        <v>244</v>
      </c>
      <c r="W8" t="s">
        <v>245</v>
      </c>
      <c r="X8" t="s">
        <v>246</v>
      </c>
      <c r="Y8" t="s">
        <v>247</v>
      </c>
      <c r="Z8" t="s">
        <v>248</v>
      </c>
      <c r="AA8" t="s">
        <v>249</v>
      </c>
      <c r="AB8" t="s">
        <v>250</v>
      </c>
      <c r="AC8" t="s">
        <v>251</v>
      </c>
      <c r="AD8" t="s">
        <v>252</v>
      </c>
      <c r="AE8" t="s">
        <v>253</v>
      </c>
      <c r="AF8" t="s">
        <v>74</v>
      </c>
      <c r="AG8">
        <v>176</v>
      </c>
      <c r="AH8">
        <v>2</v>
      </c>
      <c r="AI8">
        <v>2</v>
      </c>
      <c r="AJ8">
        <v>1</v>
      </c>
      <c r="AK8">
        <v>4</v>
      </c>
      <c r="AL8" t="s">
        <v>254</v>
      </c>
      <c r="AM8" t="s">
        <v>255</v>
      </c>
      <c r="AN8" t="s">
        <v>256</v>
      </c>
      <c r="AO8" t="s">
        <v>257</v>
      </c>
      <c r="AP8" t="s">
        <v>258</v>
      </c>
      <c r="AQ8" t="s">
        <v>74</v>
      </c>
      <c r="AR8" t="s">
        <v>241</v>
      </c>
      <c r="AS8" t="s">
        <v>259</v>
      </c>
      <c r="AT8" t="s">
        <v>260</v>
      </c>
      <c r="AU8">
        <v>2022</v>
      </c>
      <c r="AV8">
        <v>378</v>
      </c>
      <c r="AW8" t="s">
        <v>74</v>
      </c>
      <c r="AX8" t="s">
        <v>74</v>
      </c>
      <c r="AY8" t="s">
        <v>74</v>
      </c>
      <c r="AZ8" t="s">
        <v>74</v>
      </c>
      <c r="BA8" t="s">
        <v>74</v>
      </c>
      <c r="BB8" t="s">
        <v>74</v>
      </c>
      <c r="BC8" t="s">
        <v>74</v>
      </c>
      <c r="BD8">
        <v>114941</v>
      </c>
      <c r="BE8" t="s">
        <v>261</v>
      </c>
      <c r="BF8" t="str">
        <f>HYPERLINK("http://dx.doi.org/10.1016/j.icarus.2022.114941","http://dx.doi.org/10.1016/j.icarus.2022.114941")</f>
        <v>http://dx.doi.org/10.1016/j.icarus.2022.114941</v>
      </c>
      <c r="BG8" t="s">
        <v>74</v>
      </c>
      <c r="BH8" t="s">
        <v>101</v>
      </c>
      <c r="BI8">
        <v>20</v>
      </c>
      <c r="BJ8" t="s">
        <v>262</v>
      </c>
      <c r="BK8" t="s">
        <v>103</v>
      </c>
      <c r="BL8" t="s">
        <v>262</v>
      </c>
      <c r="BM8" t="s">
        <v>263</v>
      </c>
      <c r="BN8" t="s">
        <v>74</v>
      </c>
      <c r="BO8" t="s">
        <v>264</v>
      </c>
      <c r="BP8" t="s">
        <v>74</v>
      </c>
      <c r="BQ8" t="s">
        <v>74</v>
      </c>
      <c r="BR8" t="s">
        <v>106</v>
      </c>
      <c r="BS8" t="s">
        <v>265</v>
      </c>
      <c r="BT8" t="str">
        <f>HYPERLINK("https%3A%2F%2Fwww.webofscience.com%2Fwos%2Fwoscc%2Ffull-record%2FWOS:000793267900005","View Full Record in Web of Science")</f>
        <v>View Full Record in Web of Science</v>
      </c>
    </row>
    <row r="9" spans="1:72" x14ac:dyDescent="0.15">
      <c r="A9" t="s">
        <v>72</v>
      </c>
      <c r="B9" t="s">
        <v>266</v>
      </c>
      <c r="C9" t="s">
        <v>74</v>
      </c>
      <c r="D9" t="s">
        <v>74</v>
      </c>
      <c r="E9" t="s">
        <v>74</v>
      </c>
      <c r="F9" t="s">
        <v>267</v>
      </c>
      <c r="G9" t="s">
        <v>74</v>
      </c>
      <c r="H9" t="s">
        <v>74</v>
      </c>
      <c r="I9" t="s">
        <v>268</v>
      </c>
      <c r="J9" t="s">
        <v>269</v>
      </c>
      <c r="K9" t="s">
        <v>74</v>
      </c>
      <c r="L9" t="s">
        <v>74</v>
      </c>
      <c r="M9" t="s">
        <v>78</v>
      </c>
      <c r="N9" t="s">
        <v>79</v>
      </c>
      <c r="O9" t="s">
        <v>74</v>
      </c>
      <c r="P9" t="s">
        <v>74</v>
      </c>
      <c r="Q9" t="s">
        <v>74</v>
      </c>
      <c r="R9" t="s">
        <v>74</v>
      </c>
      <c r="S9" t="s">
        <v>74</v>
      </c>
      <c r="T9" t="s">
        <v>74</v>
      </c>
      <c r="U9" t="s">
        <v>270</v>
      </c>
      <c r="V9" t="s">
        <v>271</v>
      </c>
      <c r="W9" t="s">
        <v>272</v>
      </c>
      <c r="X9" t="s">
        <v>273</v>
      </c>
      <c r="Y9" t="s">
        <v>274</v>
      </c>
      <c r="Z9" t="s">
        <v>275</v>
      </c>
      <c r="AA9" t="s">
        <v>276</v>
      </c>
      <c r="AB9" t="s">
        <v>277</v>
      </c>
      <c r="AC9" t="s">
        <v>278</v>
      </c>
      <c r="AD9" t="s">
        <v>279</v>
      </c>
      <c r="AE9" t="s">
        <v>280</v>
      </c>
      <c r="AF9" t="s">
        <v>74</v>
      </c>
      <c r="AG9">
        <v>77</v>
      </c>
      <c r="AH9">
        <v>7</v>
      </c>
      <c r="AI9">
        <v>8</v>
      </c>
      <c r="AJ9">
        <v>2</v>
      </c>
      <c r="AK9">
        <v>4</v>
      </c>
      <c r="AL9" t="s">
        <v>281</v>
      </c>
      <c r="AM9" t="s">
        <v>282</v>
      </c>
      <c r="AN9" t="s">
        <v>283</v>
      </c>
      <c r="AO9" t="s">
        <v>284</v>
      </c>
      <c r="AP9" t="s">
        <v>74</v>
      </c>
      <c r="AQ9" t="s">
        <v>74</v>
      </c>
      <c r="AR9" t="s">
        <v>269</v>
      </c>
      <c r="AS9" t="s">
        <v>285</v>
      </c>
      <c r="AT9" t="s">
        <v>286</v>
      </c>
      <c r="AU9">
        <v>2022</v>
      </c>
      <c r="AV9">
        <v>17</v>
      </c>
      <c r="AW9">
        <v>2</v>
      </c>
      <c r="AX9" t="s">
        <v>74</v>
      </c>
      <c r="AY9" t="s">
        <v>74</v>
      </c>
      <c r="AZ9" t="s">
        <v>74</v>
      </c>
      <c r="BA9" t="s">
        <v>74</v>
      </c>
      <c r="BB9" t="s">
        <v>74</v>
      </c>
      <c r="BC9" t="s">
        <v>74</v>
      </c>
      <c r="BD9" t="s">
        <v>287</v>
      </c>
      <c r="BE9" t="s">
        <v>288</v>
      </c>
      <c r="BF9" t="str">
        <f>HYPERLINK("http://dx.doi.org/10.1371/journal.pone.0264055","http://dx.doi.org/10.1371/journal.pone.0264055")</f>
        <v>http://dx.doi.org/10.1371/journal.pone.0264055</v>
      </c>
      <c r="BG9" t="s">
        <v>74</v>
      </c>
      <c r="BH9" t="s">
        <v>74</v>
      </c>
      <c r="BI9">
        <v>24</v>
      </c>
      <c r="BJ9" t="s">
        <v>289</v>
      </c>
      <c r="BK9" t="s">
        <v>103</v>
      </c>
      <c r="BL9" t="s">
        <v>290</v>
      </c>
      <c r="BM9" t="s">
        <v>291</v>
      </c>
      <c r="BN9">
        <v>35176093</v>
      </c>
      <c r="BO9" t="s">
        <v>292</v>
      </c>
      <c r="BP9" t="s">
        <v>74</v>
      </c>
      <c r="BQ9" t="s">
        <v>74</v>
      </c>
      <c r="BR9" t="s">
        <v>106</v>
      </c>
      <c r="BS9" t="s">
        <v>293</v>
      </c>
      <c r="BT9" t="str">
        <f>HYPERLINK("https%3A%2F%2Fwww.webofscience.com%2Fwos%2Fwoscc%2Ffull-record%2FWOS:000777505200069","View Full Record in Web of Science")</f>
        <v>View Full Record in Web of Science</v>
      </c>
    </row>
    <row r="10" spans="1:72" x14ac:dyDescent="0.15">
      <c r="A10" t="s">
        <v>72</v>
      </c>
      <c r="B10" t="s">
        <v>294</v>
      </c>
      <c r="C10" t="s">
        <v>74</v>
      </c>
      <c r="D10" t="s">
        <v>74</v>
      </c>
      <c r="E10" t="s">
        <v>74</v>
      </c>
      <c r="F10" t="s">
        <v>295</v>
      </c>
      <c r="G10" t="s">
        <v>74</v>
      </c>
      <c r="H10" t="s">
        <v>74</v>
      </c>
      <c r="I10" t="s">
        <v>296</v>
      </c>
      <c r="J10" t="s">
        <v>297</v>
      </c>
      <c r="K10" t="s">
        <v>74</v>
      </c>
      <c r="L10" t="s">
        <v>74</v>
      </c>
      <c r="M10" t="s">
        <v>78</v>
      </c>
      <c r="N10" t="s">
        <v>79</v>
      </c>
      <c r="O10" t="s">
        <v>74</v>
      </c>
      <c r="P10" t="s">
        <v>74</v>
      </c>
      <c r="Q10" t="s">
        <v>74</v>
      </c>
      <c r="R10" t="s">
        <v>74</v>
      </c>
      <c r="S10" t="s">
        <v>74</v>
      </c>
      <c r="T10" t="s">
        <v>298</v>
      </c>
      <c r="U10" t="s">
        <v>299</v>
      </c>
      <c r="V10" t="s">
        <v>300</v>
      </c>
      <c r="W10" t="s">
        <v>301</v>
      </c>
      <c r="X10" t="s">
        <v>302</v>
      </c>
      <c r="Y10" t="s">
        <v>303</v>
      </c>
      <c r="Z10" t="s">
        <v>304</v>
      </c>
      <c r="AA10" t="s">
        <v>305</v>
      </c>
      <c r="AB10" t="s">
        <v>306</v>
      </c>
      <c r="AC10" t="s">
        <v>307</v>
      </c>
      <c r="AD10" t="s">
        <v>308</v>
      </c>
      <c r="AE10" t="s">
        <v>309</v>
      </c>
      <c r="AF10" t="s">
        <v>74</v>
      </c>
      <c r="AG10">
        <v>146</v>
      </c>
      <c r="AH10">
        <v>3</v>
      </c>
      <c r="AI10">
        <v>3</v>
      </c>
      <c r="AJ10">
        <v>4</v>
      </c>
      <c r="AK10">
        <v>14</v>
      </c>
      <c r="AL10" t="s">
        <v>310</v>
      </c>
      <c r="AM10" t="s">
        <v>311</v>
      </c>
      <c r="AN10" t="s">
        <v>312</v>
      </c>
      <c r="AO10" t="s">
        <v>313</v>
      </c>
      <c r="AP10" t="s">
        <v>314</v>
      </c>
      <c r="AQ10" t="s">
        <v>74</v>
      </c>
      <c r="AR10" t="s">
        <v>315</v>
      </c>
      <c r="AS10" t="s">
        <v>316</v>
      </c>
      <c r="AT10" t="s">
        <v>99</v>
      </c>
      <c r="AU10">
        <v>2022</v>
      </c>
      <c r="AV10">
        <v>445</v>
      </c>
      <c r="AW10" t="s">
        <v>74</v>
      </c>
      <c r="AX10" t="s">
        <v>74</v>
      </c>
      <c r="AY10" t="s">
        <v>74</v>
      </c>
      <c r="AZ10" t="s">
        <v>74</v>
      </c>
      <c r="BA10" t="s">
        <v>74</v>
      </c>
      <c r="BB10" t="s">
        <v>74</v>
      </c>
      <c r="BC10" t="s">
        <v>74</v>
      </c>
      <c r="BD10">
        <v>106754</v>
      </c>
      <c r="BE10" t="s">
        <v>317</v>
      </c>
      <c r="BF10" t="str">
        <f>HYPERLINK("http://dx.doi.org/10.1016/j.margeo.2022.106754","http://dx.doi.org/10.1016/j.margeo.2022.106754")</f>
        <v>http://dx.doi.org/10.1016/j.margeo.2022.106754</v>
      </c>
      <c r="BG10" t="s">
        <v>74</v>
      </c>
      <c r="BH10" t="s">
        <v>101</v>
      </c>
      <c r="BI10">
        <v>22</v>
      </c>
      <c r="BJ10" t="s">
        <v>318</v>
      </c>
      <c r="BK10" t="s">
        <v>103</v>
      </c>
      <c r="BL10" t="s">
        <v>319</v>
      </c>
      <c r="BM10" t="s">
        <v>320</v>
      </c>
      <c r="BN10" t="s">
        <v>74</v>
      </c>
      <c r="BO10" t="s">
        <v>264</v>
      </c>
      <c r="BP10" t="s">
        <v>74</v>
      </c>
      <c r="BQ10" t="s">
        <v>74</v>
      </c>
      <c r="BR10" t="s">
        <v>106</v>
      </c>
      <c r="BS10" t="s">
        <v>321</v>
      </c>
      <c r="BT10" t="str">
        <f>HYPERLINK("https%3A%2F%2Fwww.webofscience.com%2Fwos%2Fwoscc%2Ffull-record%2FWOS:000772604000001","View Full Record in Web of Science")</f>
        <v>View Full Record in Web of Science</v>
      </c>
    </row>
    <row r="11" spans="1:72" x14ac:dyDescent="0.15">
      <c r="A11" t="s">
        <v>72</v>
      </c>
      <c r="B11" t="s">
        <v>322</v>
      </c>
      <c r="C11" t="s">
        <v>74</v>
      </c>
      <c r="D11" t="s">
        <v>74</v>
      </c>
      <c r="E11" t="s">
        <v>74</v>
      </c>
      <c r="F11" t="s">
        <v>323</v>
      </c>
      <c r="G11" t="s">
        <v>74</v>
      </c>
      <c r="H11" t="s">
        <v>74</v>
      </c>
      <c r="I11" t="s">
        <v>324</v>
      </c>
      <c r="J11" t="s">
        <v>325</v>
      </c>
      <c r="K11" t="s">
        <v>74</v>
      </c>
      <c r="L11" t="s">
        <v>74</v>
      </c>
      <c r="M11" t="s">
        <v>78</v>
      </c>
      <c r="N11" t="s">
        <v>79</v>
      </c>
      <c r="O11" t="s">
        <v>74</v>
      </c>
      <c r="P11" t="s">
        <v>74</v>
      </c>
      <c r="Q11" t="s">
        <v>74</v>
      </c>
      <c r="R11" t="s">
        <v>74</v>
      </c>
      <c r="S11" t="s">
        <v>74</v>
      </c>
      <c r="T11" t="s">
        <v>74</v>
      </c>
      <c r="U11" t="s">
        <v>326</v>
      </c>
      <c r="V11" t="s">
        <v>327</v>
      </c>
      <c r="W11" t="s">
        <v>328</v>
      </c>
      <c r="X11" t="s">
        <v>329</v>
      </c>
      <c r="Y11" t="s">
        <v>330</v>
      </c>
      <c r="Z11" t="s">
        <v>331</v>
      </c>
      <c r="AA11" t="s">
        <v>332</v>
      </c>
      <c r="AB11" t="s">
        <v>333</v>
      </c>
      <c r="AC11" t="s">
        <v>334</v>
      </c>
      <c r="AD11" t="s">
        <v>335</v>
      </c>
      <c r="AE11" t="s">
        <v>336</v>
      </c>
      <c r="AF11" t="s">
        <v>74</v>
      </c>
      <c r="AG11">
        <v>104</v>
      </c>
      <c r="AH11">
        <v>5</v>
      </c>
      <c r="AI11">
        <v>6</v>
      </c>
      <c r="AJ11">
        <v>4</v>
      </c>
      <c r="AK11">
        <v>16</v>
      </c>
      <c r="AL11" t="s">
        <v>337</v>
      </c>
      <c r="AM11" t="s">
        <v>338</v>
      </c>
      <c r="AN11" t="s">
        <v>339</v>
      </c>
      <c r="AO11" t="s">
        <v>74</v>
      </c>
      <c r="AP11" t="s">
        <v>340</v>
      </c>
      <c r="AQ11" t="s">
        <v>74</v>
      </c>
      <c r="AR11" t="s">
        <v>341</v>
      </c>
      <c r="AS11" t="s">
        <v>342</v>
      </c>
      <c r="AT11" t="s">
        <v>286</v>
      </c>
      <c r="AU11">
        <v>2022</v>
      </c>
      <c r="AV11">
        <v>5</v>
      </c>
      <c r="AW11">
        <v>1</v>
      </c>
      <c r="AX11" t="s">
        <v>74</v>
      </c>
      <c r="AY11" t="s">
        <v>74</v>
      </c>
      <c r="AZ11" t="s">
        <v>74</v>
      </c>
      <c r="BA11" t="s">
        <v>74</v>
      </c>
      <c r="BB11" t="s">
        <v>74</v>
      </c>
      <c r="BC11" t="s">
        <v>74</v>
      </c>
      <c r="BD11">
        <v>140</v>
      </c>
      <c r="BE11" t="s">
        <v>343</v>
      </c>
      <c r="BF11" t="str">
        <f>HYPERLINK("http://dx.doi.org/10.1038/s42003-022-03089-2","http://dx.doi.org/10.1038/s42003-022-03089-2")</f>
        <v>http://dx.doi.org/10.1038/s42003-022-03089-2</v>
      </c>
      <c r="BG11" t="s">
        <v>74</v>
      </c>
      <c r="BH11" t="s">
        <v>74</v>
      </c>
      <c r="BI11">
        <v>12</v>
      </c>
      <c r="BJ11" t="s">
        <v>344</v>
      </c>
      <c r="BK11" t="s">
        <v>103</v>
      </c>
      <c r="BL11" t="s">
        <v>345</v>
      </c>
      <c r="BM11" t="s">
        <v>346</v>
      </c>
      <c r="BN11">
        <v>35177770</v>
      </c>
      <c r="BO11" t="s">
        <v>211</v>
      </c>
      <c r="BP11" t="s">
        <v>74</v>
      </c>
      <c r="BQ11" t="s">
        <v>74</v>
      </c>
      <c r="BR11" t="s">
        <v>106</v>
      </c>
      <c r="BS11" t="s">
        <v>347</v>
      </c>
      <c r="BT11" t="str">
        <f>HYPERLINK("https%3A%2F%2Fwww.webofscience.com%2Fwos%2Fwoscc%2Ffull-record%2FWOS:000757506400003","View Full Record in Web of Science")</f>
        <v>View Full Record in Web of Science</v>
      </c>
    </row>
    <row r="12" spans="1:72" x14ac:dyDescent="0.15">
      <c r="A12" t="s">
        <v>72</v>
      </c>
      <c r="B12" t="s">
        <v>348</v>
      </c>
      <c r="C12" t="s">
        <v>74</v>
      </c>
      <c r="D12" t="s">
        <v>74</v>
      </c>
      <c r="E12" t="s">
        <v>74</v>
      </c>
      <c r="F12" t="s">
        <v>349</v>
      </c>
      <c r="G12" t="s">
        <v>74</v>
      </c>
      <c r="H12" t="s">
        <v>74</v>
      </c>
      <c r="I12" t="s">
        <v>350</v>
      </c>
      <c r="J12" t="s">
        <v>351</v>
      </c>
      <c r="K12" t="s">
        <v>74</v>
      </c>
      <c r="L12" t="s">
        <v>74</v>
      </c>
      <c r="M12" t="s">
        <v>78</v>
      </c>
      <c r="N12" t="s">
        <v>79</v>
      </c>
      <c r="O12" t="s">
        <v>74</v>
      </c>
      <c r="P12" t="s">
        <v>74</v>
      </c>
      <c r="Q12" t="s">
        <v>74</v>
      </c>
      <c r="R12" t="s">
        <v>74</v>
      </c>
      <c r="S12" t="s">
        <v>74</v>
      </c>
      <c r="T12" t="s">
        <v>352</v>
      </c>
      <c r="U12" t="s">
        <v>353</v>
      </c>
      <c r="V12" t="s">
        <v>354</v>
      </c>
      <c r="W12" t="s">
        <v>355</v>
      </c>
      <c r="X12" t="s">
        <v>356</v>
      </c>
      <c r="Y12" t="s">
        <v>357</v>
      </c>
      <c r="Z12" t="s">
        <v>358</v>
      </c>
      <c r="AA12" t="s">
        <v>74</v>
      </c>
      <c r="AB12" t="s">
        <v>359</v>
      </c>
      <c r="AC12" t="s">
        <v>360</v>
      </c>
      <c r="AD12" t="s">
        <v>361</v>
      </c>
      <c r="AE12" t="s">
        <v>362</v>
      </c>
      <c r="AF12" t="s">
        <v>74</v>
      </c>
      <c r="AG12">
        <v>82</v>
      </c>
      <c r="AH12">
        <v>5</v>
      </c>
      <c r="AI12">
        <v>5</v>
      </c>
      <c r="AJ12">
        <v>5</v>
      </c>
      <c r="AK12">
        <v>28</v>
      </c>
      <c r="AL12" t="s">
        <v>363</v>
      </c>
      <c r="AM12" t="s">
        <v>364</v>
      </c>
      <c r="AN12" t="s">
        <v>365</v>
      </c>
      <c r="AO12" t="s">
        <v>74</v>
      </c>
      <c r="AP12" t="s">
        <v>366</v>
      </c>
      <c r="AQ12" t="s">
        <v>74</v>
      </c>
      <c r="AR12" t="s">
        <v>367</v>
      </c>
      <c r="AS12" t="s">
        <v>368</v>
      </c>
      <c r="AT12" t="s">
        <v>286</v>
      </c>
      <c r="AU12">
        <v>2022</v>
      </c>
      <c r="AV12">
        <v>8</v>
      </c>
      <c r="AW12" t="s">
        <v>74</v>
      </c>
      <c r="AX12" t="s">
        <v>74</v>
      </c>
      <c r="AY12" t="s">
        <v>74</v>
      </c>
      <c r="AZ12" t="s">
        <v>74</v>
      </c>
      <c r="BA12" t="s">
        <v>74</v>
      </c>
      <c r="BB12" t="s">
        <v>74</v>
      </c>
      <c r="BC12" t="s">
        <v>74</v>
      </c>
      <c r="BD12">
        <v>797112</v>
      </c>
      <c r="BE12" t="s">
        <v>369</v>
      </c>
      <c r="BF12" t="str">
        <f>HYPERLINK("http://dx.doi.org/10.3389/fmars.2021.797112","http://dx.doi.org/10.3389/fmars.2021.797112")</f>
        <v>http://dx.doi.org/10.3389/fmars.2021.797112</v>
      </c>
      <c r="BG12" t="s">
        <v>74</v>
      </c>
      <c r="BH12" t="s">
        <v>74</v>
      </c>
      <c r="BI12">
        <v>12</v>
      </c>
      <c r="BJ12" t="s">
        <v>102</v>
      </c>
      <c r="BK12" t="s">
        <v>103</v>
      </c>
      <c r="BL12" t="s">
        <v>104</v>
      </c>
      <c r="BM12" t="s">
        <v>370</v>
      </c>
      <c r="BN12" t="s">
        <v>74</v>
      </c>
      <c r="BO12" t="s">
        <v>371</v>
      </c>
      <c r="BP12" t="s">
        <v>74</v>
      </c>
      <c r="BQ12" t="s">
        <v>74</v>
      </c>
      <c r="BR12" t="s">
        <v>106</v>
      </c>
      <c r="BS12" t="s">
        <v>372</v>
      </c>
      <c r="BT12" t="str">
        <f>HYPERLINK("https%3A%2F%2Fwww.webofscience.com%2Fwos%2Fwoscc%2Ffull-record%2FWOS:000765071800001","View Full Record in Web of Science")</f>
        <v>View Full Record in Web of Science</v>
      </c>
    </row>
    <row r="13" spans="1:72" x14ac:dyDescent="0.15">
      <c r="A13" t="s">
        <v>72</v>
      </c>
      <c r="B13" t="s">
        <v>373</v>
      </c>
      <c r="C13" t="s">
        <v>74</v>
      </c>
      <c r="D13" t="s">
        <v>74</v>
      </c>
      <c r="E13" t="s">
        <v>74</v>
      </c>
      <c r="F13" t="s">
        <v>374</v>
      </c>
      <c r="G13" t="s">
        <v>74</v>
      </c>
      <c r="H13" t="s">
        <v>74</v>
      </c>
      <c r="I13" t="s">
        <v>375</v>
      </c>
      <c r="J13" t="s">
        <v>376</v>
      </c>
      <c r="K13" t="s">
        <v>74</v>
      </c>
      <c r="L13" t="s">
        <v>74</v>
      </c>
      <c r="M13" t="s">
        <v>78</v>
      </c>
      <c r="N13" t="s">
        <v>79</v>
      </c>
      <c r="O13" t="s">
        <v>74</v>
      </c>
      <c r="P13" t="s">
        <v>74</v>
      </c>
      <c r="Q13" t="s">
        <v>74</v>
      </c>
      <c r="R13" t="s">
        <v>74</v>
      </c>
      <c r="S13" t="s">
        <v>74</v>
      </c>
      <c r="T13" t="s">
        <v>377</v>
      </c>
      <c r="U13" t="s">
        <v>74</v>
      </c>
      <c r="V13" t="s">
        <v>378</v>
      </c>
      <c r="W13" t="s">
        <v>379</v>
      </c>
      <c r="X13" t="s">
        <v>380</v>
      </c>
      <c r="Y13" t="s">
        <v>381</v>
      </c>
      <c r="Z13" t="s">
        <v>382</v>
      </c>
      <c r="AA13" t="s">
        <v>74</v>
      </c>
      <c r="AB13" t="s">
        <v>383</v>
      </c>
      <c r="AC13" t="s">
        <v>74</v>
      </c>
      <c r="AD13" t="s">
        <v>74</v>
      </c>
      <c r="AE13" t="s">
        <v>74</v>
      </c>
      <c r="AF13" t="s">
        <v>74</v>
      </c>
      <c r="AG13">
        <v>23</v>
      </c>
      <c r="AH13">
        <v>0</v>
      </c>
      <c r="AI13">
        <v>0</v>
      </c>
      <c r="AJ13">
        <v>0</v>
      </c>
      <c r="AK13">
        <v>0</v>
      </c>
      <c r="AL13" t="s">
        <v>384</v>
      </c>
      <c r="AM13" t="s">
        <v>385</v>
      </c>
      <c r="AN13" t="s">
        <v>386</v>
      </c>
      <c r="AO13" t="s">
        <v>387</v>
      </c>
      <c r="AP13" t="s">
        <v>388</v>
      </c>
      <c r="AQ13" t="s">
        <v>74</v>
      </c>
      <c r="AR13" t="s">
        <v>389</v>
      </c>
      <c r="AS13" t="s">
        <v>390</v>
      </c>
      <c r="AT13" t="s">
        <v>286</v>
      </c>
      <c r="AU13">
        <v>2022</v>
      </c>
      <c r="AV13">
        <v>10</v>
      </c>
      <c r="AW13" t="s">
        <v>74</v>
      </c>
      <c r="AX13" t="s">
        <v>74</v>
      </c>
      <c r="AY13" t="s">
        <v>74</v>
      </c>
      <c r="AZ13" t="s">
        <v>74</v>
      </c>
      <c r="BA13" t="s">
        <v>74</v>
      </c>
      <c r="BB13" t="s">
        <v>74</v>
      </c>
      <c r="BC13" t="s">
        <v>74</v>
      </c>
      <c r="BD13" t="s">
        <v>391</v>
      </c>
      <c r="BE13" t="s">
        <v>392</v>
      </c>
      <c r="BF13" t="str">
        <f>HYPERLINK("http://dx.doi.org/10.3897/BDJ.10.e76864","http://dx.doi.org/10.3897/BDJ.10.e76864")</f>
        <v>http://dx.doi.org/10.3897/BDJ.10.e76864</v>
      </c>
      <c r="BG13" t="s">
        <v>74</v>
      </c>
      <c r="BH13" t="s">
        <v>74</v>
      </c>
      <c r="BI13">
        <v>13</v>
      </c>
      <c r="BJ13" t="s">
        <v>393</v>
      </c>
      <c r="BK13" t="s">
        <v>103</v>
      </c>
      <c r="BL13" t="s">
        <v>394</v>
      </c>
      <c r="BM13" t="s">
        <v>395</v>
      </c>
      <c r="BN13">
        <v>35221751</v>
      </c>
      <c r="BO13" t="s">
        <v>292</v>
      </c>
      <c r="BP13" t="s">
        <v>74</v>
      </c>
      <c r="BQ13" t="s">
        <v>74</v>
      </c>
      <c r="BR13" t="s">
        <v>106</v>
      </c>
      <c r="BS13" t="s">
        <v>396</v>
      </c>
      <c r="BT13" t="str">
        <f>HYPERLINK("https%3A%2F%2Fwww.webofscience.com%2Fwos%2Fwoscc%2Ffull-record%2FWOS:000759057600001","View Full Record in Web of Science")</f>
        <v>View Full Record in Web of Science</v>
      </c>
    </row>
    <row r="14" spans="1:72" x14ac:dyDescent="0.15">
      <c r="A14" t="s">
        <v>72</v>
      </c>
      <c r="B14" t="s">
        <v>397</v>
      </c>
      <c r="C14" t="s">
        <v>74</v>
      </c>
      <c r="D14" t="s">
        <v>74</v>
      </c>
      <c r="E14" t="s">
        <v>74</v>
      </c>
      <c r="F14" t="s">
        <v>398</v>
      </c>
      <c r="G14" t="s">
        <v>74</v>
      </c>
      <c r="H14" t="s">
        <v>74</v>
      </c>
      <c r="I14" t="s">
        <v>399</v>
      </c>
      <c r="J14" t="s">
        <v>400</v>
      </c>
      <c r="K14" t="s">
        <v>74</v>
      </c>
      <c r="L14" t="s">
        <v>74</v>
      </c>
      <c r="M14" t="s">
        <v>78</v>
      </c>
      <c r="N14" t="s">
        <v>79</v>
      </c>
      <c r="O14" t="s">
        <v>74</v>
      </c>
      <c r="P14" t="s">
        <v>74</v>
      </c>
      <c r="Q14" t="s">
        <v>74</v>
      </c>
      <c r="R14" t="s">
        <v>74</v>
      </c>
      <c r="S14" t="s">
        <v>74</v>
      </c>
      <c r="T14" t="s">
        <v>74</v>
      </c>
      <c r="U14" t="s">
        <v>401</v>
      </c>
      <c r="V14" t="s">
        <v>402</v>
      </c>
      <c r="W14" t="s">
        <v>403</v>
      </c>
      <c r="X14" t="s">
        <v>404</v>
      </c>
      <c r="Y14" t="s">
        <v>405</v>
      </c>
      <c r="Z14" t="s">
        <v>406</v>
      </c>
      <c r="AA14" t="s">
        <v>407</v>
      </c>
      <c r="AB14" t="s">
        <v>408</v>
      </c>
      <c r="AC14" t="s">
        <v>409</v>
      </c>
      <c r="AD14" t="s">
        <v>410</v>
      </c>
      <c r="AE14" t="s">
        <v>411</v>
      </c>
      <c r="AF14" t="s">
        <v>74</v>
      </c>
      <c r="AG14">
        <v>130</v>
      </c>
      <c r="AH14">
        <v>6</v>
      </c>
      <c r="AI14">
        <v>6</v>
      </c>
      <c r="AJ14">
        <v>3</v>
      </c>
      <c r="AK14">
        <v>21</v>
      </c>
      <c r="AL14" t="s">
        <v>120</v>
      </c>
      <c r="AM14" t="s">
        <v>121</v>
      </c>
      <c r="AN14" t="s">
        <v>122</v>
      </c>
      <c r="AO14" t="s">
        <v>412</v>
      </c>
      <c r="AP14" t="s">
        <v>413</v>
      </c>
      <c r="AQ14" t="s">
        <v>74</v>
      </c>
      <c r="AR14" t="s">
        <v>400</v>
      </c>
      <c r="AS14" t="s">
        <v>414</v>
      </c>
      <c r="AT14" t="s">
        <v>286</v>
      </c>
      <c r="AU14">
        <v>2022</v>
      </c>
      <c r="AV14">
        <v>19</v>
      </c>
      <c r="AW14">
        <v>4</v>
      </c>
      <c r="AX14" t="s">
        <v>74</v>
      </c>
      <c r="AY14" t="s">
        <v>74</v>
      </c>
      <c r="AZ14" t="s">
        <v>74</v>
      </c>
      <c r="BA14" t="s">
        <v>74</v>
      </c>
      <c r="BB14">
        <v>1021</v>
      </c>
      <c r="BC14">
        <v>1045</v>
      </c>
      <c r="BD14" t="s">
        <v>74</v>
      </c>
      <c r="BE14" t="s">
        <v>415</v>
      </c>
      <c r="BF14" t="str">
        <f>HYPERLINK("http://dx.doi.org/10.5194/bg-19-1021-2022","http://dx.doi.org/10.5194/bg-19-1021-2022")</f>
        <v>http://dx.doi.org/10.5194/bg-19-1021-2022</v>
      </c>
      <c r="BG14" t="s">
        <v>74</v>
      </c>
      <c r="BH14" t="s">
        <v>74</v>
      </c>
      <c r="BI14">
        <v>25</v>
      </c>
      <c r="BJ14" t="s">
        <v>416</v>
      </c>
      <c r="BK14" t="s">
        <v>103</v>
      </c>
      <c r="BL14" t="s">
        <v>417</v>
      </c>
      <c r="BM14" t="s">
        <v>418</v>
      </c>
      <c r="BN14" t="s">
        <v>74</v>
      </c>
      <c r="BO14" t="s">
        <v>419</v>
      </c>
      <c r="BP14" t="s">
        <v>74</v>
      </c>
      <c r="BQ14" t="s">
        <v>74</v>
      </c>
      <c r="BR14" t="s">
        <v>106</v>
      </c>
      <c r="BS14" t="s">
        <v>420</v>
      </c>
      <c r="BT14" t="str">
        <f>HYPERLINK("https%3A%2F%2Fwww.webofscience.com%2Fwos%2Fwoscc%2Ffull-record%2FWOS:000760273000001","View Full Record in Web of Science")</f>
        <v>View Full Record in Web of Science</v>
      </c>
    </row>
    <row r="15" spans="1:72" x14ac:dyDescent="0.15">
      <c r="A15" t="s">
        <v>72</v>
      </c>
      <c r="B15" t="s">
        <v>421</v>
      </c>
      <c r="C15" t="s">
        <v>74</v>
      </c>
      <c r="D15" t="s">
        <v>74</v>
      </c>
      <c r="E15" t="s">
        <v>74</v>
      </c>
      <c r="F15" t="s">
        <v>422</v>
      </c>
      <c r="G15" t="s">
        <v>74</v>
      </c>
      <c r="H15" t="s">
        <v>74</v>
      </c>
      <c r="I15" t="s">
        <v>423</v>
      </c>
      <c r="J15" t="s">
        <v>424</v>
      </c>
      <c r="K15" t="s">
        <v>74</v>
      </c>
      <c r="L15" t="s">
        <v>74</v>
      </c>
      <c r="M15" t="s">
        <v>78</v>
      </c>
      <c r="N15" t="s">
        <v>79</v>
      </c>
      <c r="O15" t="s">
        <v>74</v>
      </c>
      <c r="P15" t="s">
        <v>74</v>
      </c>
      <c r="Q15" t="s">
        <v>74</v>
      </c>
      <c r="R15" t="s">
        <v>74</v>
      </c>
      <c r="S15" t="s">
        <v>74</v>
      </c>
      <c r="T15" t="s">
        <v>74</v>
      </c>
      <c r="U15" t="s">
        <v>425</v>
      </c>
      <c r="V15" t="s">
        <v>426</v>
      </c>
      <c r="W15" t="s">
        <v>427</v>
      </c>
      <c r="X15" t="s">
        <v>428</v>
      </c>
      <c r="Y15" t="s">
        <v>429</v>
      </c>
      <c r="Z15" t="s">
        <v>430</v>
      </c>
      <c r="AA15" t="s">
        <v>74</v>
      </c>
      <c r="AB15" t="s">
        <v>431</v>
      </c>
      <c r="AC15" t="s">
        <v>432</v>
      </c>
      <c r="AD15" t="s">
        <v>433</v>
      </c>
      <c r="AE15" t="s">
        <v>434</v>
      </c>
      <c r="AF15" t="s">
        <v>74</v>
      </c>
      <c r="AG15">
        <v>86</v>
      </c>
      <c r="AH15">
        <v>7</v>
      </c>
      <c r="AI15">
        <v>7</v>
      </c>
      <c r="AJ15">
        <v>3</v>
      </c>
      <c r="AK15">
        <v>24</v>
      </c>
      <c r="AL15" t="s">
        <v>435</v>
      </c>
      <c r="AM15" t="s">
        <v>436</v>
      </c>
      <c r="AN15" t="s">
        <v>437</v>
      </c>
      <c r="AO15" t="s">
        <v>74</v>
      </c>
      <c r="AP15" t="s">
        <v>438</v>
      </c>
      <c r="AQ15" t="s">
        <v>74</v>
      </c>
      <c r="AR15" t="s">
        <v>439</v>
      </c>
      <c r="AS15" t="s">
        <v>440</v>
      </c>
      <c r="AT15" t="s">
        <v>286</v>
      </c>
      <c r="AU15">
        <v>2022</v>
      </c>
      <c r="AV15">
        <v>3</v>
      </c>
      <c r="AW15">
        <v>1</v>
      </c>
      <c r="AX15" t="s">
        <v>74</v>
      </c>
      <c r="AY15" t="s">
        <v>74</v>
      </c>
      <c r="AZ15" t="s">
        <v>74</v>
      </c>
      <c r="BA15" t="s">
        <v>74</v>
      </c>
      <c r="BB15" t="s">
        <v>74</v>
      </c>
      <c r="BC15" t="s">
        <v>74</v>
      </c>
      <c r="BD15">
        <v>31</v>
      </c>
      <c r="BE15" t="s">
        <v>441</v>
      </c>
      <c r="BF15" t="str">
        <f>HYPERLINK("http://dx.doi.org/10.1038/s43247-022-00367-z","http://dx.doi.org/10.1038/s43247-022-00367-z")</f>
        <v>http://dx.doi.org/10.1038/s43247-022-00367-z</v>
      </c>
      <c r="BG15" t="s">
        <v>74</v>
      </c>
      <c r="BH15" t="s">
        <v>74</v>
      </c>
      <c r="BI15">
        <v>12</v>
      </c>
      <c r="BJ15" t="s">
        <v>442</v>
      </c>
      <c r="BK15" t="s">
        <v>103</v>
      </c>
      <c r="BL15" t="s">
        <v>443</v>
      </c>
      <c r="BM15" t="s">
        <v>444</v>
      </c>
      <c r="BN15" t="s">
        <v>74</v>
      </c>
      <c r="BO15" t="s">
        <v>445</v>
      </c>
      <c r="BP15" t="s">
        <v>74</v>
      </c>
      <c r="BQ15" t="s">
        <v>74</v>
      </c>
      <c r="BR15" t="s">
        <v>106</v>
      </c>
      <c r="BS15" t="s">
        <v>446</v>
      </c>
      <c r="BT15" t="str">
        <f>HYPERLINK("https%3A%2F%2Fwww.webofscience.com%2Fwos%2Fwoscc%2Ffull-record%2FWOS:000757425800001","View Full Record in Web of Science")</f>
        <v>View Full Record in Web of Science</v>
      </c>
    </row>
    <row r="16" spans="1:72" x14ac:dyDescent="0.15">
      <c r="A16" t="s">
        <v>72</v>
      </c>
      <c r="B16" t="s">
        <v>447</v>
      </c>
      <c r="C16" t="s">
        <v>74</v>
      </c>
      <c r="D16" t="s">
        <v>74</v>
      </c>
      <c r="E16" t="s">
        <v>74</v>
      </c>
      <c r="F16" t="s">
        <v>448</v>
      </c>
      <c r="G16" t="s">
        <v>74</v>
      </c>
      <c r="H16" t="s">
        <v>74</v>
      </c>
      <c r="I16" t="s">
        <v>449</v>
      </c>
      <c r="J16" t="s">
        <v>424</v>
      </c>
      <c r="K16" t="s">
        <v>74</v>
      </c>
      <c r="L16" t="s">
        <v>74</v>
      </c>
      <c r="M16" t="s">
        <v>78</v>
      </c>
      <c r="N16" t="s">
        <v>79</v>
      </c>
      <c r="O16" t="s">
        <v>74</v>
      </c>
      <c r="P16" t="s">
        <v>74</v>
      </c>
      <c r="Q16" t="s">
        <v>74</v>
      </c>
      <c r="R16" t="s">
        <v>74</v>
      </c>
      <c r="S16" t="s">
        <v>74</v>
      </c>
      <c r="T16" t="s">
        <v>74</v>
      </c>
      <c r="U16" t="s">
        <v>450</v>
      </c>
      <c r="V16" t="s">
        <v>451</v>
      </c>
      <c r="W16" t="s">
        <v>452</v>
      </c>
      <c r="X16" t="s">
        <v>453</v>
      </c>
      <c r="Y16" t="s">
        <v>454</v>
      </c>
      <c r="Z16" t="s">
        <v>455</v>
      </c>
      <c r="AA16" t="s">
        <v>456</v>
      </c>
      <c r="AB16" t="s">
        <v>457</v>
      </c>
      <c r="AC16" t="s">
        <v>458</v>
      </c>
      <c r="AD16" t="s">
        <v>459</v>
      </c>
      <c r="AE16" t="s">
        <v>460</v>
      </c>
      <c r="AF16" t="s">
        <v>74</v>
      </c>
      <c r="AG16">
        <v>64</v>
      </c>
      <c r="AH16">
        <v>10</v>
      </c>
      <c r="AI16">
        <v>10</v>
      </c>
      <c r="AJ16">
        <v>3</v>
      </c>
      <c r="AK16">
        <v>17</v>
      </c>
      <c r="AL16" t="s">
        <v>435</v>
      </c>
      <c r="AM16" t="s">
        <v>436</v>
      </c>
      <c r="AN16" t="s">
        <v>437</v>
      </c>
      <c r="AO16" t="s">
        <v>74</v>
      </c>
      <c r="AP16" t="s">
        <v>438</v>
      </c>
      <c r="AQ16" t="s">
        <v>74</v>
      </c>
      <c r="AR16" t="s">
        <v>439</v>
      </c>
      <c r="AS16" t="s">
        <v>440</v>
      </c>
      <c r="AT16" t="s">
        <v>286</v>
      </c>
      <c r="AU16">
        <v>2022</v>
      </c>
      <c r="AV16">
        <v>3</v>
      </c>
      <c r="AW16">
        <v>1</v>
      </c>
      <c r="AX16" t="s">
        <v>74</v>
      </c>
      <c r="AY16" t="s">
        <v>74</v>
      </c>
      <c r="AZ16" t="s">
        <v>74</v>
      </c>
      <c r="BA16" t="s">
        <v>74</v>
      </c>
      <c r="BB16" t="s">
        <v>74</v>
      </c>
      <c r="BC16" t="s">
        <v>74</v>
      </c>
      <c r="BD16">
        <v>33</v>
      </c>
      <c r="BE16" t="s">
        <v>461</v>
      </c>
      <c r="BF16" t="str">
        <f>HYPERLINK("http://dx.doi.org/10.1038/s43247-022-00359-z","http://dx.doi.org/10.1038/s43247-022-00359-z")</f>
        <v>http://dx.doi.org/10.1038/s43247-022-00359-z</v>
      </c>
      <c r="BG16" t="s">
        <v>74</v>
      </c>
      <c r="BH16" t="s">
        <v>74</v>
      </c>
      <c r="BI16">
        <v>9</v>
      </c>
      <c r="BJ16" t="s">
        <v>442</v>
      </c>
      <c r="BK16" t="s">
        <v>103</v>
      </c>
      <c r="BL16" t="s">
        <v>443</v>
      </c>
      <c r="BM16" t="s">
        <v>444</v>
      </c>
      <c r="BN16" t="s">
        <v>74</v>
      </c>
      <c r="BO16" t="s">
        <v>292</v>
      </c>
      <c r="BP16" t="s">
        <v>74</v>
      </c>
      <c r="BQ16" t="s">
        <v>74</v>
      </c>
      <c r="BR16" t="s">
        <v>106</v>
      </c>
      <c r="BS16" t="s">
        <v>462</v>
      </c>
      <c r="BT16" t="str">
        <f>HYPERLINK("https%3A%2F%2Fwww.webofscience.com%2Fwos%2Fwoscc%2Ffull-record%2FWOS:000757425800004","View Full Record in Web of Science")</f>
        <v>View Full Record in Web of Science</v>
      </c>
    </row>
    <row r="17" spans="1:72" x14ac:dyDescent="0.15">
      <c r="A17" t="s">
        <v>72</v>
      </c>
      <c r="B17" t="s">
        <v>463</v>
      </c>
      <c r="C17" t="s">
        <v>74</v>
      </c>
      <c r="D17" t="s">
        <v>74</v>
      </c>
      <c r="E17" t="s">
        <v>74</v>
      </c>
      <c r="F17" t="s">
        <v>464</v>
      </c>
      <c r="G17" t="s">
        <v>74</v>
      </c>
      <c r="H17" t="s">
        <v>74</v>
      </c>
      <c r="I17" t="s">
        <v>465</v>
      </c>
      <c r="J17" t="s">
        <v>466</v>
      </c>
      <c r="K17" t="s">
        <v>74</v>
      </c>
      <c r="L17" t="s">
        <v>74</v>
      </c>
      <c r="M17" t="s">
        <v>78</v>
      </c>
      <c r="N17" t="s">
        <v>79</v>
      </c>
      <c r="O17" t="s">
        <v>74</v>
      </c>
      <c r="P17" t="s">
        <v>74</v>
      </c>
      <c r="Q17" t="s">
        <v>74</v>
      </c>
      <c r="R17" t="s">
        <v>74</v>
      </c>
      <c r="S17" t="s">
        <v>74</v>
      </c>
      <c r="T17" t="s">
        <v>467</v>
      </c>
      <c r="U17" t="s">
        <v>468</v>
      </c>
      <c r="V17" t="s">
        <v>469</v>
      </c>
      <c r="W17" t="s">
        <v>470</v>
      </c>
      <c r="X17" t="s">
        <v>471</v>
      </c>
      <c r="Y17" t="s">
        <v>472</v>
      </c>
      <c r="Z17" t="s">
        <v>473</v>
      </c>
      <c r="AA17" t="s">
        <v>474</v>
      </c>
      <c r="AB17" t="s">
        <v>475</v>
      </c>
      <c r="AC17" t="s">
        <v>476</v>
      </c>
      <c r="AD17" t="s">
        <v>477</v>
      </c>
      <c r="AE17" t="s">
        <v>478</v>
      </c>
      <c r="AF17" t="s">
        <v>74</v>
      </c>
      <c r="AG17">
        <v>65</v>
      </c>
      <c r="AH17">
        <v>18</v>
      </c>
      <c r="AI17">
        <v>19</v>
      </c>
      <c r="AJ17">
        <v>4</v>
      </c>
      <c r="AK17">
        <v>27</v>
      </c>
      <c r="AL17" t="s">
        <v>171</v>
      </c>
      <c r="AM17" t="s">
        <v>172</v>
      </c>
      <c r="AN17" t="s">
        <v>173</v>
      </c>
      <c r="AO17" t="s">
        <v>479</v>
      </c>
      <c r="AP17" t="s">
        <v>480</v>
      </c>
      <c r="AQ17" t="s">
        <v>74</v>
      </c>
      <c r="AR17" t="s">
        <v>481</v>
      </c>
      <c r="AS17" t="s">
        <v>482</v>
      </c>
      <c r="AT17" t="s">
        <v>483</v>
      </c>
      <c r="AU17">
        <v>2022</v>
      </c>
      <c r="AV17">
        <v>23</v>
      </c>
      <c r="AW17">
        <v>4</v>
      </c>
      <c r="AX17" t="s">
        <v>74</v>
      </c>
      <c r="AY17" t="s">
        <v>74</v>
      </c>
      <c r="AZ17" t="s">
        <v>74</v>
      </c>
      <c r="BA17" t="s">
        <v>74</v>
      </c>
      <c r="BB17">
        <v>800</v>
      </c>
      <c r="BC17">
        <v>811</v>
      </c>
      <c r="BD17" t="s">
        <v>74</v>
      </c>
      <c r="BE17" t="s">
        <v>484</v>
      </c>
      <c r="BF17" t="str">
        <f>HYPERLINK("http://dx.doi.org/10.1111/faf.12649","http://dx.doi.org/10.1111/faf.12649")</f>
        <v>http://dx.doi.org/10.1111/faf.12649</v>
      </c>
      <c r="BG17" t="s">
        <v>74</v>
      </c>
      <c r="BH17" t="s">
        <v>101</v>
      </c>
      <c r="BI17">
        <v>12</v>
      </c>
      <c r="BJ17" t="s">
        <v>485</v>
      </c>
      <c r="BK17" t="s">
        <v>103</v>
      </c>
      <c r="BL17" t="s">
        <v>485</v>
      </c>
      <c r="BM17" t="s">
        <v>486</v>
      </c>
      <c r="BN17">
        <v>35912069</v>
      </c>
      <c r="BO17" t="s">
        <v>487</v>
      </c>
      <c r="BP17" t="s">
        <v>74</v>
      </c>
      <c r="BQ17" t="s">
        <v>74</v>
      </c>
      <c r="BR17" t="s">
        <v>106</v>
      </c>
      <c r="BS17" t="s">
        <v>488</v>
      </c>
      <c r="BT17" t="str">
        <f>HYPERLINK("https%3A%2F%2Fwww.webofscience.com%2Fwos%2Fwoscc%2Ffull-record%2FWOS:000756504500001","View Full Record in Web of Science")</f>
        <v>View Full Record in Web of Science</v>
      </c>
    </row>
    <row r="18" spans="1:72" x14ac:dyDescent="0.15">
      <c r="A18" t="s">
        <v>72</v>
      </c>
      <c r="B18" t="s">
        <v>489</v>
      </c>
      <c r="C18" t="s">
        <v>74</v>
      </c>
      <c r="D18" t="s">
        <v>74</v>
      </c>
      <c r="E18" t="s">
        <v>74</v>
      </c>
      <c r="F18" t="s">
        <v>490</v>
      </c>
      <c r="G18" t="s">
        <v>74</v>
      </c>
      <c r="H18" t="s">
        <v>74</v>
      </c>
      <c r="I18" t="s">
        <v>491</v>
      </c>
      <c r="J18" t="s">
        <v>492</v>
      </c>
      <c r="K18" t="s">
        <v>74</v>
      </c>
      <c r="L18" t="s">
        <v>74</v>
      </c>
      <c r="M18" t="s">
        <v>78</v>
      </c>
      <c r="N18" t="s">
        <v>79</v>
      </c>
      <c r="O18" t="s">
        <v>74</v>
      </c>
      <c r="P18" t="s">
        <v>74</v>
      </c>
      <c r="Q18" t="s">
        <v>74</v>
      </c>
      <c r="R18" t="s">
        <v>74</v>
      </c>
      <c r="S18" t="s">
        <v>74</v>
      </c>
      <c r="T18" t="s">
        <v>493</v>
      </c>
      <c r="U18" t="s">
        <v>494</v>
      </c>
      <c r="V18" t="s">
        <v>495</v>
      </c>
      <c r="W18" t="s">
        <v>496</v>
      </c>
      <c r="X18" t="s">
        <v>497</v>
      </c>
      <c r="Y18" t="s">
        <v>498</v>
      </c>
      <c r="Z18" t="s">
        <v>499</v>
      </c>
      <c r="AA18" t="s">
        <v>500</v>
      </c>
      <c r="AB18" t="s">
        <v>501</v>
      </c>
      <c r="AC18" t="s">
        <v>502</v>
      </c>
      <c r="AD18" t="s">
        <v>503</v>
      </c>
      <c r="AE18" t="s">
        <v>504</v>
      </c>
      <c r="AF18" t="s">
        <v>74</v>
      </c>
      <c r="AG18">
        <v>66</v>
      </c>
      <c r="AH18">
        <v>10</v>
      </c>
      <c r="AI18">
        <v>10</v>
      </c>
      <c r="AJ18">
        <v>5</v>
      </c>
      <c r="AK18">
        <v>18</v>
      </c>
      <c r="AL18" t="s">
        <v>505</v>
      </c>
      <c r="AM18" t="s">
        <v>506</v>
      </c>
      <c r="AN18" t="s">
        <v>507</v>
      </c>
      <c r="AO18" t="s">
        <v>508</v>
      </c>
      <c r="AP18" t="s">
        <v>509</v>
      </c>
      <c r="AQ18" t="s">
        <v>74</v>
      </c>
      <c r="AR18" t="s">
        <v>510</v>
      </c>
      <c r="AS18" t="s">
        <v>511</v>
      </c>
      <c r="AT18" t="s">
        <v>512</v>
      </c>
      <c r="AU18">
        <v>2022</v>
      </c>
      <c r="AV18">
        <v>270</v>
      </c>
      <c r="AW18" t="s">
        <v>74</v>
      </c>
      <c r="AX18" t="s">
        <v>74</v>
      </c>
      <c r="AY18" t="s">
        <v>74</v>
      </c>
      <c r="AZ18" t="s">
        <v>74</v>
      </c>
      <c r="BA18" t="s">
        <v>74</v>
      </c>
      <c r="BB18" t="s">
        <v>74</v>
      </c>
      <c r="BC18" t="s">
        <v>74</v>
      </c>
      <c r="BD18">
        <v>106084</v>
      </c>
      <c r="BE18" t="s">
        <v>513</v>
      </c>
      <c r="BF18" t="str">
        <f>HYPERLINK("http://dx.doi.org/10.1016/j.atmosres.2022.106084","http://dx.doi.org/10.1016/j.atmosres.2022.106084")</f>
        <v>http://dx.doi.org/10.1016/j.atmosres.2022.106084</v>
      </c>
      <c r="BG18" t="s">
        <v>74</v>
      </c>
      <c r="BH18" t="s">
        <v>101</v>
      </c>
      <c r="BI18">
        <v>11</v>
      </c>
      <c r="BJ18" t="s">
        <v>514</v>
      </c>
      <c r="BK18" t="s">
        <v>103</v>
      </c>
      <c r="BL18" t="s">
        <v>514</v>
      </c>
      <c r="BM18" t="s">
        <v>515</v>
      </c>
      <c r="BN18" t="s">
        <v>74</v>
      </c>
      <c r="BO18" t="s">
        <v>74</v>
      </c>
      <c r="BP18" t="s">
        <v>74</v>
      </c>
      <c r="BQ18" t="s">
        <v>74</v>
      </c>
      <c r="BR18" t="s">
        <v>106</v>
      </c>
      <c r="BS18" t="s">
        <v>516</v>
      </c>
      <c r="BT18" t="str">
        <f>HYPERLINK("https%3A%2F%2Fwww.webofscience.com%2Fwos%2Fwoscc%2Ffull-record%2FWOS:000819848000005","View Full Record in Web of Science")</f>
        <v>View Full Record in Web of Science</v>
      </c>
    </row>
    <row r="19" spans="1:72" x14ac:dyDescent="0.15">
      <c r="A19" t="s">
        <v>72</v>
      </c>
      <c r="B19" t="s">
        <v>517</v>
      </c>
      <c r="C19" t="s">
        <v>74</v>
      </c>
      <c r="D19" t="s">
        <v>74</v>
      </c>
      <c r="E19" t="s">
        <v>74</v>
      </c>
      <c r="F19" t="s">
        <v>518</v>
      </c>
      <c r="G19" t="s">
        <v>74</v>
      </c>
      <c r="H19" t="s">
        <v>74</v>
      </c>
      <c r="I19" t="s">
        <v>519</v>
      </c>
      <c r="J19" t="s">
        <v>520</v>
      </c>
      <c r="K19" t="s">
        <v>74</v>
      </c>
      <c r="L19" t="s">
        <v>74</v>
      </c>
      <c r="M19" t="s">
        <v>78</v>
      </c>
      <c r="N19" t="s">
        <v>79</v>
      </c>
      <c r="O19" t="s">
        <v>74</v>
      </c>
      <c r="P19" t="s">
        <v>74</v>
      </c>
      <c r="Q19" t="s">
        <v>74</v>
      </c>
      <c r="R19" t="s">
        <v>74</v>
      </c>
      <c r="S19" t="s">
        <v>74</v>
      </c>
      <c r="T19" t="s">
        <v>521</v>
      </c>
      <c r="U19" t="s">
        <v>522</v>
      </c>
      <c r="V19" t="s">
        <v>523</v>
      </c>
      <c r="W19" t="s">
        <v>524</v>
      </c>
      <c r="X19" t="s">
        <v>525</v>
      </c>
      <c r="Y19" t="s">
        <v>526</v>
      </c>
      <c r="Z19" t="s">
        <v>527</v>
      </c>
      <c r="AA19" t="s">
        <v>528</v>
      </c>
      <c r="AB19" t="s">
        <v>529</v>
      </c>
      <c r="AC19" t="s">
        <v>530</v>
      </c>
      <c r="AD19" t="s">
        <v>531</v>
      </c>
      <c r="AE19" t="s">
        <v>532</v>
      </c>
      <c r="AF19" t="s">
        <v>74</v>
      </c>
      <c r="AG19">
        <v>56</v>
      </c>
      <c r="AH19">
        <v>9</v>
      </c>
      <c r="AI19">
        <v>9</v>
      </c>
      <c r="AJ19">
        <v>10</v>
      </c>
      <c r="AK19">
        <v>62</v>
      </c>
      <c r="AL19" t="s">
        <v>310</v>
      </c>
      <c r="AM19" t="s">
        <v>311</v>
      </c>
      <c r="AN19" t="s">
        <v>312</v>
      </c>
      <c r="AO19" t="s">
        <v>533</v>
      </c>
      <c r="AP19" t="s">
        <v>534</v>
      </c>
      <c r="AQ19" t="s">
        <v>74</v>
      </c>
      <c r="AR19" t="s">
        <v>535</v>
      </c>
      <c r="AS19" t="s">
        <v>536</v>
      </c>
      <c r="AT19" t="s">
        <v>537</v>
      </c>
      <c r="AU19">
        <v>2022</v>
      </c>
      <c r="AV19">
        <v>154</v>
      </c>
      <c r="AW19" t="s">
        <v>74</v>
      </c>
      <c r="AX19" t="s">
        <v>74</v>
      </c>
      <c r="AY19" t="s">
        <v>74</v>
      </c>
      <c r="AZ19" t="s">
        <v>74</v>
      </c>
      <c r="BA19" t="s">
        <v>74</v>
      </c>
      <c r="BB19" t="s">
        <v>74</v>
      </c>
      <c r="BC19" t="s">
        <v>74</v>
      </c>
      <c r="BD19">
        <v>110996</v>
      </c>
      <c r="BE19" t="s">
        <v>538</v>
      </c>
      <c r="BF19" t="str">
        <f>HYPERLINK("http://dx.doi.org/10.1016/j.foodres.2022.110996","http://dx.doi.org/10.1016/j.foodres.2022.110996")</f>
        <v>http://dx.doi.org/10.1016/j.foodres.2022.110996</v>
      </c>
      <c r="BG19" t="s">
        <v>74</v>
      </c>
      <c r="BH19" t="s">
        <v>101</v>
      </c>
      <c r="BI19">
        <v>12</v>
      </c>
      <c r="BJ19" t="s">
        <v>235</v>
      </c>
      <c r="BK19" t="s">
        <v>103</v>
      </c>
      <c r="BL19" t="s">
        <v>235</v>
      </c>
      <c r="BM19" t="s">
        <v>539</v>
      </c>
      <c r="BN19">
        <v>35337564</v>
      </c>
      <c r="BO19" t="s">
        <v>74</v>
      </c>
      <c r="BP19" t="s">
        <v>74</v>
      </c>
      <c r="BQ19" t="s">
        <v>74</v>
      </c>
      <c r="BR19" t="s">
        <v>106</v>
      </c>
      <c r="BS19" t="s">
        <v>540</v>
      </c>
      <c r="BT19" t="str">
        <f>HYPERLINK("https%3A%2F%2Fwww.webofscience.com%2Fwos%2Fwoscc%2Ffull-record%2FWOS:000783080100003","View Full Record in Web of Science")</f>
        <v>View Full Record in Web of Science</v>
      </c>
    </row>
    <row r="20" spans="1:72" x14ac:dyDescent="0.15">
      <c r="A20" t="s">
        <v>72</v>
      </c>
      <c r="B20" t="s">
        <v>541</v>
      </c>
      <c r="C20" t="s">
        <v>74</v>
      </c>
      <c r="D20" t="s">
        <v>74</v>
      </c>
      <c r="E20" t="s">
        <v>74</v>
      </c>
      <c r="F20" t="s">
        <v>542</v>
      </c>
      <c r="G20" t="s">
        <v>74</v>
      </c>
      <c r="H20" t="s">
        <v>74</v>
      </c>
      <c r="I20" t="s">
        <v>543</v>
      </c>
      <c r="J20" t="s">
        <v>544</v>
      </c>
      <c r="K20" t="s">
        <v>74</v>
      </c>
      <c r="L20" t="s">
        <v>74</v>
      </c>
      <c r="M20" t="s">
        <v>78</v>
      </c>
      <c r="N20" t="s">
        <v>79</v>
      </c>
      <c r="O20" t="s">
        <v>74</v>
      </c>
      <c r="P20" t="s">
        <v>74</v>
      </c>
      <c r="Q20" t="s">
        <v>74</v>
      </c>
      <c r="R20" t="s">
        <v>74</v>
      </c>
      <c r="S20" t="s">
        <v>74</v>
      </c>
      <c r="T20" t="s">
        <v>545</v>
      </c>
      <c r="U20" t="s">
        <v>546</v>
      </c>
      <c r="V20" t="s">
        <v>547</v>
      </c>
      <c r="W20" t="s">
        <v>548</v>
      </c>
      <c r="X20" t="s">
        <v>549</v>
      </c>
      <c r="Y20" t="s">
        <v>550</v>
      </c>
      <c r="Z20" t="s">
        <v>551</v>
      </c>
      <c r="AA20" t="s">
        <v>74</v>
      </c>
      <c r="AB20" t="s">
        <v>74</v>
      </c>
      <c r="AC20" t="s">
        <v>552</v>
      </c>
      <c r="AD20" t="s">
        <v>553</v>
      </c>
      <c r="AE20" t="s">
        <v>554</v>
      </c>
      <c r="AF20" t="s">
        <v>74</v>
      </c>
      <c r="AG20">
        <v>35</v>
      </c>
      <c r="AH20">
        <v>27</v>
      </c>
      <c r="AI20">
        <v>27</v>
      </c>
      <c r="AJ20">
        <v>12</v>
      </c>
      <c r="AK20">
        <v>44</v>
      </c>
      <c r="AL20" t="s">
        <v>310</v>
      </c>
      <c r="AM20" t="s">
        <v>311</v>
      </c>
      <c r="AN20" t="s">
        <v>312</v>
      </c>
      <c r="AO20" t="s">
        <v>555</v>
      </c>
      <c r="AP20" t="s">
        <v>556</v>
      </c>
      <c r="AQ20" t="s">
        <v>74</v>
      </c>
      <c r="AR20" t="s">
        <v>557</v>
      </c>
      <c r="AS20" t="s">
        <v>558</v>
      </c>
      <c r="AT20" t="s">
        <v>537</v>
      </c>
      <c r="AU20">
        <v>2022</v>
      </c>
      <c r="AV20">
        <v>108</v>
      </c>
      <c r="AW20" t="s">
        <v>74</v>
      </c>
      <c r="AX20" t="s">
        <v>74</v>
      </c>
      <c r="AY20" t="s">
        <v>74</v>
      </c>
      <c r="AZ20" t="s">
        <v>74</v>
      </c>
      <c r="BA20" t="s">
        <v>74</v>
      </c>
      <c r="BB20" t="s">
        <v>74</v>
      </c>
      <c r="BC20" t="s">
        <v>74</v>
      </c>
      <c r="BD20">
        <v>102719</v>
      </c>
      <c r="BE20" t="s">
        <v>559</v>
      </c>
      <c r="BF20" t="str">
        <f>HYPERLINK("http://dx.doi.org/10.1016/j.jag.2022.102719","http://dx.doi.org/10.1016/j.jag.2022.102719")</f>
        <v>http://dx.doi.org/10.1016/j.jag.2022.102719</v>
      </c>
      <c r="BG20" t="s">
        <v>74</v>
      </c>
      <c r="BH20" t="s">
        <v>101</v>
      </c>
      <c r="BI20">
        <v>8</v>
      </c>
      <c r="BJ20" t="s">
        <v>560</v>
      </c>
      <c r="BK20" t="s">
        <v>103</v>
      </c>
      <c r="BL20" t="s">
        <v>560</v>
      </c>
      <c r="BM20" t="s">
        <v>561</v>
      </c>
      <c r="BN20" t="s">
        <v>74</v>
      </c>
      <c r="BO20" t="s">
        <v>445</v>
      </c>
      <c r="BP20" t="s">
        <v>74</v>
      </c>
      <c r="BQ20" t="s">
        <v>74</v>
      </c>
      <c r="BR20" t="s">
        <v>106</v>
      </c>
      <c r="BS20" t="s">
        <v>562</v>
      </c>
      <c r="BT20" t="str">
        <f>HYPERLINK("https%3A%2F%2Fwww.webofscience.com%2Fwos%2Fwoscc%2Ffull-record%2FWOS:000765280700001","View Full Record in Web of Science")</f>
        <v>View Full Record in Web of Science</v>
      </c>
    </row>
    <row r="21" spans="1:72" x14ac:dyDescent="0.15">
      <c r="A21" t="s">
        <v>72</v>
      </c>
      <c r="B21" t="s">
        <v>563</v>
      </c>
      <c r="C21" t="s">
        <v>74</v>
      </c>
      <c r="D21" t="s">
        <v>74</v>
      </c>
      <c r="E21" t="s">
        <v>74</v>
      </c>
      <c r="F21" t="s">
        <v>564</v>
      </c>
      <c r="G21" t="s">
        <v>74</v>
      </c>
      <c r="H21" t="s">
        <v>74</v>
      </c>
      <c r="I21" t="s">
        <v>565</v>
      </c>
      <c r="J21" t="s">
        <v>566</v>
      </c>
      <c r="K21" t="s">
        <v>74</v>
      </c>
      <c r="L21" t="s">
        <v>74</v>
      </c>
      <c r="M21" t="s">
        <v>78</v>
      </c>
      <c r="N21" t="s">
        <v>79</v>
      </c>
      <c r="O21" t="s">
        <v>74</v>
      </c>
      <c r="P21" t="s">
        <v>74</v>
      </c>
      <c r="Q21" t="s">
        <v>74</v>
      </c>
      <c r="R21" t="s">
        <v>74</v>
      </c>
      <c r="S21" t="s">
        <v>74</v>
      </c>
      <c r="T21" t="s">
        <v>567</v>
      </c>
      <c r="U21" t="s">
        <v>568</v>
      </c>
      <c r="V21" t="s">
        <v>569</v>
      </c>
      <c r="W21" t="s">
        <v>570</v>
      </c>
      <c r="X21" t="s">
        <v>571</v>
      </c>
      <c r="Y21" t="s">
        <v>572</v>
      </c>
      <c r="Z21" t="s">
        <v>573</v>
      </c>
      <c r="AA21" t="s">
        <v>574</v>
      </c>
      <c r="AB21" t="s">
        <v>575</v>
      </c>
      <c r="AC21" t="s">
        <v>576</v>
      </c>
      <c r="AD21" t="s">
        <v>577</v>
      </c>
      <c r="AE21" t="s">
        <v>578</v>
      </c>
      <c r="AF21" t="s">
        <v>74</v>
      </c>
      <c r="AG21">
        <v>154</v>
      </c>
      <c r="AH21">
        <v>4</v>
      </c>
      <c r="AI21">
        <v>4</v>
      </c>
      <c r="AJ21">
        <v>1</v>
      </c>
      <c r="AK21">
        <v>22</v>
      </c>
      <c r="AL21" t="s">
        <v>310</v>
      </c>
      <c r="AM21" t="s">
        <v>311</v>
      </c>
      <c r="AN21" t="s">
        <v>312</v>
      </c>
      <c r="AO21" t="s">
        <v>579</v>
      </c>
      <c r="AP21" t="s">
        <v>580</v>
      </c>
      <c r="AQ21" t="s">
        <v>74</v>
      </c>
      <c r="AR21" t="s">
        <v>581</v>
      </c>
      <c r="AS21" t="s">
        <v>582</v>
      </c>
      <c r="AT21" t="s">
        <v>583</v>
      </c>
      <c r="AU21">
        <v>2022</v>
      </c>
      <c r="AV21">
        <v>252</v>
      </c>
      <c r="AW21" t="s">
        <v>74</v>
      </c>
      <c r="AX21" t="s">
        <v>74</v>
      </c>
      <c r="AY21" t="s">
        <v>74</v>
      </c>
      <c r="AZ21" t="s">
        <v>74</v>
      </c>
      <c r="BA21" t="s">
        <v>74</v>
      </c>
      <c r="BB21" t="s">
        <v>74</v>
      </c>
      <c r="BC21" t="s">
        <v>74</v>
      </c>
      <c r="BD21">
        <v>103940</v>
      </c>
      <c r="BE21" t="s">
        <v>584</v>
      </c>
      <c r="BF21" t="str">
        <f>HYPERLINK("http://dx.doi.org/10.1016/j.coal.2022.103940","http://dx.doi.org/10.1016/j.coal.2022.103940")</f>
        <v>http://dx.doi.org/10.1016/j.coal.2022.103940</v>
      </c>
      <c r="BG21" t="s">
        <v>74</v>
      </c>
      <c r="BH21" t="s">
        <v>101</v>
      </c>
      <c r="BI21">
        <v>24</v>
      </c>
      <c r="BJ21" t="s">
        <v>585</v>
      </c>
      <c r="BK21" t="s">
        <v>103</v>
      </c>
      <c r="BL21" t="s">
        <v>586</v>
      </c>
      <c r="BM21" t="s">
        <v>587</v>
      </c>
      <c r="BN21" t="s">
        <v>74</v>
      </c>
      <c r="BO21" t="s">
        <v>74</v>
      </c>
      <c r="BP21" t="s">
        <v>74</v>
      </c>
      <c r="BQ21" t="s">
        <v>74</v>
      </c>
      <c r="BR21" t="s">
        <v>106</v>
      </c>
      <c r="BS21" t="s">
        <v>588</v>
      </c>
      <c r="BT21" t="str">
        <f>HYPERLINK("https%3A%2F%2Fwww.webofscience.com%2Fwos%2Fwoscc%2Ffull-record%2FWOS:000770580200006","View Full Record in Web of Science")</f>
        <v>View Full Record in Web of Science</v>
      </c>
    </row>
    <row r="22" spans="1:72" x14ac:dyDescent="0.15">
      <c r="A22" t="s">
        <v>72</v>
      </c>
      <c r="B22" t="s">
        <v>589</v>
      </c>
      <c r="C22" t="s">
        <v>74</v>
      </c>
      <c r="D22" t="s">
        <v>74</v>
      </c>
      <c r="E22" t="s">
        <v>74</v>
      </c>
      <c r="F22" t="s">
        <v>590</v>
      </c>
      <c r="G22" t="s">
        <v>74</v>
      </c>
      <c r="H22" t="s">
        <v>74</v>
      </c>
      <c r="I22" t="s">
        <v>591</v>
      </c>
      <c r="J22" t="s">
        <v>592</v>
      </c>
      <c r="K22" t="s">
        <v>74</v>
      </c>
      <c r="L22" t="s">
        <v>74</v>
      </c>
      <c r="M22" t="s">
        <v>78</v>
      </c>
      <c r="N22" t="s">
        <v>79</v>
      </c>
      <c r="O22" t="s">
        <v>74</v>
      </c>
      <c r="P22" t="s">
        <v>74</v>
      </c>
      <c r="Q22" t="s">
        <v>74</v>
      </c>
      <c r="R22" t="s">
        <v>74</v>
      </c>
      <c r="S22" t="s">
        <v>74</v>
      </c>
      <c r="T22" t="s">
        <v>593</v>
      </c>
      <c r="U22" t="s">
        <v>594</v>
      </c>
      <c r="V22" t="s">
        <v>595</v>
      </c>
      <c r="W22" t="s">
        <v>596</v>
      </c>
      <c r="X22" t="s">
        <v>597</v>
      </c>
      <c r="Y22" t="s">
        <v>598</v>
      </c>
      <c r="Z22" t="s">
        <v>599</v>
      </c>
      <c r="AA22" t="s">
        <v>600</v>
      </c>
      <c r="AB22" t="s">
        <v>601</v>
      </c>
      <c r="AC22" t="s">
        <v>602</v>
      </c>
      <c r="AD22" t="s">
        <v>603</v>
      </c>
      <c r="AE22" t="s">
        <v>604</v>
      </c>
      <c r="AF22" t="s">
        <v>74</v>
      </c>
      <c r="AG22">
        <v>57</v>
      </c>
      <c r="AH22">
        <v>8</v>
      </c>
      <c r="AI22">
        <v>10</v>
      </c>
      <c r="AJ22">
        <v>7</v>
      </c>
      <c r="AK22">
        <v>30</v>
      </c>
      <c r="AL22" t="s">
        <v>605</v>
      </c>
      <c r="AM22" t="s">
        <v>606</v>
      </c>
      <c r="AN22" t="s">
        <v>607</v>
      </c>
      <c r="AO22" t="s">
        <v>608</v>
      </c>
      <c r="AP22" t="s">
        <v>609</v>
      </c>
      <c r="AQ22" t="s">
        <v>74</v>
      </c>
      <c r="AR22" t="s">
        <v>610</v>
      </c>
      <c r="AS22" t="s">
        <v>611</v>
      </c>
      <c r="AT22" t="s">
        <v>612</v>
      </c>
      <c r="AU22">
        <v>2022</v>
      </c>
      <c r="AV22">
        <v>127</v>
      </c>
      <c r="AW22">
        <v>3</v>
      </c>
      <c r="AX22" t="s">
        <v>74</v>
      </c>
      <c r="AY22" t="s">
        <v>74</v>
      </c>
      <c r="AZ22" t="s">
        <v>74</v>
      </c>
      <c r="BA22" t="s">
        <v>74</v>
      </c>
      <c r="BB22" t="s">
        <v>74</v>
      </c>
      <c r="BC22" t="s">
        <v>74</v>
      </c>
      <c r="BD22" t="s">
        <v>613</v>
      </c>
      <c r="BE22" t="s">
        <v>614</v>
      </c>
      <c r="BF22" t="str">
        <f>HYPERLINK("http://dx.doi.org/10.1029/2021JD035984","http://dx.doi.org/10.1029/2021JD035984")</f>
        <v>http://dx.doi.org/10.1029/2021JD035984</v>
      </c>
      <c r="BG22" t="s">
        <v>74</v>
      </c>
      <c r="BH22" t="s">
        <v>74</v>
      </c>
      <c r="BI22">
        <v>12</v>
      </c>
      <c r="BJ22" t="s">
        <v>514</v>
      </c>
      <c r="BK22" t="s">
        <v>103</v>
      </c>
      <c r="BL22" t="s">
        <v>514</v>
      </c>
      <c r="BM22" t="s">
        <v>615</v>
      </c>
      <c r="BN22" t="s">
        <v>74</v>
      </c>
      <c r="BO22" t="s">
        <v>74</v>
      </c>
      <c r="BP22" t="s">
        <v>74</v>
      </c>
      <c r="BQ22" t="s">
        <v>74</v>
      </c>
      <c r="BR22" t="s">
        <v>106</v>
      </c>
      <c r="BS22" t="s">
        <v>616</v>
      </c>
      <c r="BT22" t="str">
        <f>HYPERLINK("https%3A%2F%2Fwww.webofscience.com%2Fwos%2Fwoscc%2Ffull-record%2FWOS:000760383000016","View Full Record in Web of Science")</f>
        <v>View Full Record in Web of Science</v>
      </c>
    </row>
    <row r="23" spans="1:72" x14ac:dyDescent="0.15">
      <c r="A23" t="s">
        <v>72</v>
      </c>
      <c r="B23" t="s">
        <v>617</v>
      </c>
      <c r="C23" t="s">
        <v>74</v>
      </c>
      <c r="D23" t="s">
        <v>74</v>
      </c>
      <c r="E23" t="s">
        <v>74</v>
      </c>
      <c r="F23" t="s">
        <v>618</v>
      </c>
      <c r="G23" t="s">
        <v>74</v>
      </c>
      <c r="H23" t="s">
        <v>74</v>
      </c>
      <c r="I23" t="s">
        <v>619</v>
      </c>
      <c r="J23" t="s">
        <v>620</v>
      </c>
      <c r="K23" t="s">
        <v>74</v>
      </c>
      <c r="L23" t="s">
        <v>74</v>
      </c>
      <c r="M23" t="s">
        <v>78</v>
      </c>
      <c r="N23" t="s">
        <v>79</v>
      </c>
      <c r="O23" t="s">
        <v>74</v>
      </c>
      <c r="P23" t="s">
        <v>74</v>
      </c>
      <c r="Q23" t="s">
        <v>74</v>
      </c>
      <c r="R23" t="s">
        <v>74</v>
      </c>
      <c r="S23" t="s">
        <v>74</v>
      </c>
      <c r="T23" t="s">
        <v>621</v>
      </c>
      <c r="U23" t="s">
        <v>622</v>
      </c>
      <c r="V23" t="s">
        <v>623</v>
      </c>
      <c r="W23" t="s">
        <v>624</v>
      </c>
      <c r="X23" t="s">
        <v>625</v>
      </c>
      <c r="Y23" t="s">
        <v>626</v>
      </c>
      <c r="Z23" t="s">
        <v>627</v>
      </c>
      <c r="AA23" t="s">
        <v>628</v>
      </c>
      <c r="AB23" t="s">
        <v>629</v>
      </c>
      <c r="AC23" t="s">
        <v>630</v>
      </c>
      <c r="AD23" t="s">
        <v>631</v>
      </c>
      <c r="AE23" t="s">
        <v>632</v>
      </c>
      <c r="AF23" t="s">
        <v>74</v>
      </c>
      <c r="AG23">
        <v>39</v>
      </c>
      <c r="AH23">
        <v>1</v>
      </c>
      <c r="AI23">
        <v>1</v>
      </c>
      <c r="AJ23">
        <v>0</v>
      </c>
      <c r="AK23">
        <v>3</v>
      </c>
      <c r="AL23" t="s">
        <v>605</v>
      </c>
      <c r="AM23" t="s">
        <v>606</v>
      </c>
      <c r="AN23" t="s">
        <v>607</v>
      </c>
      <c r="AO23" t="s">
        <v>633</v>
      </c>
      <c r="AP23" t="s">
        <v>634</v>
      </c>
      <c r="AQ23" t="s">
        <v>74</v>
      </c>
      <c r="AR23" t="s">
        <v>635</v>
      </c>
      <c r="AS23" t="s">
        <v>636</v>
      </c>
      <c r="AT23" t="s">
        <v>612</v>
      </c>
      <c r="AU23">
        <v>2022</v>
      </c>
      <c r="AV23">
        <v>49</v>
      </c>
      <c r="AW23">
        <v>3</v>
      </c>
      <c r="AX23" t="s">
        <v>74</v>
      </c>
      <c r="AY23" t="s">
        <v>74</v>
      </c>
      <c r="AZ23" t="s">
        <v>74</v>
      </c>
      <c r="BA23" t="s">
        <v>74</v>
      </c>
      <c r="BB23" t="s">
        <v>74</v>
      </c>
      <c r="BC23" t="s">
        <v>74</v>
      </c>
      <c r="BD23" t="s">
        <v>637</v>
      </c>
      <c r="BE23" t="s">
        <v>638</v>
      </c>
      <c r="BF23" t="str">
        <f>HYPERLINK("http://dx.doi.org/10.1029/2021GL095977","http://dx.doi.org/10.1029/2021GL095977")</f>
        <v>http://dx.doi.org/10.1029/2021GL095977</v>
      </c>
      <c r="BG23" t="s">
        <v>74</v>
      </c>
      <c r="BH23" t="s">
        <v>74</v>
      </c>
      <c r="BI23">
        <v>10</v>
      </c>
      <c r="BJ23" t="s">
        <v>151</v>
      </c>
      <c r="BK23" t="s">
        <v>103</v>
      </c>
      <c r="BL23" t="s">
        <v>152</v>
      </c>
      <c r="BM23" t="s">
        <v>639</v>
      </c>
      <c r="BN23" t="s">
        <v>74</v>
      </c>
      <c r="BO23" t="s">
        <v>640</v>
      </c>
      <c r="BP23" t="s">
        <v>74</v>
      </c>
      <c r="BQ23" t="s">
        <v>74</v>
      </c>
      <c r="BR23" t="s">
        <v>106</v>
      </c>
      <c r="BS23" t="s">
        <v>641</v>
      </c>
      <c r="BT23" t="str">
        <f>HYPERLINK("https%3A%2F%2Fwww.webofscience.com%2Fwos%2Fwoscc%2Ffull-record%2FWOS:000759485200042","View Full Record in Web of Science")</f>
        <v>View Full Record in Web of Science</v>
      </c>
    </row>
    <row r="24" spans="1:72" x14ac:dyDescent="0.15">
      <c r="A24" t="s">
        <v>72</v>
      </c>
      <c r="B24" t="s">
        <v>642</v>
      </c>
      <c r="C24" t="s">
        <v>74</v>
      </c>
      <c r="D24" t="s">
        <v>74</v>
      </c>
      <c r="E24" t="s">
        <v>74</v>
      </c>
      <c r="F24" t="s">
        <v>643</v>
      </c>
      <c r="G24" t="s">
        <v>74</v>
      </c>
      <c r="H24" t="s">
        <v>74</v>
      </c>
      <c r="I24" t="s">
        <v>644</v>
      </c>
      <c r="J24" t="s">
        <v>620</v>
      </c>
      <c r="K24" t="s">
        <v>74</v>
      </c>
      <c r="L24" t="s">
        <v>74</v>
      </c>
      <c r="M24" t="s">
        <v>78</v>
      </c>
      <c r="N24" t="s">
        <v>79</v>
      </c>
      <c r="O24" t="s">
        <v>74</v>
      </c>
      <c r="P24" t="s">
        <v>74</v>
      </c>
      <c r="Q24" t="s">
        <v>74</v>
      </c>
      <c r="R24" t="s">
        <v>74</v>
      </c>
      <c r="S24" t="s">
        <v>74</v>
      </c>
      <c r="T24" t="s">
        <v>645</v>
      </c>
      <c r="U24" t="s">
        <v>646</v>
      </c>
      <c r="V24" t="s">
        <v>647</v>
      </c>
      <c r="W24" t="s">
        <v>648</v>
      </c>
      <c r="X24" t="s">
        <v>649</v>
      </c>
      <c r="Y24" t="s">
        <v>650</v>
      </c>
      <c r="Z24" t="s">
        <v>651</v>
      </c>
      <c r="AA24" t="s">
        <v>652</v>
      </c>
      <c r="AB24" t="s">
        <v>653</v>
      </c>
      <c r="AC24" t="s">
        <v>654</v>
      </c>
      <c r="AD24" t="s">
        <v>655</v>
      </c>
      <c r="AE24" t="s">
        <v>656</v>
      </c>
      <c r="AF24" t="s">
        <v>74</v>
      </c>
      <c r="AG24">
        <v>46</v>
      </c>
      <c r="AH24">
        <v>5</v>
      </c>
      <c r="AI24">
        <v>5</v>
      </c>
      <c r="AJ24">
        <v>0</v>
      </c>
      <c r="AK24">
        <v>2</v>
      </c>
      <c r="AL24" t="s">
        <v>605</v>
      </c>
      <c r="AM24" t="s">
        <v>606</v>
      </c>
      <c r="AN24" t="s">
        <v>607</v>
      </c>
      <c r="AO24" t="s">
        <v>633</v>
      </c>
      <c r="AP24" t="s">
        <v>634</v>
      </c>
      <c r="AQ24" t="s">
        <v>74</v>
      </c>
      <c r="AR24" t="s">
        <v>635</v>
      </c>
      <c r="AS24" t="s">
        <v>636</v>
      </c>
      <c r="AT24" t="s">
        <v>612</v>
      </c>
      <c r="AU24">
        <v>2022</v>
      </c>
      <c r="AV24">
        <v>49</v>
      </c>
      <c r="AW24">
        <v>3</v>
      </c>
      <c r="AX24" t="s">
        <v>74</v>
      </c>
      <c r="AY24" t="s">
        <v>74</v>
      </c>
      <c r="AZ24" t="s">
        <v>74</v>
      </c>
      <c r="BA24" t="s">
        <v>74</v>
      </c>
      <c r="BB24" t="s">
        <v>74</v>
      </c>
      <c r="BC24" t="s">
        <v>74</v>
      </c>
      <c r="BD24" t="s">
        <v>657</v>
      </c>
      <c r="BE24" t="s">
        <v>658</v>
      </c>
      <c r="BF24" t="str">
        <f>HYPERLINK("http://dx.doi.org/10.1029/2021GL096213","http://dx.doi.org/10.1029/2021GL096213")</f>
        <v>http://dx.doi.org/10.1029/2021GL096213</v>
      </c>
      <c r="BG24" t="s">
        <v>74</v>
      </c>
      <c r="BH24" t="s">
        <v>74</v>
      </c>
      <c r="BI24">
        <v>10</v>
      </c>
      <c r="BJ24" t="s">
        <v>151</v>
      </c>
      <c r="BK24" t="s">
        <v>103</v>
      </c>
      <c r="BL24" t="s">
        <v>152</v>
      </c>
      <c r="BM24" t="s">
        <v>639</v>
      </c>
      <c r="BN24">
        <v>35864852</v>
      </c>
      <c r="BO24" t="s">
        <v>659</v>
      </c>
      <c r="BP24" t="s">
        <v>74</v>
      </c>
      <c r="BQ24" t="s">
        <v>74</v>
      </c>
      <c r="BR24" t="s">
        <v>106</v>
      </c>
      <c r="BS24" t="s">
        <v>660</v>
      </c>
      <c r="BT24" t="str">
        <f>HYPERLINK("https%3A%2F%2Fwww.webofscience.com%2Fwos%2Fwoscc%2Ffull-record%2FWOS:000759485200023","View Full Record in Web of Science")</f>
        <v>View Full Record in Web of Science</v>
      </c>
    </row>
    <row r="25" spans="1:72" x14ac:dyDescent="0.15">
      <c r="A25" t="s">
        <v>72</v>
      </c>
      <c r="B25" t="s">
        <v>661</v>
      </c>
      <c r="C25" t="s">
        <v>74</v>
      </c>
      <c r="D25" t="s">
        <v>74</v>
      </c>
      <c r="E25" t="s">
        <v>74</v>
      </c>
      <c r="F25" t="s">
        <v>662</v>
      </c>
      <c r="G25" t="s">
        <v>74</v>
      </c>
      <c r="H25" t="s">
        <v>74</v>
      </c>
      <c r="I25" t="s">
        <v>663</v>
      </c>
      <c r="J25" t="s">
        <v>137</v>
      </c>
      <c r="K25" t="s">
        <v>74</v>
      </c>
      <c r="L25" t="s">
        <v>74</v>
      </c>
      <c r="M25" t="s">
        <v>78</v>
      </c>
      <c r="N25" t="s">
        <v>79</v>
      </c>
      <c r="O25" t="s">
        <v>74</v>
      </c>
      <c r="P25" t="s">
        <v>74</v>
      </c>
      <c r="Q25" t="s">
        <v>74</v>
      </c>
      <c r="R25" t="s">
        <v>74</v>
      </c>
      <c r="S25" t="s">
        <v>74</v>
      </c>
      <c r="T25" t="s">
        <v>74</v>
      </c>
      <c r="U25" t="s">
        <v>664</v>
      </c>
      <c r="V25" t="s">
        <v>665</v>
      </c>
      <c r="W25" t="s">
        <v>666</v>
      </c>
      <c r="X25" t="s">
        <v>667</v>
      </c>
      <c r="Y25" t="s">
        <v>668</v>
      </c>
      <c r="Z25" t="s">
        <v>669</v>
      </c>
      <c r="AA25" t="s">
        <v>74</v>
      </c>
      <c r="AB25" t="s">
        <v>74</v>
      </c>
      <c r="AC25" t="s">
        <v>670</v>
      </c>
      <c r="AD25" t="s">
        <v>671</v>
      </c>
      <c r="AE25" t="s">
        <v>672</v>
      </c>
      <c r="AF25" t="s">
        <v>74</v>
      </c>
      <c r="AG25">
        <v>51</v>
      </c>
      <c r="AH25">
        <v>3</v>
      </c>
      <c r="AI25">
        <v>3</v>
      </c>
      <c r="AJ25">
        <v>0</v>
      </c>
      <c r="AK25">
        <v>3</v>
      </c>
      <c r="AL25" t="s">
        <v>120</v>
      </c>
      <c r="AM25" t="s">
        <v>121</v>
      </c>
      <c r="AN25" t="s">
        <v>122</v>
      </c>
      <c r="AO25" t="s">
        <v>146</v>
      </c>
      <c r="AP25" t="s">
        <v>147</v>
      </c>
      <c r="AQ25" t="s">
        <v>74</v>
      </c>
      <c r="AR25" t="s">
        <v>148</v>
      </c>
      <c r="AS25" t="s">
        <v>149</v>
      </c>
      <c r="AT25" t="s">
        <v>612</v>
      </c>
      <c r="AU25">
        <v>2022</v>
      </c>
      <c r="AV25">
        <v>15</v>
      </c>
      <c r="AW25">
        <v>3</v>
      </c>
      <c r="AX25" t="s">
        <v>74</v>
      </c>
      <c r="AY25" t="s">
        <v>74</v>
      </c>
      <c r="AZ25" t="s">
        <v>74</v>
      </c>
      <c r="BA25" t="s">
        <v>74</v>
      </c>
      <c r="BB25">
        <v>1355</v>
      </c>
      <c r="BC25">
        <v>1373</v>
      </c>
      <c r="BD25" t="s">
        <v>74</v>
      </c>
      <c r="BE25" t="s">
        <v>673</v>
      </c>
      <c r="BF25" t="str">
        <f>HYPERLINK("http://dx.doi.org/10.5194/gmd-15-1355-2022","http://dx.doi.org/10.5194/gmd-15-1355-2022")</f>
        <v>http://dx.doi.org/10.5194/gmd-15-1355-2022</v>
      </c>
      <c r="BG25" t="s">
        <v>74</v>
      </c>
      <c r="BH25" t="s">
        <v>74</v>
      </c>
      <c r="BI25">
        <v>19</v>
      </c>
      <c r="BJ25" t="s">
        <v>151</v>
      </c>
      <c r="BK25" t="s">
        <v>103</v>
      </c>
      <c r="BL25" t="s">
        <v>152</v>
      </c>
      <c r="BM25" t="s">
        <v>674</v>
      </c>
      <c r="BN25" t="s">
        <v>74</v>
      </c>
      <c r="BO25" t="s">
        <v>132</v>
      </c>
      <c r="BP25" t="s">
        <v>74</v>
      </c>
      <c r="BQ25" t="s">
        <v>74</v>
      </c>
      <c r="BR25" t="s">
        <v>106</v>
      </c>
      <c r="BS25" t="s">
        <v>675</v>
      </c>
      <c r="BT25" t="str">
        <f>HYPERLINK("https%3A%2F%2Fwww.webofscience.com%2Fwos%2Fwoscc%2Ffull-record%2FWOS:000760377300001","View Full Record in Web of Science")</f>
        <v>View Full Record in Web of Science</v>
      </c>
    </row>
    <row r="26" spans="1:72" x14ac:dyDescent="0.15">
      <c r="A26" t="s">
        <v>72</v>
      </c>
      <c r="B26" t="s">
        <v>676</v>
      </c>
      <c r="C26" t="s">
        <v>74</v>
      </c>
      <c r="D26" t="s">
        <v>74</v>
      </c>
      <c r="E26" t="s">
        <v>74</v>
      </c>
      <c r="F26" t="s">
        <v>677</v>
      </c>
      <c r="G26" t="s">
        <v>74</v>
      </c>
      <c r="H26" t="s">
        <v>74</v>
      </c>
      <c r="I26" t="s">
        <v>678</v>
      </c>
      <c r="J26" t="s">
        <v>679</v>
      </c>
      <c r="K26" t="s">
        <v>74</v>
      </c>
      <c r="L26" t="s">
        <v>74</v>
      </c>
      <c r="M26" t="s">
        <v>78</v>
      </c>
      <c r="N26" t="s">
        <v>79</v>
      </c>
      <c r="O26" t="s">
        <v>74</v>
      </c>
      <c r="P26" t="s">
        <v>74</v>
      </c>
      <c r="Q26" t="s">
        <v>74</v>
      </c>
      <c r="R26" t="s">
        <v>74</v>
      </c>
      <c r="S26" t="s">
        <v>74</v>
      </c>
      <c r="T26" t="s">
        <v>680</v>
      </c>
      <c r="U26" t="s">
        <v>681</v>
      </c>
      <c r="V26" t="s">
        <v>682</v>
      </c>
      <c r="W26" t="s">
        <v>683</v>
      </c>
      <c r="X26" t="s">
        <v>525</v>
      </c>
      <c r="Y26" t="s">
        <v>684</v>
      </c>
      <c r="Z26" t="s">
        <v>685</v>
      </c>
      <c r="AA26" t="s">
        <v>686</v>
      </c>
      <c r="AB26" t="s">
        <v>529</v>
      </c>
      <c r="AC26" t="s">
        <v>687</v>
      </c>
      <c r="AD26" t="s">
        <v>688</v>
      </c>
      <c r="AE26" t="s">
        <v>689</v>
      </c>
      <c r="AF26" t="s">
        <v>74</v>
      </c>
      <c r="AG26">
        <v>51</v>
      </c>
      <c r="AH26">
        <v>11</v>
      </c>
      <c r="AI26">
        <v>11</v>
      </c>
      <c r="AJ26">
        <v>21</v>
      </c>
      <c r="AK26">
        <v>96</v>
      </c>
      <c r="AL26" t="s">
        <v>690</v>
      </c>
      <c r="AM26" t="s">
        <v>606</v>
      </c>
      <c r="AN26" t="s">
        <v>691</v>
      </c>
      <c r="AO26" t="s">
        <v>692</v>
      </c>
      <c r="AP26" t="s">
        <v>693</v>
      </c>
      <c r="AQ26" t="s">
        <v>74</v>
      </c>
      <c r="AR26" t="s">
        <v>694</v>
      </c>
      <c r="AS26" t="s">
        <v>695</v>
      </c>
      <c r="AT26" t="s">
        <v>612</v>
      </c>
      <c r="AU26">
        <v>2022</v>
      </c>
      <c r="AV26">
        <v>70</v>
      </c>
      <c r="AW26">
        <v>6</v>
      </c>
      <c r="AX26" t="s">
        <v>74</v>
      </c>
      <c r="AY26" t="s">
        <v>74</v>
      </c>
      <c r="AZ26" t="s">
        <v>74</v>
      </c>
      <c r="BA26" t="s">
        <v>74</v>
      </c>
      <c r="BB26">
        <v>2018</v>
      </c>
      <c r="BC26">
        <v>2028</v>
      </c>
      <c r="BD26" t="s">
        <v>74</v>
      </c>
      <c r="BE26" t="s">
        <v>696</v>
      </c>
      <c r="BF26" t="str">
        <f>HYPERLINK("http://dx.doi.org/10.1021/acs.jafc.1c06951","http://dx.doi.org/10.1021/acs.jafc.1c06951")</f>
        <v>http://dx.doi.org/10.1021/acs.jafc.1c06951</v>
      </c>
      <c r="BG26" t="s">
        <v>74</v>
      </c>
      <c r="BH26" t="s">
        <v>74</v>
      </c>
      <c r="BI26">
        <v>11</v>
      </c>
      <c r="BJ26" t="s">
        <v>697</v>
      </c>
      <c r="BK26" t="s">
        <v>103</v>
      </c>
      <c r="BL26" t="s">
        <v>698</v>
      </c>
      <c r="BM26" t="s">
        <v>699</v>
      </c>
      <c r="BN26">
        <v>35107281</v>
      </c>
      <c r="BO26" t="s">
        <v>74</v>
      </c>
      <c r="BP26" t="s">
        <v>74</v>
      </c>
      <c r="BQ26" t="s">
        <v>74</v>
      </c>
      <c r="BR26" t="s">
        <v>106</v>
      </c>
      <c r="BS26" t="s">
        <v>700</v>
      </c>
      <c r="BT26" t="str">
        <f>HYPERLINK("https%3A%2F%2Fwww.webofscience.com%2Fwos%2Fwoscc%2Ffull-record%2FWOS:000756703000025","View Full Record in Web of Science")</f>
        <v>View Full Record in Web of Science</v>
      </c>
    </row>
    <row r="27" spans="1:72" x14ac:dyDescent="0.15">
      <c r="A27" t="s">
        <v>72</v>
      </c>
      <c r="B27" t="s">
        <v>701</v>
      </c>
      <c r="C27" t="s">
        <v>74</v>
      </c>
      <c r="D27" t="s">
        <v>74</v>
      </c>
      <c r="E27" t="s">
        <v>74</v>
      </c>
      <c r="F27" t="s">
        <v>702</v>
      </c>
      <c r="G27" t="s">
        <v>74</v>
      </c>
      <c r="H27" t="s">
        <v>74</v>
      </c>
      <c r="I27" t="s">
        <v>703</v>
      </c>
      <c r="J27" t="s">
        <v>704</v>
      </c>
      <c r="K27" t="s">
        <v>74</v>
      </c>
      <c r="L27" t="s">
        <v>74</v>
      </c>
      <c r="M27" t="s">
        <v>78</v>
      </c>
      <c r="N27" t="s">
        <v>79</v>
      </c>
      <c r="O27" t="s">
        <v>74</v>
      </c>
      <c r="P27" t="s">
        <v>74</v>
      </c>
      <c r="Q27" t="s">
        <v>74</v>
      </c>
      <c r="R27" t="s">
        <v>74</v>
      </c>
      <c r="S27" t="s">
        <v>74</v>
      </c>
      <c r="T27" t="s">
        <v>74</v>
      </c>
      <c r="U27" t="s">
        <v>705</v>
      </c>
      <c r="V27" t="s">
        <v>706</v>
      </c>
      <c r="W27" t="s">
        <v>707</v>
      </c>
      <c r="X27" t="s">
        <v>708</v>
      </c>
      <c r="Y27" t="s">
        <v>709</v>
      </c>
      <c r="Z27" t="s">
        <v>710</v>
      </c>
      <c r="AA27" t="s">
        <v>74</v>
      </c>
      <c r="AB27" t="s">
        <v>711</v>
      </c>
      <c r="AC27" t="s">
        <v>712</v>
      </c>
      <c r="AD27" t="s">
        <v>713</v>
      </c>
      <c r="AE27" t="s">
        <v>714</v>
      </c>
      <c r="AF27" t="s">
        <v>74</v>
      </c>
      <c r="AG27">
        <v>16</v>
      </c>
      <c r="AH27">
        <v>6</v>
      </c>
      <c r="AI27">
        <v>7</v>
      </c>
      <c r="AJ27">
        <v>0</v>
      </c>
      <c r="AK27">
        <v>9</v>
      </c>
      <c r="AL27" t="s">
        <v>715</v>
      </c>
      <c r="AM27" t="s">
        <v>716</v>
      </c>
      <c r="AN27" t="s">
        <v>717</v>
      </c>
      <c r="AO27" t="s">
        <v>718</v>
      </c>
      <c r="AP27" t="s">
        <v>719</v>
      </c>
      <c r="AQ27" t="s">
        <v>74</v>
      </c>
      <c r="AR27" t="s">
        <v>720</v>
      </c>
      <c r="AS27" t="s">
        <v>721</v>
      </c>
      <c r="AT27" t="s">
        <v>612</v>
      </c>
      <c r="AU27">
        <v>2022</v>
      </c>
      <c r="AV27">
        <v>46</v>
      </c>
      <c r="AW27" t="s">
        <v>74</v>
      </c>
      <c r="AX27" t="s">
        <v>74</v>
      </c>
      <c r="AY27" t="s">
        <v>74</v>
      </c>
      <c r="AZ27" t="s">
        <v>74</v>
      </c>
      <c r="BA27" t="s">
        <v>74</v>
      </c>
      <c r="BB27">
        <v>1</v>
      </c>
      <c r="BC27">
        <v>9</v>
      </c>
      <c r="BD27" t="s">
        <v>74</v>
      </c>
      <c r="BE27" t="s">
        <v>722</v>
      </c>
      <c r="BF27" t="str">
        <f>HYPERLINK("http://dx.doi.org/10.33321/cdi.2022.46.8","http://dx.doi.org/10.33321/cdi.2022.46.8")</f>
        <v>http://dx.doi.org/10.33321/cdi.2022.46.8</v>
      </c>
      <c r="BG27" t="s">
        <v>74</v>
      </c>
      <c r="BH27" t="s">
        <v>74</v>
      </c>
      <c r="BI27">
        <v>9</v>
      </c>
      <c r="BJ27" t="s">
        <v>723</v>
      </c>
      <c r="BK27" t="s">
        <v>724</v>
      </c>
      <c r="BL27" t="s">
        <v>723</v>
      </c>
      <c r="BM27" t="s">
        <v>725</v>
      </c>
      <c r="BN27">
        <v>35168502</v>
      </c>
      <c r="BO27" t="s">
        <v>211</v>
      </c>
      <c r="BP27" t="s">
        <v>74</v>
      </c>
      <c r="BQ27" t="s">
        <v>74</v>
      </c>
      <c r="BR27" t="s">
        <v>106</v>
      </c>
      <c r="BS27" t="s">
        <v>726</v>
      </c>
      <c r="BT27" t="str">
        <f>HYPERLINK("https%3A%2F%2Fwww.webofscience.com%2Fwos%2Fwoscc%2Ffull-record%2FWOS:000757478600001","View Full Record in Web of Science")</f>
        <v>View Full Record in Web of Science</v>
      </c>
    </row>
    <row r="28" spans="1:72" x14ac:dyDescent="0.15">
      <c r="A28" t="s">
        <v>72</v>
      </c>
      <c r="B28" t="s">
        <v>727</v>
      </c>
      <c r="C28" t="s">
        <v>74</v>
      </c>
      <c r="D28" t="s">
        <v>74</v>
      </c>
      <c r="E28" t="s">
        <v>74</v>
      </c>
      <c r="F28" t="s">
        <v>728</v>
      </c>
      <c r="G28" t="s">
        <v>74</v>
      </c>
      <c r="H28" t="s">
        <v>74</v>
      </c>
      <c r="I28" t="s">
        <v>729</v>
      </c>
      <c r="J28" t="s">
        <v>730</v>
      </c>
      <c r="K28" t="s">
        <v>74</v>
      </c>
      <c r="L28" t="s">
        <v>74</v>
      </c>
      <c r="M28" t="s">
        <v>78</v>
      </c>
      <c r="N28" t="s">
        <v>79</v>
      </c>
      <c r="O28" t="s">
        <v>74</v>
      </c>
      <c r="P28" t="s">
        <v>74</v>
      </c>
      <c r="Q28" t="s">
        <v>74</v>
      </c>
      <c r="R28" t="s">
        <v>74</v>
      </c>
      <c r="S28" t="s">
        <v>74</v>
      </c>
      <c r="T28" t="s">
        <v>74</v>
      </c>
      <c r="U28" t="s">
        <v>731</v>
      </c>
      <c r="V28" t="s">
        <v>732</v>
      </c>
      <c r="W28" t="s">
        <v>733</v>
      </c>
      <c r="X28" t="s">
        <v>734</v>
      </c>
      <c r="Y28" t="s">
        <v>735</v>
      </c>
      <c r="Z28" t="s">
        <v>736</v>
      </c>
      <c r="AA28" t="s">
        <v>737</v>
      </c>
      <c r="AB28" t="s">
        <v>738</v>
      </c>
      <c r="AC28" t="s">
        <v>739</v>
      </c>
      <c r="AD28" t="s">
        <v>740</v>
      </c>
      <c r="AE28" t="s">
        <v>741</v>
      </c>
      <c r="AF28" t="s">
        <v>74</v>
      </c>
      <c r="AG28">
        <v>113</v>
      </c>
      <c r="AH28">
        <v>3</v>
      </c>
      <c r="AI28">
        <v>3</v>
      </c>
      <c r="AJ28">
        <v>3</v>
      </c>
      <c r="AK28">
        <v>21</v>
      </c>
      <c r="AL28" t="s">
        <v>171</v>
      </c>
      <c r="AM28" t="s">
        <v>172</v>
      </c>
      <c r="AN28" t="s">
        <v>173</v>
      </c>
      <c r="AO28" t="s">
        <v>742</v>
      </c>
      <c r="AP28" t="s">
        <v>743</v>
      </c>
      <c r="AQ28" t="s">
        <v>74</v>
      </c>
      <c r="AR28" t="s">
        <v>744</v>
      </c>
      <c r="AS28" t="s">
        <v>745</v>
      </c>
      <c r="AT28" t="s">
        <v>178</v>
      </c>
      <c r="AU28">
        <v>2022</v>
      </c>
      <c r="AV28">
        <v>24</v>
      </c>
      <c r="AW28">
        <v>5</v>
      </c>
      <c r="AX28" t="s">
        <v>74</v>
      </c>
      <c r="AY28" t="s">
        <v>74</v>
      </c>
      <c r="AZ28" t="s">
        <v>233</v>
      </c>
      <c r="BA28" t="s">
        <v>74</v>
      </c>
      <c r="BB28">
        <v>2449</v>
      </c>
      <c r="BC28">
        <v>2466</v>
      </c>
      <c r="BD28">
        <v>15906</v>
      </c>
      <c r="BE28" t="s">
        <v>746</v>
      </c>
      <c r="BF28" t="str">
        <f>HYPERLINK("http://dx.doi.org/10.1111/1462-2920.15906","http://dx.doi.org/10.1111/1462-2920.15906")</f>
        <v>http://dx.doi.org/10.1111/1462-2920.15906</v>
      </c>
      <c r="BG28" t="s">
        <v>74</v>
      </c>
      <c r="BH28" t="s">
        <v>101</v>
      </c>
      <c r="BI28">
        <v>18</v>
      </c>
      <c r="BJ28" t="s">
        <v>747</v>
      </c>
      <c r="BK28" t="s">
        <v>103</v>
      </c>
      <c r="BL28" t="s">
        <v>747</v>
      </c>
      <c r="BM28" t="s">
        <v>748</v>
      </c>
      <c r="BN28">
        <v>35049099</v>
      </c>
      <c r="BO28" t="s">
        <v>749</v>
      </c>
      <c r="BP28" t="s">
        <v>74</v>
      </c>
      <c r="BQ28" t="s">
        <v>74</v>
      </c>
      <c r="BR28" t="s">
        <v>106</v>
      </c>
      <c r="BS28" t="s">
        <v>750</v>
      </c>
      <c r="BT28" t="str">
        <f>HYPERLINK("https%3A%2F%2Fwww.webofscience.com%2Fwos%2Fwoscc%2Ffull-record%2FWOS:000755949500001","View Full Record in Web of Science")</f>
        <v>View Full Record in Web of Science</v>
      </c>
    </row>
    <row r="29" spans="1:72" x14ac:dyDescent="0.15">
      <c r="A29" t="s">
        <v>72</v>
      </c>
      <c r="B29" t="s">
        <v>751</v>
      </c>
      <c r="C29" t="s">
        <v>74</v>
      </c>
      <c r="D29" t="s">
        <v>74</v>
      </c>
      <c r="E29" t="s">
        <v>74</v>
      </c>
      <c r="F29" t="s">
        <v>752</v>
      </c>
      <c r="G29" t="s">
        <v>74</v>
      </c>
      <c r="H29" t="s">
        <v>74</v>
      </c>
      <c r="I29" t="s">
        <v>753</v>
      </c>
      <c r="J29" t="s">
        <v>754</v>
      </c>
      <c r="K29" t="s">
        <v>74</v>
      </c>
      <c r="L29" t="s">
        <v>74</v>
      </c>
      <c r="M29" t="s">
        <v>78</v>
      </c>
      <c r="N29" t="s">
        <v>79</v>
      </c>
      <c r="O29" t="s">
        <v>74</v>
      </c>
      <c r="P29" t="s">
        <v>74</v>
      </c>
      <c r="Q29" t="s">
        <v>74</v>
      </c>
      <c r="R29" t="s">
        <v>74</v>
      </c>
      <c r="S29" t="s">
        <v>74</v>
      </c>
      <c r="T29" t="s">
        <v>74</v>
      </c>
      <c r="U29" t="s">
        <v>755</v>
      </c>
      <c r="V29" t="s">
        <v>756</v>
      </c>
      <c r="W29" t="s">
        <v>757</v>
      </c>
      <c r="X29" t="s">
        <v>758</v>
      </c>
      <c r="Y29" t="s">
        <v>759</v>
      </c>
      <c r="Z29" t="s">
        <v>760</v>
      </c>
      <c r="AA29" t="s">
        <v>761</v>
      </c>
      <c r="AB29" t="s">
        <v>762</v>
      </c>
      <c r="AC29" t="s">
        <v>763</v>
      </c>
      <c r="AD29" t="s">
        <v>764</v>
      </c>
      <c r="AE29" t="s">
        <v>765</v>
      </c>
      <c r="AF29" t="s">
        <v>74</v>
      </c>
      <c r="AG29">
        <v>75</v>
      </c>
      <c r="AH29">
        <v>2</v>
      </c>
      <c r="AI29">
        <v>2</v>
      </c>
      <c r="AJ29">
        <v>2</v>
      </c>
      <c r="AK29">
        <v>14</v>
      </c>
      <c r="AL29" t="s">
        <v>171</v>
      </c>
      <c r="AM29" t="s">
        <v>172</v>
      </c>
      <c r="AN29" t="s">
        <v>173</v>
      </c>
      <c r="AO29" t="s">
        <v>766</v>
      </c>
      <c r="AP29" t="s">
        <v>767</v>
      </c>
      <c r="AQ29" t="s">
        <v>74</v>
      </c>
      <c r="AR29" t="s">
        <v>768</v>
      </c>
      <c r="AS29" t="s">
        <v>769</v>
      </c>
      <c r="AT29" t="s">
        <v>537</v>
      </c>
      <c r="AU29">
        <v>2022</v>
      </c>
      <c r="AV29">
        <v>67</v>
      </c>
      <c r="AW29">
        <v>4</v>
      </c>
      <c r="AX29" t="s">
        <v>74</v>
      </c>
      <c r="AY29" t="s">
        <v>74</v>
      </c>
      <c r="AZ29" t="s">
        <v>74</v>
      </c>
      <c r="BA29" t="s">
        <v>74</v>
      </c>
      <c r="BB29">
        <v>800</v>
      </c>
      <c r="BC29">
        <v>815</v>
      </c>
      <c r="BD29" t="s">
        <v>74</v>
      </c>
      <c r="BE29" t="s">
        <v>770</v>
      </c>
      <c r="BF29" t="str">
        <f>HYPERLINK("http://dx.doi.org/10.1002/lno.12035","http://dx.doi.org/10.1002/lno.12035")</f>
        <v>http://dx.doi.org/10.1002/lno.12035</v>
      </c>
      <c r="BG29" t="s">
        <v>74</v>
      </c>
      <c r="BH29" t="s">
        <v>101</v>
      </c>
      <c r="BI29">
        <v>16</v>
      </c>
      <c r="BJ29" t="s">
        <v>771</v>
      </c>
      <c r="BK29" t="s">
        <v>103</v>
      </c>
      <c r="BL29" t="s">
        <v>772</v>
      </c>
      <c r="BM29" t="s">
        <v>773</v>
      </c>
      <c r="BN29" t="s">
        <v>74</v>
      </c>
      <c r="BO29" t="s">
        <v>640</v>
      </c>
      <c r="BP29" t="s">
        <v>74</v>
      </c>
      <c r="BQ29" t="s">
        <v>74</v>
      </c>
      <c r="BR29" t="s">
        <v>106</v>
      </c>
      <c r="BS29" t="s">
        <v>774</v>
      </c>
      <c r="BT29" t="str">
        <f>HYPERLINK("https%3A%2F%2Fwww.webofscience.com%2Fwos%2Fwoscc%2Ffull-record%2FWOS:000755549000001","View Full Record in Web of Science")</f>
        <v>View Full Record in Web of Science</v>
      </c>
    </row>
    <row r="30" spans="1:72" x14ac:dyDescent="0.15">
      <c r="A30" t="s">
        <v>72</v>
      </c>
      <c r="B30" t="s">
        <v>775</v>
      </c>
      <c r="C30" t="s">
        <v>74</v>
      </c>
      <c r="D30" t="s">
        <v>74</v>
      </c>
      <c r="E30" t="s">
        <v>74</v>
      </c>
      <c r="F30" t="s">
        <v>776</v>
      </c>
      <c r="G30" t="s">
        <v>74</v>
      </c>
      <c r="H30" t="s">
        <v>74</v>
      </c>
      <c r="I30" t="s">
        <v>777</v>
      </c>
      <c r="J30" t="s">
        <v>778</v>
      </c>
      <c r="K30" t="s">
        <v>74</v>
      </c>
      <c r="L30" t="s">
        <v>74</v>
      </c>
      <c r="M30" t="s">
        <v>78</v>
      </c>
      <c r="N30" t="s">
        <v>779</v>
      </c>
      <c r="O30" t="s">
        <v>74</v>
      </c>
      <c r="P30" t="s">
        <v>74</v>
      </c>
      <c r="Q30" t="s">
        <v>74</v>
      </c>
      <c r="R30" t="s">
        <v>74</v>
      </c>
      <c r="S30" t="s">
        <v>74</v>
      </c>
      <c r="T30" t="s">
        <v>74</v>
      </c>
      <c r="U30" t="s">
        <v>74</v>
      </c>
      <c r="V30" t="s">
        <v>780</v>
      </c>
      <c r="W30" t="s">
        <v>781</v>
      </c>
      <c r="X30" t="s">
        <v>782</v>
      </c>
      <c r="Y30" t="s">
        <v>783</v>
      </c>
      <c r="Z30" t="s">
        <v>784</v>
      </c>
      <c r="AA30" t="s">
        <v>785</v>
      </c>
      <c r="AB30" t="s">
        <v>786</v>
      </c>
      <c r="AC30" t="s">
        <v>787</v>
      </c>
      <c r="AD30" t="s">
        <v>787</v>
      </c>
      <c r="AE30" t="s">
        <v>787</v>
      </c>
      <c r="AF30" t="s">
        <v>74</v>
      </c>
      <c r="AG30">
        <v>8</v>
      </c>
      <c r="AH30">
        <v>1</v>
      </c>
      <c r="AI30">
        <v>1</v>
      </c>
      <c r="AJ30">
        <v>0</v>
      </c>
      <c r="AK30">
        <v>10</v>
      </c>
      <c r="AL30" t="s">
        <v>171</v>
      </c>
      <c r="AM30" t="s">
        <v>172</v>
      </c>
      <c r="AN30" t="s">
        <v>173</v>
      </c>
      <c r="AO30" t="s">
        <v>788</v>
      </c>
      <c r="AP30" t="s">
        <v>789</v>
      </c>
      <c r="AQ30" t="s">
        <v>74</v>
      </c>
      <c r="AR30" t="s">
        <v>790</v>
      </c>
      <c r="AS30" t="s">
        <v>791</v>
      </c>
      <c r="AT30" t="s">
        <v>99</v>
      </c>
      <c r="AU30">
        <v>2022</v>
      </c>
      <c r="AV30">
        <v>31</v>
      </c>
      <c r="AW30">
        <v>6</v>
      </c>
      <c r="AX30" t="s">
        <v>74</v>
      </c>
      <c r="AY30" t="s">
        <v>74</v>
      </c>
      <c r="AZ30" t="s">
        <v>74</v>
      </c>
      <c r="BA30" t="s">
        <v>74</v>
      </c>
      <c r="BB30">
        <v>1609</v>
      </c>
      <c r="BC30">
        <v>1611</v>
      </c>
      <c r="BD30" t="s">
        <v>74</v>
      </c>
      <c r="BE30" t="s">
        <v>792</v>
      </c>
      <c r="BF30" t="str">
        <f>HYPERLINK("http://dx.doi.org/10.1111/mec.16385","http://dx.doi.org/10.1111/mec.16385")</f>
        <v>http://dx.doi.org/10.1111/mec.16385</v>
      </c>
      <c r="BG30" t="s">
        <v>74</v>
      </c>
      <c r="BH30" t="s">
        <v>101</v>
      </c>
      <c r="BI30">
        <v>3</v>
      </c>
      <c r="BJ30" t="s">
        <v>793</v>
      </c>
      <c r="BK30" t="s">
        <v>103</v>
      </c>
      <c r="BL30" t="s">
        <v>794</v>
      </c>
      <c r="BM30" t="s">
        <v>795</v>
      </c>
      <c r="BN30">
        <v>35124873</v>
      </c>
      <c r="BO30" t="s">
        <v>796</v>
      </c>
      <c r="BP30" t="s">
        <v>74</v>
      </c>
      <c r="BQ30" t="s">
        <v>74</v>
      </c>
      <c r="BR30" t="s">
        <v>106</v>
      </c>
      <c r="BS30" t="s">
        <v>797</v>
      </c>
      <c r="BT30" t="str">
        <f>HYPERLINK("https%3A%2F%2Fwww.webofscience.com%2Fwos%2Fwoscc%2Ffull-record%2FWOS:000755662300001","View Full Record in Web of Science")</f>
        <v>View Full Record in Web of Science</v>
      </c>
    </row>
    <row r="31" spans="1:72" x14ac:dyDescent="0.15">
      <c r="A31" t="s">
        <v>72</v>
      </c>
      <c r="B31" t="s">
        <v>798</v>
      </c>
      <c r="C31" t="s">
        <v>74</v>
      </c>
      <c r="D31" t="s">
        <v>74</v>
      </c>
      <c r="E31" t="s">
        <v>74</v>
      </c>
      <c r="F31" t="s">
        <v>799</v>
      </c>
      <c r="G31" t="s">
        <v>74</v>
      </c>
      <c r="H31" t="s">
        <v>74</v>
      </c>
      <c r="I31" t="s">
        <v>800</v>
      </c>
      <c r="J31" t="s">
        <v>801</v>
      </c>
      <c r="K31" t="s">
        <v>74</v>
      </c>
      <c r="L31" t="s">
        <v>74</v>
      </c>
      <c r="M31" t="s">
        <v>78</v>
      </c>
      <c r="N31" t="s">
        <v>79</v>
      </c>
      <c r="O31" t="s">
        <v>74</v>
      </c>
      <c r="P31" t="s">
        <v>74</v>
      </c>
      <c r="Q31" t="s">
        <v>74</v>
      </c>
      <c r="R31" t="s">
        <v>74</v>
      </c>
      <c r="S31" t="s">
        <v>74</v>
      </c>
      <c r="T31" t="s">
        <v>802</v>
      </c>
      <c r="U31" t="s">
        <v>803</v>
      </c>
      <c r="V31" t="s">
        <v>804</v>
      </c>
      <c r="W31" t="s">
        <v>805</v>
      </c>
      <c r="X31" t="s">
        <v>806</v>
      </c>
      <c r="Y31" t="s">
        <v>807</v>
      </c>
      <c r="Z31" t="s">
        <v>808</v>
      </c>
      <c r="AA31" t="s">
        <v>809</v>
      </c>
      <c r="AB31" t="s">
        <v>810</v>
      </c>
      <c r="AC31" t="s">
        <v>811</v>
      </c>
      <c r="AD31" t="s">
        <v>812</v>
      </c>
      <c r="AE31" t="s">
        <v>813</v>
      </c>
      <c r="AF31" t="s">
        <v>74</v>
      </c>
      <c r="AG31">
        <v>228</v>
      </c>
      <c r="AH31">
        <v>12</v>
      </c>
      <c r="AI31">
        <v>12</v>
      </c>
      <c r="AJ31">
        <v>8</v>
      </c>
      <c r="AK31">
        <v>31</v>
      </c>
      <c r="AL31" t="s">
        <v>814</v>
      </c>
      <c r="AM31" t="s">
        <v>93</v>
      </c>
      <c r="AN31" t="s">
        <v>815</v>
      </c>
      <c r="AO31" t="s">
        <v>816</v>
      </c>
      <c r="AP31" t="s">
        <v>817</v>
      </c>
      <c r="AQ31" t="s">
        <v>74</v>
      </c>
      <c r="AR31" t="s">
        <v>818</v>
      </c>
      <c r="AS31" t="s">
        <v>819</v>
      </c>
      <c r="AT31" t="s">
        <v>537</v>
      </c>
      <c r="AU31">
        <v>2022</v>
      </c>
      <c r="AV31">
        <v>169</v>
      </c>
      <c r="AW31" t="s">
        <v>74</v>
      </c>
      <c r="AX31" t="s">
        <v>74</v>
      </c>
      <c r="AY31" t="s">
        <v>74</v>
      </c>
      <c r="AZ31" t="s">
        <v>74</v>
      </c>
      <c r="BA31" t="s">
        <v>74</v>
      </c>
      <c r="BB31" t="s">
        <v>74</v>
      </c>
      <c r="BC31" t="s">
        <v>74</v>
      </c>
      <c r="BD31">
        <v>105387</v>
      </c>
      <c r="BE31" t="s">
        <v>820</v>
      </c>
      <c r="BF31" t="str">
        <f>HYPERLINK("http://dx.doi.org/10.1016/j.ibiod.2022.105387","http://dx.doi.org/10.1016/j.ibiod.2022.105387")</f>
        <v>http://dx.doi.org/10.1016/j.ibiod.2022.105387</v>
      </c>
      <c r="BG31" t="s">
        <v>74</v>
      </c>
      <c r="BH31" t="s">
        <v>101</v>
      </c>
      <c r="BI31">
        <v>16</v>
      </c>
      <c r="BJ31" t="s">
        <v>821</v>
      </c>
      <c r="BK31" t="s">
        <v>103</v>
      </c>
      <c r="BL31" t="s">
        <v>822</v>
      </c>
      <c r="BM31" t="s">
        <v>823</v>
      </c>
      <c r="BN31" t="s">
        <v>74</v>
      </c>
      <c r="BO31" t="s">
        <v>74</v>
      </c>
      <c r="BP31" t="s">
        <v>74</v>
      </c>
      <c r="BQ31" t="s">
        <v>74</v>
      </c>
      <c r="BR31" t="s">
        <v>106</v>
      </c>
      <c r="BS31" t="s">
        <v>824</v>
      </c>
      <c r="BT31" t="str">
        <f>HYPERLINK("https%3A%2F%2Fwww.webofscience.com%2Fwos%2Fwoscc%2Ffull-record%2FWOS:000821274600006","View Full Record in Web of Science")</f>
        <v>View Full Record in Web of Science</v>
      </c>
    </row>
    <row r="32" spans="1:72" x14ac:dyDescent="0.15">
      <c r="A32" t="s">
        <v>72</v>
      </c>
      <c r="B32" t="s">
        <v>825</v>
      </c>
      <c r="C32" t="s">
        <v>74</v>
      </c>
      <c r="D32" t="s">
        <v>74</v>
      </c>
      <c r="E32" t="s">
        <v>74</v>
      </c>
      <c r="F32" t="s">
        <v>826</v>
      </c>
      <c r="G32" t="s">
        <v>74</v>
      </c>
      <c r="H32" t="s">
        <v>74</v>
      </c>
      <c r="I32" t="s">
        <v>827</v>
      </c>
      <c r="J32" t="s">
        <v>77</v>
      </c>
      <c r="K32" t="s">
        <v>74</v>
      </c>
      <c r="L32" t="s">
        <v>74</v>
      </c>
      <c r="M32" t="s">
        <v>78</v>
      </c>
      <c r="N32" t="s">
        <v>79</v>
      </c>
      <c r="O32" t="s">
        <v>74</v>
      </c>
      <c r="P32" t="s">
        <v>74</v>
      </c>
      <c r="Q32" t="s">
        <v>74</v>
      </c>
      <c r="R32" t="s">
        <v>74</v>
      </c>
      <c r="S32" t="s">
        <v>74</v>
      </c>
      <c r="T32" t="s">
        <v>828</v>
      </c>
      <c r="U32" t="s">
        <v>829</v>
      </c>
      <c r="V32" t="s">
        <v>830</v>
      </c>
      <c r="W32" t="s">
        <v>831</v>
      </c>
      <c r="X32" t="s">
        <v>832</v>
      </c>
      <c r="Y32" t="s">
        <v>833</v>
      </c>
      <c r="Z32" t="s">
        <v>834</v>
      </c>
      <c r="AA32" t="s">
        <v>835</v>
      </c>
      <c r="AB32" t="s">
        <v>836</v>
      </c>
      <c r="AC32" t="s">
        <v>837</v>
      </c>
      <c r="AD32" t="s">
        <v>838</v>
      </c>
      <c r="AE32" t="s">
        <v>839</v>
      </c>
      <c r="AF32" t="s">
        <v>74</v>
      </c>
      <c r="AG32">
        <v>76</v>
      </c>
      <c r="AH32">
        <v>10</v>
      </c>
      <c r="AI32">
        <v>10</v>
      </c>
      <c r="AJ32">
        <v>6</v>
      </c>
      <c r="AK32">
        <v>37</v>
      </c>
      <c r="AL32" t="s">
        <v>92</v>
      </c>
      <c r="AM32" t="s">
        <v>93</v>
      </c>
      <c r="AN32" t="s">
        <v>94</v>
      </c>
      <c r="AO32" t="s">
        <v>95</v>
      </c>
      <c r="AP32" t="s">
        <v>96</v>
      </c>
      <c r="AQ32" t="s">
        <v>74</v>
      </c>
      <c r="AR32" t="s">
        <v>97</v>
      </c>
      <c r="AS32" t="s">
        <v>98</v>
      </c>
      <c r="AT32" t="s">
        <v>840</v>
      </c>
      <c r="AU32">
        <v>2022</v>
      </c>
      <c r="AV32">
        <v>175</v>
      </c>
      <c r="AW32" t="s">
        <v>74</v>
      </c>
      <c r="AX32" t="s">
        <v>74</v>
      </c>
      <c r="AY32" t="s">
        <v>74</v>
      </c>
      <c r="AZ32" t="s">
        <v>74</v>
      </c>
      <c r="BA32" t="s">
        <v>74</v>
      </c>
      <c r="BB32" t="s">
        <v>74</v>
      </c>
      <c r="BC32" t="s">
        <v>74</v>
      </c>
      <c r="BD32">
        <v>113388</v>
      </c>
      <c r="BE32" t="s">
        <v>841</v>
      </c>
      <c r="BF32" t="str">
        <f>HYPERLINK("http://dx.doi.org/10.1016/j.marpolbul.2022.113388","http://dx.doi.org/10.1016/j.marpolbul.2022.113388")</f>
        <v>http://dx.doi.org/10.1016/j.marpolbul.2022.113388</v>
      </c>
      <c r="BG32" t="s">
        <v>74</v>
      </c>
      <c r="BH32" t="s">
        <v>101</v>
      </c>
      <c r="BI32">
        <v>8</v>
      </c>
      <c r="BJ32" t="s">
        <v>102</v>
      </c>
      <c r="BK32" t="s">
        <v>103</v>
      </c>
      <c r="BL32" t="s">
        <v>104</v>
      </c>
      <c r="BM32" t="s">
        <v>842</v>
      </c>
      <c r="BN32">
        <v>35180508</v>
      </c>
      <c r="BO32" t="s">
        <v>796</v>
      </c>
      <c r="BP32" t="s">
        <v>74</v>
      </c>
      <c r="BQ32" t="s">
        <v>74</v>
      </c>
      <c r="BR32" t="s">
        <v>106</v>
      </c>
      <c r="BS32" t="s">
        <v>843</v>
      </c>
      <c r="BT32" t="str">
        <f>HYPERLINK("https%3A%2F%2Fwww.webofscience.com%2Fwos%2Fwoscc%2Ffull-record%2FWOS:000796923900003","View Full Record in Web of Science")</f>
        <v>View Full Record in Web of Science</v>
      </c>
    </row>
    <row r="33" spans="1:72" x14ac:dyDescent="0.15">
      <c r="A33" t="s">
        <v>72</v>
      </c>
      <c r="B33" t="s">
        <v>844</v>
      </c>
      <c r="C33" t="s">
        <v>74</v>
      </c>
      <c r="D33" t="s">
        <v>74</v>
      </c>
      <c r="E33" t="s">
        <v>74</v>
      </c>
      <c r="F33" t="s">
        <v>845</v>
      </c>
      <c r="G33" t="s">
        <v>74</v>
      </c>
      <c r="H33" t="s">
        <v>74</v>
      </c>
      <c r="I33" t="s">
        <v>846</v>
      </c>
      <c r="J33" t="s">
        <v>847</v>
      </c>
      <c r="K33" t="s">
        <v>74</v>
      </c>
      <c r="L33" t="s">
        <v>74</v>
      </c>
      <c r="M33" t="s">
        <v>78</v>
      </c>
      <c r="N33" t="s">
        <v>79</v>
      </c>
      <c r="O33" t="s">
        <v>74</v>
      </c>
      <c r="P33" t="s">
        <v>74</v>
      </c>
      <c r="Q33" t="s">
        <v>74</v>
      </c>
      <c r="R33" t="s">
        <v>74</v>
      </c>
      <c r="S33" t="s">
        <v>74</v>
      </c>
      <c r="T33" t="s">
        <v>848</v>
      </c>
      <c r="U33" t="s">
        <v>849</v>
      </c>
      <c r="V33" t="s">
        <v>850</v>
      </c>
      <c r="W33" t="s">
        <v>851</v>
      </c>
      <c r="X33" t="s">
        <v>852</v>
      </c>
      <c r="Y33" t="s">
        <v>853</v>
      </c>
      <c r="Z33" t="s">
        <v>854</v>
      </c>
      <c r="AA33" t="s">
        <v>855</v>
      </c>
      <c r="AB33" t="s">
        <v>856</v>
      </c>
      <c r="AC33" t="s">
        <v>74</v>
      </c>
      <c r="AD33" t="s">
        <v>74</v>
      </c>
      <c r="AE33" t="s">
        <v>74</v>
      </c>
      <c r="AF33" t="s">
        <v>74</v>
      </c>
      <c r="AG33">
        <v>65</v>
      </c>
      <c r="AH33">
        <v>5</v>
      </c>
      <c r="AI33">
        <v>5</v>
      </c>
      <c r="AJ33">
        <v>0</v>
      </c>
      <c r="AK33">
        <v>10</v>
      </c>
      <c r="AL33" t="s">
        <v>814</v>
      </c>
      <c r="AM33" t="s">
        <v>93</v>
      </c>
      <c r="AN33" t="s">
        <v>815</v>
      </c>
      <c r="AO33" t="s">
        <v>857</v>
      </c>
      <c r="AP33" t="s">
        <v>858</v>
      </c>
      <c r="AQ33" t="s">
        <v>74</v>
      </c>
      <c r="AR33" t="s">
        <v>859</v>
      </c>
      <c r="AS33" t="s">
        <v>860</v>
      </c>
      <c r="AT33" t="s">
        <v>537</v>
      </c>
      <c r="AU33">
        <v>2022</v>
      </c>
      <c r="AV33">
        <v>138</v>
      </c>
      <c r="AW33" t="s">
        <v>74</v>
      </c>
      <c r="AX33" t="s">
        <v>74</v>
      </c>
      <c r="AY33" t="s">
        <v>74</v>
      </c>
      <c r="AZ33" t="s">
        <v>74</v>
      </c>
      <c r="BA33" t="s">
        <v>74</v>
      </c>
      <c r="BB33" t="s">
        <v>74</v>
      </c>
      <c r="BC33" t="s">
        <v>74</v>
      </c>
      <c r="BD33">
        <v>104988</v>
      </c>
      <c r="BE33" t="s">
        <v>861</v>
      </c>
      <c r="BF33" t="str">
        <f>HYPERLINK("http://dx.doi.org/10.1016/j.marpol.2022.104988","http://dx.doi.org/10.1016/j.marpol.2022.104988")</f>
        <v>http://dx.doi.org/10.1016/j.marpol.2022.104988</v>
      </c>
      <c r="BG33" t="s">
        <v>74</v>
      </c>
      <c r="BH33" t="s">
        <v>101</v>
      </c>
      <c r="BI33">
        <v>10</v>
      </c>
      <c r="BJ33" t="s">
        <v>862</v>
      </c>
      <c r="BK33" t="s">
        <v>863</v>
      </c>
      <c r="BL33" t="s">
        <v>864</v>
      </c>
      <c r="BM33" t="s">
        <v>865</v>
      </c>
      <c r="BN33" t="s">
        <v>74</v>
      </c>
      <c r="BO33" t="s">
        <v>74</v>
      </c>
      <c r="BP33" t="s">
        <v>74</v>
      </c>
      <c r="BQ33" t="s">
        <v>74</v>
      </c>
      <c r="BR33" t="s">
        <v>106</v>
      </c>
      <c r="BS33" t="s">
        <v>866</v>
      </c>
      <c r="BT33" t="str">
        <f>HYPERLINK("https%3A%2F%2Fwww.webofscience.com%2Fwos%2Fwoscc%2Ffull-record%2FWOS:000779339000013","View Full Record in Web of Science")</f>
        <v>View Full Record in Web of Science</v>
      </c>
    </row>
    <row r="34" spans="1:72" x14ac:dyDescent="0.15">
      <c r="A34" t="s">
        <v>72</v>
      </c>
      <c r="B34" t="s">
        <v>867</v>
      </c>
      <c r="C34" t="s">
        <v>74</v>
      </c>
      <c r="D34" t="s">
        <v>74</v>
      </c>
      <c r="E34" t="s">
        <v>74</v>
      </c>
      <c r="F34" t="s">
        <v>868</v>
      </c>
      <c r="G34" t="s">
        <v>74</v>
      </c>
      <c r="H34" t="s">
        <v>74</v>
      </c>
      <c r="I34" t="s">
        <v>869</v>
      </c>
      <c r="J34" t="s">
        <v>870</v>
      </c>
      <c r="K34" t="s">
        <v>74</v>
      </c>
      <c r="L34" t="s">
        <v>74</v>
      </c>
      <c r="M34" t="s">
        <v>78</v>
      </c>
      <c r="N34" t="s">
        <v>79</v>
      </c>
      <c r="O34" t="s">
        <v>74</v>
      </c>
      <c r="P34" t="s">
        <v>74</v>
      </c>
      <c r="Q34" t="s">
        <v>74</v>
      </c>
      <c r="R34" t="s">
        <v>74</v>
      </c>
      <c r="S34" t="s">
        <v>74</v>
      </c>
      <c r="T34" t="s">
        <v>871</v>
      </c>
      <c r="U34" t="s">
        <v>872</v>
      </c>
      <c r="V34" t="s">
        <v>873</v>
      </c>
      <c r="W34" t="s">
        <v>874</v>
      </c>
      <c r="X34" t="s">
        <v>875</v>
      </c>
      <c r="Y34" t="s">
        <v>876</v>
      </c>
      <c r="Z34" t="s">
        <v>877</v>
      </c>
      <c r="AA34" t="s">
        <v>878</v>
      </c>
      <c r="AB34" t="s">
        <v>879</v>
      </c>
      <c r="AC34" t="s">
        <v>880</v>
      </c>
      <c r="AD34" t="s">
        <v>881</v>
      </c>
      <c r="AE34" t="s">
        <v>882</v>
      </c>
      <c r="AF34" t="s">
        <v>74</v>
      </c>
      <c r="AG34">
        <v>64</v>
      </c>
      <c r="AH34">
        <v>15</v>
      </c>
      <c r="AI34">
        <v>15</v>
      </c>
      <c r="AJ34">
        <v>21</v>
      </c>
      <c r="AK34">
        <v>58</v>
      </c>
      <c r="AL34" t="s">
        <v>883</v>
      </c>
      <c r="AM34" t="s">
        <v>606</v>
      </c>
      <c r="AN34" t="s">
        <v>884</v>
      </c>
      <c r="AO34" t="s">
        <v>885</v>
      </c>
      <c r="AP34" t="s">
        <v>886</v>
      </c>
      <c r="AQ34" t="s">
        <v>74</v>
      </c>
      <c r="AR34" t="s">
        <v>887</v>
      </c>
      <c r="AS34" t="s">
        <v>888</v>
      </c>
      <c r="AT34" t="s">
        <v>889</v>
      </c>
      <c r="AU34">
        <v>2022</v>
      </c>
      <c r="AV34">
        <v>119</v>
      </c>
      <c r="AW34">
        <v>7</v>
      </c>
      <c r="AX34" t="s">
        <v>74</v>
      </c>
      <c r="AY34" t="s">
        <v>74</v>
      </c>
      <c r="AZ34" t="s">
        <v>74</v>
      </c>
      <c r="BA34" t="s">
        <v>74</v>
      </c>
      <c r="BB34" t="s">
        <v>74</v>
      </c>
      <c r="BC34" t="s">
        <v>74</v>
      </c>
      <c r="BD34" t="s">
        <v>890</v>
      </c>
      <c r="BE34" t="s">
        <v>891</v>
      </c>
      <c r="BF34" t="str">
        <f>HYPERLINK("http://dx.doi.org/10.1073/pnas.2110864119","http://dx.doi.org/10.1073/pnas.2110864119")</f>
        <v>http://dx.doi.org/10.1073/pnas.2110864119</v>
      </c>
      <c r="BG34" t="s">
        <v>74</v>
      </c>
      <c r="BH34" t="s">
        <v>74</v>
      </c>
      <c r="BI34">
        <v>10</v>
      </c>
      <c r="BJ34" t="s">
        <v>289</v>
      </c>
      <c r="BK34" t="s">
        <v>103</v>
      </c>
      <c r="BL34" t="s">
        <v>290</v>
      </c>
      <c r="BM34" t="s">
        <v>892</v>
      </c>
      <c r="BN34">
        <v>35131938</v>
      </c>
      <c r="BO34" t="s">
        <v>893</v>
      </c>
      <c r="BP34" t="s">
        <v>74</v>
      </c>
      <c r="BQ34" t="s">
        <v>74</v>
      </c>
      <c r="BR34" t="s">
        <v>106</v>
      </c>
      <c r="BS34" t="s">
        <v>894</v>
      </c>
      <c r="BT34" t="str">
        <f>HYPERLINK("https%3A%2F%2Fwww.webofscience.com%2Fwos%2Fwoscc%2Ffull-record%2FWOS:000766919700009","View Full Record in Web of Science")</f>
        <v>View Full Record in Web of Science</v>
      </c>
    </row>
    <row r="35" spans="1:72" x14ac:dyDescent="0.15">
      <c r="A35" t="s">
        <v>72</v>
      </c>
      <c r="B35" t="s">
        <v>895</v>
      </c>
      <c r="C35" t="s">
        <v>74</v>
      </c>
      <c r="D35" t="s">
        <v>74</v>
      </c>
      <c r="E35" t="s">
        <v>74</v>
      </c>
      <c r="F35" t="s">
        <v>896</v>
      </c>
      <c r="G35" t="s">
        <v>74</v>
      </c>
      <c r="H35" t="s">
        <v>74</v>
      </c>
      <c r="I35" t="s">
        <v>897</v>
      </c>
      <c r="J35" t="s">
        <v>111</v>
      </c>
      <c r="K35" t="s">
        <v>74</v>
      </c>
      <c r="L35" t="s">
        <v>74</v>
      </c>
      <c r="M35" t="s">
        <v>78</v>
      </c>
      <c r="N35" t="s">
        <v>79</v>
      </c>
      <c r="O35" t="s">
        <v>74</v>
      </c>
      <c r="P35" t="s">
        <v>74</v>
      </c>
      <c r="Q35" t="s">
        <v>74</v>
      </c>
      <c r="R35" t="s">
        <v>74</v>
      </c>
      <c r="S35" t="s">
        <v>74</v>
      </c>
      <c r="T35" t="s">
        <v>74</v>
      </c>
      <c r="U35" t="s">
        <v>898</v>
      </c>
      <c r="V35" t="s">
        <v>899</v>
      </c>
      <c r="W35" t="s">
        <v>900</v>
      </c>
      <c r="X35" t="s">
        <v>901</v>
      </c>
      <c r="Y35" t="s">
        <v>902</v>
      </c>
      <c r="Z35" t="s">
        <v>903</v>
      </c>
      <c r="AA35" t="s">
        <v>904</v>
      </c>
      <c r="AB35" t="s">
        <v>905</v>
      </c>
      <c r="AC35" t="s">
        <v>906</v>
      </c>
      <c r="AD35" t="s">
        <v>907</v>
      </c>
      <c r="AE35" t="s">
        <v>908</v>
      </c>
      <c r="AF35" t="s">
        <v>74</v>
      </c>
      <c r="AG35">
        <v>69</v>
      </c>
      <c r="AH35">
        <v>8</v>
      </c>
      <c r="AI35">
        <v>8</v>
      </c>
      <c r="AJ35">
        <v>1</v>
      </c>
      <c r="AK35">
        <v>5</v>
      </c>
      <c r="AL35" t="s">
        <v>120</v>
      </c>
      <c r="AM35" t="s">
        <v>121</v>
      </c>
      <c r="AN35" t="s">
        <v>122</v>
      </c>
      <c r="AO35" t="s">
        <v>123</v>
      </c>
      <c r="AP35" t="s">
        <v>124</v>
      </c>
      <c r="AQ35" t="s">
        <v>74</v>
      </c>
      <c r="AR35" t="s">
        <v>125</v>
      </c>
      <c r="AS35" t="s">
        <v>126</v>
      </c>
      <c r="AT35" t="s">
        <v>889</v>
      </c>
      <c r="AU35">
        <v>2022</v>
      </c>
      <c r="AV35">
        <v>22</v>
      </c>
      <c r="AW35">
        <v>3</v>
      </c>
      <c r="AX35" t="s">
        <v>74</v>
      </c>
      <c r="AY35" t="s">
        <v>74</v>
      </c>
      <c r="AZ35" t="s">
        <v>74</v>
      </c>
      <c r="BA35" t="s">
        <v>74</v>
      </c>
      <c r="BB35">
        <v>2135</v>
      </c>
      <c r="BC35">
        <v>2152</v>
      </c>
      <c r="BD35" t="s">
        <v>74</v>
      </c>
      <c r="BE35" t="s">
        <v>909</v>
      </c>
      <c r="BF35" t="str">
        <f>HYPERLINK("http://dx.doi.org/10.5194/acp-22-2135-2022","http://dx.doi.org/10.5194/acp-22-2135-2022")</f>
        <v>http://dx.doi.org/10.5194/acp-22-2135-2022</v>
      </c>
      <c r="BG35" t="s">
        <v>74</v>
      </c>
      <c r="BH35" t="s">
        <v>74</v>
      </c>
      <c r="BI35">
        <v>18</v>
      </c>
      <c r="BJ35" t="s">
        <v>129</v>
      </c>
      <c r="BK35" t="s">
        <v>103</v>
      </c>
      <c r="BL35" t="s">
        <v>130</v>
      </c>
      <c r="BM35" t="s">
        <v>910</v>
      </c>
      <c r="BN35" t="s">
        <v>74</v>
      </c>
      <c r="BO35" t="s">
        <v>132</v>
      </c>
      <c r="BP35" t="s">
        <v>74</v>
      </c>
      <c r="BQ35" t="s">
        <v>74</v>
      </c>
      <c r="BR35" t="s">
        <v>106</v>
      </c>
      <c r="BS35" t="s">
        <v>911</v>
      </c>
      <c r="BT35" t="str">
        <f>HYPERLINK("https%3A%2F%2Fwww.webofscience.com%2Fwos%2Fwoscc%2Ffull-record%2FWOS:000759330400001","View Full Record in Web of Science")</f>
        <v>View Full Record in Web of Science</v>
      </c>
    </row>
    <row r="36" spans="1:72" x14ac:dyDescent="0.15">
      <c r="A36" t="s">
        <v>72</v>
      </c>
      <c r="B36" t="s">
        <v>912</v>
      </c>
      <c r="C36" t="s">
        <v>74</v>
      </c>
      <c r="D36" t="s">
        <v>74</v>
      </c>
      <c r="E36" t="s">
        <v>74</v>
      </c>
      <c r="F36" t="s">
        <v>913</v>
      </c>
      <c r="G36" t="s">
        <v>74</v>
      </c>
      <c r="H36" t="s">
        <v>74</v>
      </c>
      <c r="I36" t="s">
        <v>914</v>
      </c>
      <c r="J36" t="s">
        <v>111</v>
      </c>
      <c r="K36" t="s">
        <v>74</v>
      </c>
      <c r="L36" t="s">
        <v>74</v>
      </c>
      <c r="M36" t="s">
        <v>78</v>
      </c>
      <c r="N36" t="s">
        <v>79</v>
      </c>
      <c r="O36" t="s">
        <v>74</v>
      </c>
      <c r="P36" t="s">
        <v>74</v>
      </c>
      <c r="Q36" t="s">
        <v>74</v>
      </c>
      <c r="R36" t="s">
        <v>74</v>
      </c>
      <c r="S36" t="s">
        <v>74</v>
      </c>
      <c r="T36" t="s">
        <v>74</v>
      </c>
      <c r="U36" t="s">
        <v>915</v>
      </c>
      <c r="V36" t="s">
        <v>916</v>
      </c>
      <c r="W36" t="s">
        <v>917</v>
      </c>
      <c r="X36" t="s">
        <v>918</v>
      </c>
      <c r="Y36" t="s">
        <v>919</v>
      </c>
      <c r="Z36" t="s">
        <v>920</v>
      </c>
      <c r="AA36" t="s">
        <v>74</v>
      </c>
      <c r="AB36" t="s">
        <v>921</v>
      </c>
      <c r="AC36" t="s">
        <v>922</v>
      </c>
      <c r="AD36" t="s">
        <v>923</v>
      </c>
      <c r="AE36" t="s">
        <v>924</v>
      </c>
      <c r="AF36" t="s">
        <v>74</v>
      </c>
      <c r="AG36">
        <v>57</v>
      </c>
      <c r="AH36">
        <v>8</v>
      </c>
      <c r="AI36">
        <v>8</v>
      </c>
      <c r="AJ36">
        <v>1</v>
      </c>
      <c r="AK36">
        <v>3</v>
      </c>
      <c r="AL36" t="s">
        <v>120</v>
      </c>
      <c r="AM36" t="s">
        <v>121</v>
      </c>
      <c r="AN36" t="s">
        <v>122</v>
      </c>
      <c r="AO36" t="s">
        <v>123</v>
      </c>
      <c r="AP36" t="s">
        <v>124</v>
      </c>
      <c r="AQ36" t="s">
        <v>74</v>
      </c>
      <c r="AR36" t="s">
        <v>125</v>
      </c>
      <c r="AS36" t="s">
        <v>126</v>
      </c>
      <c r="AT36" t="s">
        <v>889</v>
      </c>
      <c r="AU36">
        <v>2022</v>
      </c>
      <c r="AV36">
        <v>22</v>
      </c>
      <c r="AW36">
        <v>3</v>
      </c>
      <c r="AX36" t="s">
        <v>74</v>
      </c>
      <c r="AY36" t="s">
        <v>74</v>
      </c>
      <c r="AZ36" t="s">
        <v>74</v>
      </c>
      <c r="BA36" t="s">
        <v>74</v>
      </c>
      <c r="BB36">
        <v>2079</v>
      </c>
      <c r="BC36">
        <v>2093</v>
      </c>
      <c r="BD36" t="s">
        <v>74</v>
      </c>
      <c r="BE36" t="s">
        <v>925</v>
      </c>
      <c r="BF36" t="str">
        <f>HYPERLINK("http://dx.doi.org/10.5194/acp-22-2079-2022","http://dx.doi.org/10.5194/acp-22-2079-2022")</f>
        <v>http://dx.doi.org/10.5194/acp-22-2079-2022</v>
      </c>
      <c r="BG36" t="s">
        <v>74</v>
      </c>
      <c r="BH36" t="s">
        <v>74</v>
      </c>
      <c r="BI36">
        <v>15</v>
      </c>
      <c r="BJ36" t="s">
        <v>129</v>
      </c>
      <c r="BK36" t="s">
        <v>103</v>
      </c>
      <c r="BL36" t="s">
        <v>130</v>
      </c>
      <c r="BM36" t="s">
        <v>926</v>
      </c>
      <c r="BN36" t="s">
        <v>74</v>
      </c>
      <c r="BO36" t="s">
        <v>154</v>
      </c>
      <c r="BP36" t="s">
        <v>74</v>
      </c>
      <c r="BQ36" t="s">
        <v>74</v>
      </c>
      <c r="BR36" t="s">
        <v>106</v>
      </c>
      <c r="BS36" t="s">
        <v>927</v>
      </c>
      <c r="BT36" t="str">
        <f>HYPERLINK("https%3A%2F%2Fwww.webofscience.com%2Fwos%2Fwoscc%2Ffull-record%2FWOS:000759323900001","View Full Record in Web of Science")</f>
        <v>View Full Record in Web of Science</v>
      </c>
    </row>
    <row r="37" spans="1:72" x14ac:dyDescent="0.15">
      <c r="A37" t="s">
        <v>72</v>
      </c>
      <c r="B37" t="s">
        <v>928</v>
      </c>
      <c r="C37" t="s">
        <v>74</v>
      </c>
      <c r="D37" t="s">
        <v>74</v>
      </c>
      <c r="E37" t="s">
        <v>74</v>
      </c>
      <c r="F37" t="s">
        <v>929</v>
      </c>
      <c r="G37" t="s">
        <v>74</v>
      </c>
      <c r="H37" t="s">
        <v>74</v>
      </c>
      <c r="I37" t="s">
        <v>930</v>
      </c>
      <c r="J37" t="s">
        <v>931</v>
      </c>
      <c r="K37" t="s">
        <v>74</v>
      </c>
      <c r="L37" t="s">
        <v>74</v>
      </c>
      <c r="M37" t="s">
        <v>78</v>
      </c>
      <c r="N37" t="s">
        <v>932</v>
      </c>
      <c r="O37" t="s">
        <v>74</v>
      </c>
      <c r="P37" t="s">
        <v>74</v>
      </c>
      <c r="Q37" t="s">
        <v>74</v>
      </c>
      <c r="R37" t="s">
        <v>74</v>
      </c>
      <c r="S37" t="s">
        <v>74</v>
      </c>
      <c r="T37" t="s">
        <v>74</v>
      </c>
      <c r="U37" t="s">
        <v>933</v>
      </c>
      <c r="V37" t="s">
        <v>74</v>
      </c>
      <c r="W37" t="s">
        <v>934</v>
      </c>
      <c r="X37" t="s">
        <v>935</v>
      </c>
      <c r="Y37" t="s">
        <v>936</v>
      </c>
      <c r="Z37" t="s">
        <v>74</v>
      </c>
      <c r="AA37" t="s">
        <v>74</v>
      </c>
      <c r="AB37" t="s">
        <v>74</v>
      </c>
      <c r="AC37" t="s">
        <v>74</v>
      </c>
      <c r="AD37" t="s">
        <v>74</v>
      </c>
      <c r="AE37" t="s">
        <v>74</v>
      </c>
      <c r="AF37" t="s">
        <v>74</v>
      </c>
      <c r="AG37">
        <v>8</v>
      </c>
      <c r="AH37">
        <v>0</v>
      </c>
      <c r="AI37">
        <v>0</v>
      </c>
      <c r="AJ37">
        <v>0</v>
      </c>
      <c r="AK37">
        <v>13</v>
      </c>
      <c r="AL37" t="s">
        <v>937</v>
      </c>
      <c r="AM37" t="s">
        <v>199</v>
      </c>
      <c r="AN37" t="s">
        <v>938</v>
      </c>
      <c r="AO37" t="s">
        <v>939</v>
      </c>
      <c r="AP37" t="s">
        <v>940</v>
      </c>
      <c r="AQ37" t="s">
        <v>74</v>
      </c>
      <c r="AR37" t="s">
        <v>941</v>
      </c>
      <c r="AS37" t="s">
        <v>942</v>
      </c>
      <c r="AT37" t="s">
        <v>943</v>
      </c>
      <c r="AU37">
        <v>2022</v>
      </c>
      <c r="AV37">
        <v>24</v>
      </c>
      <c r="AW37">
        <v>3</v>
      </c>
      <c r="AX37" t="s">
        <v>74</v>
      </c>
      <c r="AY37" t="s">
        <v>74</v>
      </c>
      <c r="AZ37" t="s">
        <v>74</v>
      </c>
      <c r="BA37" t="s">
        <v>74</v>
      </c>
      <c r="BB37">
        <v>486</v>
      </c>
      <c r="BC37">
        <v>487</v>
      </c>
      <c r="BD37" t="s">
        <v>74</v>
      </c>
      <c r="BE37" t="s">
        <v>944</v>
      </c>
      <c r="BF37" t="str">
        <f>HYPERLINK("http://dx.doi.org/10.1039/d2em90004a","http://dx.doi.org/10.1039/d2em90004a")</f>
        <v>http://dx.doi.org/10.1039/d2em90004a</v>
      </c>
      <c r="BG37" t="s">
        <v>74</v>
      </c>
      <c r="BH37" t="s">
        <v>101</v>
      </c>
      <c r="BI37">
        <v>2</v>
      </c>
      <c r="BJ37" t="s">
        <v>945</v>
      </c>
      <c r="BK37" t="s">
        <v>103</v>
      </c>
      <c r="BL37" t="s">
        <v>946</v>
      </c>
      <c r="BM37" t="s">
        <v>947</v>
      </c>
      <c r="BN37">
        <v>35166298</v>
      </c>
      <c r="BO37" t="s">
        <v>948</v>
      </c>
      <c r="BP37" t="s">
        <v>74</v>
      </c>
      <c r="BQ37" t="s">
        <v>74</v>
      </c>
      <c r="BR37" t="s">
        <v>106</v>
      </c>
      <c r="BS37" t="s">
        <v>949</v>
      </c>
      <c r="BT37" t="str">
        <f>HYPERLINK("https%3A%2F%2Fwww.webofscience.com%2Fwos%2Fwoscc%2Ffull-record%2FWOS:000755197900001","View Full Record in Web of Science")</f>
        <v>View Full Record in Web of Science</v>
      </c>
    </row>
    <row r="38" spans="1:72" x14ac:dyDescent="0.15">
      <c r="A38" t="s">
        <v>72</v>
      </c>
      <c r="B38" t="s">
        <v>950</v>
      </c>
      <c r="C38" t="s">
        <v>74</v>
      </c>
      <c r="D38" t="s">
        <v>74</v>
      </c>
      <c r="E38" t="s">
        <v>74</v>
      </c>
      <c r="F38" t="s">
        <v>951</v>
      </c>
      <c r="G38" t="s">
        <v>74</v>
      </c>
      <c r="H38" t="s">
        <v>74</v>
      </c>
      <c r="I38" t="s">
        <v>952</v>
      </c>
      <c r="J38" t="s">
        <v>953</v>
      </c>
      <c r="K38" t="s">
        <v>74</v>
      </c>
      <c r="L38" t="s">
        <v>74</v>
      </c>
      <c r="M38" t="s">
        <v>78</v>
      </c>
      <c r="N38" t="s">
        <v>79</v>
      </c>
      <c r="O38" t="s">
        <v>74</v>
      </c>
      <c r="P38" t="s">
        <v>74</v>
      </c>
      <c r="Q38" t="s">
        <v>74</v>
      </c>
      <c r="R38" t="s">
        <v>74</v>
      </c>
      <c r="S38" t="s">
        <v>74</v>
      </c>
      <c r="T38" t="s">
        <v>954</v>
      </c>
      <c r="U38" t="s">
        <v>955</v>
      </c>
      <c r="V38" t="s">
        <v>956</v>
      </c>
      <c r="W38" t="s">
        <v>957</v>
      </c>
      <c r="X38" t="s">
        <v>958</v>
      </c>
      <c r="Y38" t="s">
        <v>959</v>
      </c>
      <c r="Z38" t="s">
        <v>960</v>
      </c>
      <c r="AA38" t="s">
        <v>961</v>
      </c>
      <c r="AB38" t="s">
        <v>962</v>
      </c>
      <c r="AC38" t="s">
        <v>963</v>
      </c>
      <c r="AD38" t="s">
        <v>964</v>
      </c>
      <c r="AE38" t="s">
        <v>965</v>
      </c>
      <c r="AF38" t="s">
        <v>74</v>
      </c>
      <c r="AG38">
        <v>40</v>
      </c>
      <c r="AH38">
        <v>2</v>
      </c>
      <c r="AI38">
        <v>2</v>
      </c>
      <c r="AJ38">
        <v>6</v>
      </c>
      <c r="AK38">
        <v>20</v>
      </c>
      <c r="AL38" t="s">
        <v>310</v>
      </c>
      <c r="AM38" t="s">
        <v>311</v>
      </c>
      <c r="AN38" t="s">
        <v>312</v>
      </c>
      <c r="AO38" t="s">
        <v>966</v>
      </c>
      <c r="AP38" t="s">
        <v>967</v>
      </c>
      <c r="AQ38" t="s">
        <v>74</v>
      </c>
      <c r="AR38" t="s">
        <v>968</v>
      </c>
      <c r="AS38" t="s">
        <v>969</v>
      </c>
      <c r="AT38" t="s">
        <v>537</v>
      </c>
      <c r="AU38">
        <v>2022</v>
      </c>
      <c r="AV38">
        <v>186</v>
      </c>
      <c r="AW38" t="s">
        <v>74</v>
      </c>
      <c r="AX38" t="s">
        <v>74</v>
      </c>
      <c r="AY38" t="s">
        <v>74</v>
      </c>
      <c r="AZ38" t="s">
        <v>74</v>
      </c>
      <c r="BA38" t="s">
        <v>74</v>
      </c>
      <c r="BB38">
        <v>70</v>
      </c>
      <c r="BC38">
        <v>82</v>
      </c>
      <c r="BD38" t="s">
        <v>74</v>
      </c>
      <c r="BE38" t="s">
        <v>970</v>
      </c>
      <c r="BF38" t="str">
        <f>HYPERLINK("http://dx.doi.org/10.1016/j.isprsjprs.2022.01.024","http://dx.doi.org/10.1016/j.isprsjprs.2022.01.024")</f>
        <v>http://dx.doi.org/10.1016/j.isprsjprs.2022.01.024</v>
      </c>
      <c r="BG38" t="s">
        <v>74</v>
      </c>
      <c r="BH38" t="s">
        <v>101</v>
      </c>
      <c r="BI38">
        <v>13</v>
      </c>
      <c r="BJ38" t="s">
        <v>971</v>
      </c>
      <c r="BK38" t="s">
        <v>103</v>
      </c>
      <c r="BL38" t="s">
        <v>972</v>
      </c>
      <c r="BM38" t="s">
        <v>973</v>
      </c>
      <c r="BN38" t="s">
        <v>74</v>
      </c>
      <c r="BO38" t="s">
        <v>74</v>
      </c>
      <c r="BP38" t="s">
        <v>74</v>
      </c>
      <c r="BQ38" t="s">
        <v>74</v>
      </c>
      <c r="BR38" t="s">
        <v>106</v>
      </c>
      <c r="BS38" t="s">
        <v>974</v>
      </c>
      <c r="BT38" t="str">
        <f>HYPERLINK("https%3A%2F%2Fwww.webofscience.com%2Fwos%2Fwoscc%2Ffull-record%2FWOS:000782580600001","View Full Record in Web of Science")</f>
        <v>View Full Record in Web of Science</v>
      </c>
    </row>
    <row r="39" spans="1:72" x14ac:dyDescent="0.15">
      <c r="A39" t="s">
        <v>72</v>
      </c>
      <c r="B39" t="s">
        <v>975</v>
      </c>
      <c r="C39" t="s">
        <v>74</v>
      </c>
      <c r="D39" t="s">
        <v>74</v>
      </c>
      <c r="E39" t="s">
        <v>74</v>
      </c>
      <c r="F39" t="s">
        <v>976</v>
      </c>
      <c r="G39" t="s">
        <v>74</v>
      </c>
      <c r="H39" t="s">
        <v>74</v>
      </c>
      <c r="I39" t="s">
        <v>977</v>
      </c>
      <c r="J39" t="s">
        <v>978</v>
      </c>
      <c r="K39" t="s">
        <v>74</v>
      </c>
      <c r="L39" t="s">
        <v>74</v>
      </c>
      <c r="M39" t="s">
        <v>78</v>
      </c>
      <c r="N39" t="s">
        <v>79</v>
      </c>
      <c r="O39" t="s">
        <v>74</v>
      </c>
      <c r="P39" t="s">
        <v>74</v>
      </c>
      <c r="Q39" t="s">
        <v>74</v>
      </c>
      <c r="R39" t="s">
        <v>74</v>
      </c>
      <c r="S39" t="s">
        <v>74</v>
      </c>
      <c r="T39" t="s">
        <v>979</v>
      </c>
      <c r="U39" t="s">
        <v>980</v>
      </c>
      <c r="V39" t="s">
        <v>981</v>
      </c>
      <c r="W39" t="s">
        <v>982</v>
      </c>
      <c r="X39" t="s">
        <v>983</v>
      </c>
      <c r="Y39" t="s">
        <v>984</v>
      </c>
      <c r="Z39" t="s">
        <v>985</v>
      </c>
      <c r="AA39" t="s">
        <v>986</v>
      </c>
      <c r="AB39" t="s">
        <v>987</v>
      </c>
      <c r="AC39" t="s">
        <v>74</v>
      </c>
      <c r="AD39" t="s">
        <v>74</v>
      </c>
      <c r="AE39" t="s">
        <v>74</v>
      </c>
      <c r="AF39" t="s">
        <v>74</v>
      </c>
      <c r="AG39">
        <v>124</v>
      </c>
      <c r="AH39">
        <v>8</v>
      </c>
      <c r="AI39">
        <v>8</v>
      </c>
      <c r="AJ39">
        <v>10</v>
      </c>
      <c r="AK39">
        <v>28</v>
      </c>
      <c r="AL39" t="s">
        <v>363</v>
      </c>
      <c r="AM39" t="s">
        <v>364</v>
      </c>
      <c r="AN39" t="s">
        <v>365</v>
      </c>
      <c r="AO39" t="s">
        <v>988</v>
      </c>
      <c r="AP39" t="s">
        <v>74</v>
      </c>
      <c r="AQ39" t="s">
        <v>74</v>
      </c>
      <c r="AR39" t="s">
        <v>989</v>
      </c>
      <c r="AS39" t="s">
        <v>990</v>
      </c>
      <c r="AT39" t="s">
        <v>991</v>
      </c>
      <c r="AU39">
        <v>2022</v>
      </c>
      <c r="AV39">
        <v>13</v>
      </c>
      <c r="AW39" t="s">
        <v>74</v>
      </c>
      <c r="AX39" t="s">
        <v>74</v>
      </c>
      <c r="AY39" t="s">
        <v>74</v>
      </c>
      <c r="AZ39" t="s">
        <v>74</v>
      </c>
      <c r="BA39" t="s">
        <v>74</v>
      </c>
      <c r="BB39" t="s">
        <v>74</v>
      </c>
      <c r="BC39" t="s">
        <v>74</v>
      </c>
      <c r="BD39">
        <v>812890</v>
      </c>
      <c r="BE39" t="s">
        <v>992</v>
      </c>
      <c r="BF39" t="str">
        <f>HYPERLINK("http://dx.doi.org/10.3389/fimmu.2022.812890","http://dx.doi.org/10.3389/fimmu.2022.812890")</f>
        <v>http://dx.doi.org/10.3389/fimmu.2022.812890</v>
      </c>
      <c r="BG39" t="s">
        <v>74</v>
      </c>
      <c r="BH39" t="s">
        <v>74</v>
      </c>
      <c r="BI39">
        <v>18</v>
      </c>
      <c r="BJ39" t="s">
        <v>993</v>
      </c>
      <c r="BK39" t="s">
        <v>103</v>
      </c>
      <c r="BL39" t="s">
        <v>993</v>
      </c>
      <c r="BM39" t="s">
        <v>994</v>
      </c>
      <c r="BN39">
        <v>35237266</v>
      </c>
      <c r="BO39" t="s">
        <v>211</v>
      </c>
      <c r="BP39" t="s">
        <v>74</v>
      </c>
      <c r="BQ39" t="s">
        <v>74</v>
      </c>
      <c r="BR39" t="s">
        <v>106</v>
      </c>
      <c r="BS39" t="s">
        <v>995</v>
      </c>
      <c r="BT39" t="str">
        <f>HYPERLINK("https%3A%2F%2Fwww.webofscience.com%2Fwos%2Fwoscc%2Ffull-record%2FWOS:000761980600001","View Full Record in Web of Science")</f>
        <v>View Full Record in Web of Science</v>
      </c>
    </row>
    <row r="40" spans="1:72" x14ac:dyDescent="0.15">
      <c r="A40" t="s">
        <v>72</v>
      </c>
      <c r="B40" t="s">
        <v>996</v>
      </c>
      <c r="C40" t="s">
        <v>74</v>
      </c>
      <c r="D40" t="s">
        <v>74</v>
      </c>
      <c r="E40" t="s">
        <v>74</v>
      </c>
      <c r="F40" t="s">
        <v>997</v>
      </c>
      <c r="G40" t="s">
        <v>74</v>
      </c>
      <c r="H40" t="s">
        <v>74</v>
      </c>
      <c r="I40" t="s">
        <v>998</v>
      </c>
      <c r="J40" t="s">
        <v>999</v>
      </c>
      <c r="K40" t="s">
        <v>74</v>
      </c>
      <c r="L40" t="s">
        <v>74</v>
      </c>
      <c r="M40" t="s">
        <v>78</v>
      </c>
      <c r="N40" t="s">
        <v>79</v>
      </c>
      <c r="O40" t="s">
        <v>74</v>
      </c>
      <c r="P40" t="s">
        <v>74</v>
      </c>
      <c r="Q40" t="s">
        <v>74</v>
      </c>
      <c r="R40" t="s">
        <v>74</v>
      </c>
      <c r="S40" t="s">
        <v>74</v>
      </c>
      <c r="T40" t="s">
        <v>1000</v>
      </c>
      <c r="U40" t="s">
        <v>1001</v>
      </c>
      <c r="V40" t="s">
        <v>1002</v>
      </c>
      <c r="W40" t="s">
        <v>1003</v>
      </c>
      <c r="X40" t="s">
        <v>1004</v>
      </c>
      <c r="Y40" t="s">
        <v>1005</v>
      </c>
      <c r="Z40" t="s">
        <v>1006</v>
      </c>
      <c r="AA40" t="s">
        <v>1007</v>
      </c>
      <c r="AB40" t="s">
        <v>1008</v>
      </c>
      <c r="AC40" t="s">
        <v>74</v>
      </c>
      <c r="AD40" t="s">
        <v>74</v>
      </c>
      <c r="AE40" t="s">
        <v>74</v>
      </c>
      <c r="AF40" t="s">
        <v>74</v>
      </c>
      <c r="AG40">
        <v>56</v>
      </c>
      <c r="AH40">
        <v>3</v>
      </c>
      <c r="AI40">
        <v>3</v>
      </c>
      <c r="AJ40">
        <v>0</v>
      </c>
      <c r="AK40">
        <v>1</v>
      </c>
      <c r="AL40" t="s">
        <v>310</v>
      </c>
      <c r="AM40" t="s">
        <v>311</v>
      </c>
      <c r="AN40" t="s">
        <v>312</v>
      </c>
      <c r="AO40" t="s">
        <v>1009</v>
      </c>
      <c r="AP40" t="s">
        <v>1010</v>
      </c>
      <c r="AQ40" t="s">
        <v>74</v>
      </c>
      <c r="AR40" t="s">
        <v>999</v>
      </c>
      <c r="AS40" t="s">
        <v>1011</v>
      </c>
      <c r="AT40" t="s">
        <v>1012</v>
      </c>
      <c r="AU40">
        <v>2023</v>
      </c>
      <c r="AV40">
        <v>846</v>
      </c>
      <c r="AW40" t="s">
        <v>74</v>
      </c>
      <c r="AX40" t="s">
        <v>74</v>
      </c>
      <c r="AY40" t="s">
        <v>74</v>
      </c>
      <c r="AZ40" t="s">
        <v>74</v>
      </c>
      <c r="BA40" t="s">
        <v>74</v>
      </c>
      <c r="BB40" t="s">
        <v>74</v>
      </c>
      <c r="BC40" t="s">
        <v>74</v>
      </c>
      <c r="BD40">
        <v>229662</v>
      </c>
      <c r="BE40" t="s">
        <v>1013</v>
      </c>
      <c r="BF40" t="str">
        <f>HYPERLINK("http://dx.doi.org/10.1016/j.tecto.2022.229662","http://dx.doi.org/10.1016/j.tecto.2022.229662")</f>
        <v>http://dx.doi.org/10.1016/j.tecto.2022.229662</v>
      </c>
      <c r="BG40" t="s">
        <v>74</v>
      </c>
      <c r="BH40" t="s">
        <v>101</v>
      </c>
      <c r="BI40">
        <v>12</v>
      </c>
      <c r="BJ40" t="s">
        <v>1014</v>
      </c>
      <c r="BK40" t="s">
        <v>103</v>
      </c>
      <c r="BL40" t="s">
        <v>1014</v>
      </c>
      <c r="BM40" t="s">
        <v>1015</v>
      </c>
      <c r="BN40" t="s">
        <v>74</v>
      </c>
      <c r="BO40" t="s">
        <v>74</v>
      </c>
      <c r="BP40" t="s">
        <v>74</v>
      </c>
      <c r="BQ40" t="s">
        <v>74</v>
      </c>
      <c r="BR40" t="s">
        <v>106</v>
      </c>
      <c r="BS40" t="s">
        <v>1016</v>
      </c>
      <c r="BT40" t="str">
        <f>HYPERLINK("https%3A%2F%2Fwww.webofscience.com%2Fwos%2Fwoscc%2Ffull-record%2FWOS:000991402900001","View Full Record in Web of Science")</f>
        <v>View Full Record in Web of Science</v>
      </c>
    </row>
    <row r="41" spans="1:72" x14ac:dyDescent="0.15">
      <c r="A41" t="s">
        <v>72</v>
      </c>
      <c r="B41" t="s">
        <v>1017</v>
      </c>
      <c r="C41" t="s">
        <v>74</v>
      </c>
      <c r="D41" t="s">
        <v>74</v>
      </c>
      <c r="E41" t="s">
        <v>74</v>
      </c>
      <c r="F41" t="s">
        <v>1018</v>
      </c>
      <c r="G41" t="s">
        <v>74</v>
      </c>
      <c r="H41" t="s">
        <v>74</v>
      </c>
      <c r="I41" t="s">
        <v>1019</v>
      </c>
      <c r="J41" t="s">
        <v>1020</v>
      </c>
      <c r="K41" t="s">
        <v>74</v>
      </c>
      <c r="L41" t="s">
        <v>74</v>
      </c>
      <c r="M41" t="s">
        <v>78</v>
      </c>
      <c r="N41" t="s">
        <v>79</v>
      </c>
      <c r="O41" t="s">
        <v>74</v>
      </c>
      <c r="P41" t="s">
        <v>74</v>
      </c>
      <c r="Q41" t="s">
        <v>74</v>
      </c>
      <c r="R41" t="s">
        <v>74</v>
      </c>
      <c r="S41" t="s">
        <v>74</v>
      </c>
      <c r="T41" t="s">
        <v>1021</v>
      </c>
      <c r="U41" t="s">
        <v>1022</v>
      </c>
      <c r="V41" t="s">
        <v>1023</v>
      </c>
      <c r="W41" t="s">
        <v>1024</v>
      </c>
      <c r="X41" t="s">
        <v>1025</v>
      </c>
      <c r="Y41" t="s">
        <v>1026</v>
      </c>
      <c r="Z41" t="s">
        <v>1027</v>
      </c>
      <c r="AA41" t="s">
        <v>74</v>
      </c>
      <c r="AB41" t="s">
        <v>1028</v>
      </c>
      <c r="AC41" t="s">
        <v>74</v>
      </c>
      <c r="AD41" t="s">
        <v>74</v>
      </c>
      <c r="AE41" t="s">
        <v>74</v>
      </c>
      <c r="AF41" t="s">
        <v>74</v>
      </c>
      <c r="AG41">
        <v>89</v>
      </c>
      <c r="AH41">
        <v>4</v>
      </c>
      <c r="AI41">
        <v>4</v>
      </c>
      <c r="AJ41">
        <v>1</v>
      </c>
      <c r="AK41">
        <v>6</v>
      </c>
      <c r="AL41" t="s">
        <v>92</v>
      </c>
      <c r="AM41" t="s">
        <v>93</v>
      </c>
      <c r="AN41" t="s">
        <v>94</v>
      </c>
      <c r="AO41" t="s">
        <v>1029</v>
      </c>
      <c r="AP41" t="s">
        <v>1030</v>
      </c>
      <c r="AQ41" t="s">
        <v>74</v>
      </c>
      <c r="AR41" t="s">
        <v>1031</v>
      </c>
      <c r="AS41" t="s">
        <v>1032</v>
      </c>
      <c r="AT41" t="s">
        <v>537</v>
      </c>
      <c r="AU41">
        <v>2022</v>
      </c>
      <c r="AV41">
        <v>115</v>
      </c>
      <c r="AW41" t="s">
        <v>74</v>
      </c>
      <c r="AX41" t="s">
        <v>74</v>
      </c>
      <c r="AY41" t="s">
        <v>74</v>
      </c>
      <c r="AZ41" t="s">
        <v>74</v>
      </c>
      <c r="BA41" t="s">
        <v>74</v>
      </c>
      <c r="BB41" t="s">
        <v>74</v>
      </c>
      <c r="BC41" t="s">
        <v>74</v>
      </c>
      <c r="BD41">
        <v>103731</v>
      </c>
      <c r="BE41" t="s">
        <v>1033</v>
      </c>
      <c r="BF41" t="str">
        <f>HYPERLINK("http://dx.doi.org/10.1016/j.jsames.2022.103731","http://dx.doi.org/10.1016/j.jsames.2022.103731")</f>
        <v>http://dx.doi.org/10.1016/j.jsames.2022.103731</v>
      </c>
      <c r="BG41" t="s">
        <v>74</v>
      </c>
      <c r="BH41" t="s">
        <v>101</v>
      </c>
      <c r="BI41">
        <v>11</v>
      </c>
      <c r="BJ41" t="s">
        <v>151</v>
      </c>
      <c r="BK41" t="s">
        <v>1034</v>
      </c>
      <c r="BL41" t="s">
        <v>152</v>
      </c>
      <c r="BM41" t="s">
        <v>1035</v>
      </c>
      <c r="BN41" t="s">
        <v>74</v>
      </c>
      <c r="BO41" t="s">
        <v>74</v>
      </c>
      <c r="BP41" t="s">
        <v>74</v>
      </c>
      <c r="BQ41" t="s">
        <v>74</v>
      </c>
      <c r="BR41" t="s">
        <v>106</v>
      </c>
      <c r="BS41" t="s">
        <v>1036</v>
      </c>
      <c r="BT41" t="str">
        <f>HYPERLINK("https%3A%2F%2Fwww.webofscience.com%2Fwos%2Fwoscc%2Ffull-record%2FWOS:000782301900003","View Full Record in Web of Science")</f>
        <v>View Full Record in Web of Science</v>
      </c>
    </row>
    <row r="42" spans="1:72" x14ac:dyDescent="0.15">
      <c r="A42" t="s">
        <v>72</v>
      </c>
      <c r="B42" t="s">
        <v>1037</v>
      </c>
      <c r="C42" t="s">
        <v>74</v>
      </c>
      <c r="D42" t="s">
        <v>74</v>
      </c>
      <c r="E42" t="s">
        <v>74</v>
      </c>
      <c r="F42" t="s">
        <v>1038</v>
      </c>
      <c r="G42" t="s">
        <v>74</v>
      </c>
      <c r="H42" t="s">
        <v>74</v>
      </c>
      <c r="I42" t="s">
        <v>1039</v>
      </c>
      <c r="J42" t="s">
        <v>1040</v>
      </c>
      <c r="K42" t="s">
        <v>74</v>
      </c>
      <c r="L42" t="s">
        <v>74</v>
      </c>
      <c r="M42" t="s">
        <v>78</v>
      </c>
      <c r="N42" t="s">
        <v>79</v>
      </c>
      <c r="O42" t="s">
        <v>74</v>
      </c>
      <c r="P42" t="s">
        <v>74</v>
      </c>
      <c r="Q42" t="s">
        <v>74</v>
      </c>
      <c r="R42" t="s">
        <v>74</v>
      </c>
      <c r="S42" t="s">
        <v>74</v>
      </c>
      <c r="T42" t="s">
        <v>1041</v>
      </c>
      <c r="U42" t="s">
        <v>1042</v>
      </c>
      <c r="V42" t="s">
        <v>1043</v>
      </c>
      <c r="W42" t="s">
        <v>1044</v>
      </c>
      <c r="X42" t="s">
        <v>1045</v>
      </c>
      <c r="Y42" t="s">
        <v>1046</v>
      </c>
      <c r="Z42" t="s">
        <v>1047</v>
      </c>
      <c r="AA42" t="s">
        <v>74</v>
      </c>
      <c r="AB42" t="s">
        <v>1048</v>
      </c>
      <c r="AC42" t="s">
        <v>1049</v>
      </c>
      <c r="AD42" t="s">
        <v>1050</v>
      </c>
      <c r="AE42" t="s">
        <v>1051</v>
      </c>
      <c r="AF42" t="s">
        <v>74</v>
      </c>
      <c r="AG42">
        <v>40</v>
      </c>
      <c r="AH42">
        <v>2</v>
      </c>
      <c r="AI42">
        <v>2</v>
      </c>
      <c r="AJ42">
        <v>0</v>
      </c>
      <c r="AK42">
        <v>2</v>
      </c>
      <c r="AL42" t="s">
        <v>310</v>
      </c>
      <c r="AM42" t="s">
        <v>311</v>
      </c>
      <c r="AN42" t="s">
        <v>312</v>
      </c>
      <c r="AO42" t="s">
        <v>1052</v>
      </c>
      <c r="AP42" t="s">
        <v>1053</v>
      </c>
      <c r="AQ42" t="s">
        <v>74</v>
      </c>
      <c r="AR42" t="s">
        <v>1054</v>
      </c>
      <c r="AS42" t="s">
        <v>1055</v>
      </c>
      <c r="AT42" t="s">
        <v>99</v>
      </c>
      <c r="AU42">
        <v>2022</v>
      </c>
      <c r="AV42">
        <v>97</v>
      </c>
      <c r="AW42" t="s">
        <v>74</v>
      </c>
      <c r="AX42" t="s">
        <v>74</v>
      </c>
      <c r="AY42" t="s">
        <v>74</v>
      </c>
      <c r="AZ42" t="s">
        <v>74</v>
      </c>
      <c r="BA42" t="s">
        <v>74</v>
      </c>
      <c r="BB42" t="s">
        <v>74</v>
      </c>
      <c r="BC42" t="s">
        <v>74</v>
      </c>
      <c r="BD42">
        <v>101284</v>
      </c>
      <c r="BE42" t="s">
        <v>1056</v>
      </c>
      <c r="BF42" t="str">
        <f>HYPERLINK("http://dx.doi.org/10.1016/j.dynatmoce.2022.101284","http://dx.doi.org/10.1016/j.dynatmoce.2022.101284")</f>
        <v>http://dx.doi.org/10.1016/j.dynatmoce.2022.101284</v>
      </c>
      <c r="BG42" t="s">
        <v>74</v>
      </c>
      <c r="BH42" t="s">
        <v>101</v>
      </c>
      <c r="BI42">
        <v>11</v>
      </c>
      <c r="BJ42" t="s">
        <v>1057</v>
      </c>
      <c r="BK42" t="s">
        <v>103</v>
      </c>
      <c r="BL42" t="s">
        <v>1057</v>
      </c>
      <c r="BM42" t="s">
        <v>1058</v>
      </c>
      <c r="BN42" t="s">
        <v>74</v>
      </c>
      <c r="BO42" t="s">
        <v>74</v>
      </c>
      <c r="BP42" t="s">
        <v>74</v>
      </c>
      <c r="BQ42" t="s">
        <v>74</v>
      </c>
      <c r="BR42" t="s">
        <v>106</v>
      </c>
      <c r="BS42" t="s">
        <v>1059</v>
      </c>
      <c r="BT42" t="str">
        <f>HYPERLINK("https%3A%2F%2Fwww.webofscience.com%2Fwos%2Fwoscc%2Ffull-record%2FWOS:000777805300002","View Full Record in Web of Science")</f>
        <v>View Full Record in Web of Science</v>
      </c>
    </row>
    <row r="43" spans="1:72" x14ac:dyDescent="0.15">
      <c r="A43" t="s">
        <v>72</v>
      </c>
      <c r="B43" t="s">
        <v>1060</v>
      </c>
      <c r="C43" t="s">
        <v>74</v>
      </c>
      <c r="D43" t="s">
        <v>74</v>
      </c>
      <c r="E43" t="s">
        <v>74</v>
      </c>
      <c r="F43" t="s">
        <v>1061</v>
      </c>
      <c r="G43" t="s">
        <v>74</v>
      </c>
      <c r="H43" t="s">
        <v>74</v>
      </c>
      <c r="I43" t="s">
        <v>1062</v>
      </c>
      <c r="J43" t="s">
        <v>1063</v>
      </c>
      <c r="K43" t="s">
        <v>74</v>
      </c>
      <c r="L43" t="s">
        <v>74</v>
      </c>
      <c r="M43" t="s">
        <v>78</v>
      </c>
      <c r="N43" t="s">
        <v>79</v>
      </c>
      <c r="O43" t="s">
        <v>74</v>
      </c>
      <c r="P43" t="s">
        <v>74</v>
      </c>
      <c r="Q43" t="s">
        <v>74</v>
      </c>
      <c r="R43" t="s">
        <v>74</v>
      </c>
      <c r="S43" t="s">
        <v>74</v>
      </c>
      <c r="T43" t="s">
        <v>1064</v>
      </c>
      <c r="U43" t="s">
        <v>1065</v>
      </c>
      <c r="V43" t="s">
        <v>1066</v>
      </c>
      <c r="W43" t="s">
        <v>1067</v>
      </c>
      <c r="X43" t="s">
        <v>1068</v>
      </c>
      <c r="Y43" t="s">
        <v>1069</v>
      </c>
      <c r="Z43" t="s">
        <v>1070</v>
      </c>
      <c r="AA43" t="s">
        <v>74</v>
      </c>
      <c r="AB43" t="s">
        <v>74</v>
      </c>
      <c r="AC43" t="s">
        <v>1071</v>
      </c>
      <c r="AD43" t="s">
        <v>1072</v>
      </c>
      <c r="AE43" t="s">
        <v>1073</v>
      </c>
      <c r="AF43" t="s">
        <v>74</v>
      </c>
      <c r="AG43">
        <v>53</v>
      </c>
      <c r="AH43">
        <v>1</v>
      </c>
      <c r="AI43">
        <v>1</v>
      </c>
      <c r="AJ43">
        <v>0</v>
      </c>
      <c r="AK43">
        <v>1</v>
      </c>
      <c r="AL43" t="s">
        <v>1074</v>
      </c>
      <c r="AM43" t="s">
        <v>506</v>
      </c>
      <c r="AN43" t="s">
        <v>1075</v>
      </c>
      <c r="AO43" t="s">
        <v>1076</v>
      </c>
      <c r="AP43" t="s">
        <v>1077</v>
      </c>
      <c r="AQ43" t="s">
        <v>74</v>
      </c>
      <c r="AR43" t="s">
        <v>1078</v>
      </c>
      <c r="AS43" t="s">
        <v>1079</v>
      </c>
      <c r="AT43" t="s">
        <v>537</v>
      </c>
      <c r="AU43">
        <v>2022</v>
      </c>
      <c r="AV43">
        <v>45</v>
      </c>
      <c r="AW43">
        <v>4</v>
      </c>
      <c r="AX43" t="s">
        <v>74</v>
      </c>
      <c r="AY43" t="s">
        <v>74</v>
      </c>
      <c r="AZ43" t="s">
        <v>74</v>
      </c>
      <c r="BA43" t="s">
        <v>74</v>
      </c>
      <c r="BB43">
        <v>667</v>
      </c>
      <c r="BC43">
        <v>673</v>
      </c>
      <c r="BD43" t="s">
        <v>74</v>
      </c>
      <c r="BE43" t="s">
        <v>1080</v>
      </c>
      <c r="BF43" t="str">
        <f>HYPERLINK("http://dx.doi.org/10.1007/s00300-022-03019-2","http://dx.doi.org/10.1007/s00300-022-03019-2")</f>
        <v>http://dx.doi.org/10.1007/s00300-022-03019-2</v>
      </c>
      <c r="BG43" t="s">
        <v>74</v>
      </c>
      <c r="BH43" t="s">
        <v>101</v>
      </c>
      <c r="BI43">
        <v>7</v>
      </c>
      <c r="BJ43" t="s">
        <v>1081</v>
      </c>
      <c r="BK43" t="s">
        <v>103</v>
      </c>
      <c r="BL43" t="s">
        <v>1082</v>
      </c>
      <c r="BM43" t="s">
        <v>1083</v>
      </c>
      <c r="BN43" t="s">
        <v>74</v>
      </c>
      <c r="BO43" t="s">
        <v>796</v>
      </c>
      <c r="BP43" t="s">
        <v>74</v>
      </c>
      <c r="BQ43" t="s">
        <v>74</v>
      </c>
      <c r="BR43" t="s">
        <v>106</v>
      </c>
      <c r="BS43" t="s">
        <v>1084</v>
      </c>
      <c r="BT43" t="str">
        <f>HYPERLINK("https%3A%2F%2Fwww.webofscience.com%2Fwos%2Fwoscc%2Ffull-record%2FWOS:000754127200001","View Full Record in Web of Science")</f>
        <v>View Full Record in Web of Science</v>
      </c>
    </row>
    <row r="44" spans="1:72" x14ac:dyDescent="0.15">
      <c r="A44" t="s">
        <v>72</v>
      </c>
      <c r="B44" t="s">
        <v>1085</v>
      </c>
      <c r="C44" t="s">
        <v>74</v>
      </c>
      <c r="D44" t="s">
        <v>74</v>
      </c>
      <c r="E44" t="s">
        <v>74</v>
      </c>
      <c r="F44" t="s">
        <v>1086</v>
      </c>
      <c r="G44" t="s">
        <v>74</v>
      </c>
      <c r="H44" t="s">
        <v>74</v>
      </c>
      <c r="I44" t="s">
        <v>1087</v>
      </c>
      <c r="J44" t="s">
        <v>1088</v>
      </c>
      <c r="K44" t="s">
        <v>74</v>
      </c>
      <c r="L44" t="s">
        <v>74</v>
      </c>
      <c r="M44" t="s">
        <v>78</v>
      </c>
      <c r="N44" t="s">
        <v>79</v>
      </c>
      <c r="O44" t="s">
        <v>74</v>
      </c>
      <c r="P44" t="s">
        <v>74</v>
      </c>
      <c r="Q44" t="s">
        <v>74</v>
      </c>
      <c r="R44" t="s">
        <v>74</v>
      </c>
      <c r="S44" t="s">
        <v>74</v>
      </c>
      <c r="T44" t="s">
        <v>1089</v>
      </c>
      <c r="U44" t="s">
        <v>1090</v>
      </c>
      <c r="V44" t="s">
        <v>1091</v>
      </c>
      <c r="W44" t="s">
        <v>1092</v>
      </c>
      <c r="X44" t="s">
        <v>1093</v>
      </c>
      <c r="Y44" t="s">
        <v>1094</v>
      </c>
      <c r="Z44" t="s">
        <v>1095</v>
      </c>
      <c r="AA44" t="s">
        <v>74</v>
      </c>
      <c r="AB44" t="s">
        <v>74</v>
      </c>
      <c r="AC44" t="s">
        <v>1096</v>
      </c>
      <c r="AD44" t="s">
        <v>1096</v>
      </c>
      <c r="AE44" t="s">
        <v>1097</v>
      </c>
      <c r="AF44" t="s">
        <v>74</v>
      </c>
      <c r="AG44">
        <v>35</v>
      </c>
      <c r="AH44">
        <v>1</v>
      </c>
      <c r="AI44">
        <v>1</v>
      </c>
      <c r="AJ44">
        <v>0</v>
      </c>
      <c r="AK44">
        <v>6</v>
      </c>
      <c r="AL44" t="s">
        <v>1074</v>
      </c>
      <c r="AM44" t="s">
        <v>1098</v>
      </c>
      <c r="AN44" t="s">
        <v>1099</v>
      </c>
      <c r="AO44" t="s">
        <v>1100</v>
      </c>
      <c r="AP44" t="s">
        <v>1101</v>
      </c>
      <c r="AQ44" t="s">
        <v>74</v>
      </c>
      <c r="AR44" t="s">
        <v>1102</v>
      </c>
      <c r="AS44" t="s">
        <v>1103</v>
      </c>
      <c r="AT44" t="s">
        <v>99</v>
      </c>
      <c r="AU44">
        <v>2022</v>
      </c>
      <c r="AV44">
        <v>29</v>
      </c>
      <c r="AW44">
        <v>1</v>
      </c>
      <c r="AX44" t="s">
        <v>74</v>
      </c>
      <c r="AY44" t="s">
        <v>74</v>
      </c>
      <c r="AZ44" t="s">
        <v>233</v>
      </c>
      <c r="BA44" t="s">
        <v>74</v>
      </c>
      <c r="BB44">
        <v>33</v>
      </c>
      <c r="BC44">
        <v>53</v>
      </c>
      <c r="BD44" t="s">
        <v>74</v>
      </c>
      <c r="BE44" t="s">
        <v>1104</v>
      </c>
      <c r="BF44" t="str">
        <f>HYPERLINK("http://dx.doi.org/10.1007/s10651-022-00529-4","http://dx.doi.org/10.1007/s10651-022-00529-4")</f>
        <v>http://dx.doi.org/10.1007/s10651-022-00529-4</v>
      </c>
      <c r="BG44" t="s">
        <v>74</v>
      </c>
      <c r="BH44" t="s">
        <v>101</v>
      </c>
      <c r="BI44">
        <v>21</v>
      </c>
      <c r="BJ44" t="s">
        <v>1105</v>
      </c>
      <c r="BK44" t="s">
        <v>103</v>
      </c>
      <c r="BL44" t="s">
        <v>1106</v>
      </c>
      <c r="BM44" t="s">
        <v>1107</v>
      </c>
      <c r="BN44" t="s">
        <v>74</v>
      </c>
      <c r="BO44" t="s">
        <v>948</v>
      </c>
      <c r="BP44" t="s">
        <v>74</v>
      </c>
      <c r="BQ44" t="s">
        <v>74</v>
      </c>
      <c r="BR44" t="s">
        <v>106</v>
      </c>
      <c r="BS44" t="s">
        <v>1108</v>
      </c>
      <c r="BT44" t="str">
        <f>HYPERLINK("https%3A%2F%2Fwww.webofscience.com%2Fwos%2Fwoscc%2Ffull-record%2FWOS:000754344400001","View Full Record in Web of Science")</f>
        <v>View Full Record in Web of Science</v>
      </c>
    </row>
    <row r="45" spans="1:72" x14ac:dyDescent="0.15">
      <c r="A45" t="s">
        <v>72</v>
      </c>
      <c r="B45" t="s">
        <v>1109</v>
      </c>
      <c r="C45" t="s">
        <v>74</v>
      </c>
      <c r="D45" t="s">
        <v>74</v>
      </c>
      <c r="E45" t="s">
        <v>74</v>
      </c>
      <c r="F45" t="s">
        <v>1110</v>
      </c>
      <c r="G45" t="s">
        <v>74</v>
      </c>
      <c r="H45" t="s">
        <v>74</v>
      </c>
      <c r="I45" t="s">
        <v>1111</v>
      </c>
      <c r="J45" t="s">
        <v>1112</v>
      </c>
      <c r="K45" t="s">
        <v>74</v>
      </c>
      <c r="L45" t="s">
        <v>74</v>
      </c>
      <c r="M45" t="s">
        <v>78</v>
      </c>
      <c r="N45" t="s">
        <v>1113</v>
      </c>
      <c r="O45" t="s">
        <v>74</v>
      </c>
      <c r="P45" t="s">
        <v>74</v>
      </c>
      <c r="Q45" t="s">
        <v>74</v>
      </c>
      <c r="R45" t="s">
        <v>74</v>
      </c>
      <c r="S45" t="s">
        <v>74</v>
      </c>
      <c r="T45" t="s">
        <v>1114</v>
      </c>
      <c r="U45" t="s">
        <v>1115</v>
      </c>
      <c r="V45" t="s">
        <v>1116</v>
      </c>
      <c r="W45" t="s">
        <v>1117</v>
      </c>
      <c r="X45" t="s">
        <v>1118</v>
      </c>
      <c r="Y45" t="s">
        <v>1119</v>
      </c>
      <c r="Z45" t="s">
        <v>1120</v>
      </c>
      <c r="AA45" t="s">
        <v>1121</v>
      </c>
      <c r="AB45" t="s">
        <v>1122</v>
      </c>
      <c r="AC45" t="s">
        <v>1123</v>
      </c>
      <c r="AD45" t="s">
        <v>1124</v>
      </c>
      <c r="AE45" t="s">
        <v>1125</v>
      </c>
      <c r="AF45" t="s">
        <v>74</v>
      </c>
      <c r="AG45">
        <v>58</v>
      </c>
      <c r="AH45">
        <v>6</v>
      </c>
      <c r="AI45">
        <v>6</v>
      </c>
      <c r="AJ45">
        <v>7</v>
      </c>
      <c r="AK45">
        <v>30</v>
      </c>
      <c r="AL45" t="s">
        <v>92</v>
      </c>
      <c r="AM45" t="s">
        <v>93</v>
      </c>
      <c r="AN45" t="s">
        <v>94</v>
      </c>
      <c r="AO45" t="s">
        <v>1126</v>
      </c>
      <c r="AP45" t="s">
        <v>1127</v>
      </c>
      <c r="AQ45" t="s">
        <v>74</v>
      </c>
      <c r="AR45" t="s">
        <v>1128</v>
      </c>
      <c r="AS45" t="s">
        <v>1129</v>
      </c>
      <c r="AT45" t="s">
        <v>99</v>
      </c>
      <c r="AU45">
        <v>2022</v>
      </c>
      <c r="AV45">
        <v>202</v>
      </c>
      <c r="AW45" t="s">
        <v>74</v>
      </c>
      <c r="AX45" t="s">
        <v>74</v>
      </c>
      <c r="AY45" t="s">
        <v>74</v>
      </c>
      <c r="AZ45" t="s">
        <v>74</v>
      </c>
      <c r="BA45" t="s">
        <v>74</v>
      </c>
      <c r="BB45" t="s">
        <v>74</v>
      </c>
      <c r="BC45" t="s">
        <v>74</v>
      </c>
      <c r="BD45">
        <v>102744</v>
      </c>
      <c r="BE45" t="s">
        <v>1130</v>
      </c>
      <c r="BF45" t="str">
        <f>HYPERLINK("http://dx.doi.org/10.1016/j.pocean.2022.102744","http://dx.doi.org/10.1016/j.pocean.2022.102744")</f>
        <v>http://dx.doi.org/10.1016/j.pocean.2022.102744</v>
      </c>
      <c r="BG45" t="s">
        <v>74</v>
      </c>
      <c r="BH45" t="s">
        <v>101</v>
      </c>
      <c r="BI45">
        <v>8</v>
      </c>
      <c r="BJ45" t="s">
        <v>1131</v>
      </c>
      <c r="BK45" t="s">
        <v>103</v>
      </c>
      <c r="BL45" t="s">
        <v>1131</v>
      </c>
      <c r="BM45" t="s">
        <v>1132</v>
      </c>
      <c r="BN45" t="s">
        <v>74</v>
      </c>
      <c r="BO45" t="s">
        <v>74</v>
      </c>
      <c r="BP45" t="s">
        <v>74</v>
      </c>
      <c r="BQ45" t="s">
        <v>74</v>
      </c>
      <c r="BR45" t="s">
        <v>106</v>
      </c>
      <c r="BS45" t="s">
        <v>1133</v>
      </c>
      <c r="BT45" t="str">
        <f>HYPERLINK("https%3A%2F%2Fwww.webofscience.com%2Fwos%2Fwoscc%2Ffull-record%2FWOS:000780757300003","View Full Record in Web of Science")</f>
        <v>View Full Record in Web of Science</v>
      </c>
    </row>
    <row r="46" spans="1:72" x14ac:dyDescent="0.15">
      <c r="A46" t="s">
        <v>72</v>
      </c>
      <c r="B46" t="s">
        <v>1134</v>
      </c>
      <c r="C46" t="s">
        <v>74</v>
      </c>
      <c r="D46" t="s">
        <v>74</v>
      </c>
      <c r="E46" t="s">
        <v>74</v>
      </c>
      <c r="F46" t="s">
        <v>1135</v>
      </c>
      <c r="G46" t="s">
        <v>74</v>
      </c>
      <c r="H46" t="s">
        <v>74</v>
      </c>
      <c r="I46" t="s">
        <v>1136</v>
      </c>
      <c r="J46" t="s">
        <v>1137</v>
      </c>
      <c r="K46" t="s">
        <v>74</v>
      </c>
      <c r="L46" t="s">
        <v>74</v>
      </c>
      <c r="M46" t="s">
        <v>78</v>
      </c>
      <c r="N46" t="s">
        <v>79</v>
      </c>
      <c r="O46" t="s">
        <v>74</v>
      </c>
      <c r="P46" t="s">
        <v>74</v>
      </c>
      <c r="Q46" t="s">
        <v>74</v>
      </c>
      <c r="R46" t="s">
        <v>74</v>
      </c>
      <c r="S46" t="s">
        <v>74</v>
      </c>
      <c r="T46" t="s">
        <v>74</v>
      </c>
      <c r="U46" t="s">
        <v>1138</v>
      </c>
      <c r="V46" t="s">
        <v>1139</v>
      </c>
      <c r="W46" t="s">
        <v>1140</v>
      </c>
      <c r="X46" t="s">
        <v>1141</v>
      </c>
      <c r="Y46" t="s">
        <v>1142</v>
      </c>
      <c r="Z46" t="s">
        <v>1143</v>
      </c>
      <c r="AA46" t="s">
        <v>1144</v>
      </c>
      <c r="AB46" t="s">
        <v>1145</v>
      </c>
      <c r="AC46" t="s">
        <v>1146</v>
      </c>
      <c r="AD46" t="s">
        <v>1147</v>
      </c>
      <c r="AE46" t="s">
        <v>1148</v>
      </c>
      <c r="AF46" t="s">
        <v>74</v>
      </c>
      <c r="AG46">
        <v>80</v>
      </c>
      <c r="AH46">
        <v>0</v>
      </c>
      <c r="AI46">
        <v>0</v>
      </c>
      <c r="AJ46">
        <v>4</v>
      </c>
      <c r="AK46">
        <v>12</v>
      </c>
      <c r="AL46" t="s">
        <v>92</v>
      </c>
      <c r="AM46" t="s">
        <v>93</v>
      </c>
      <c r="AN46" t="s">
        <v>94</v>
      </c>
      <c r="AO46" t="s">
        <v>1149</v>
      </c>
      <c r="AP46" t="s">
        <v>1150</v>
      </c>
      <c r="AQ46" t="s">
        <v>74</v>
      </c>
      <c r="AR46" t="s">
        <v>1151</v>
      </c>
      <c r="AS46" t="s">
        <v>1152</v>
      </c>
      <c r="AT46" t="s">
        <v>1153</v>
      </c>
      <c r="AU46">
        <v>2022</v>
      </c>
      <c r="AV46">
        <v>280</v>
      </c>
      <c r="AW46" t="s">
        <v>74</v>
      </c>
      <c r="AX46" t="s">
        <v>74</v>
      </c>
      <c r="AY46" t="s">
        <v>74</v>
      </c>
      <c r="AZ46" t="s">
        <v>74</v>
      </c>
      <c r="BA46" t="s">
        <v>74</v>
      </c>
      <c r="BB46" t="s">
        <v>74</v>
      </c>
      <c r="BC46" t="s">
        <v>74</v>
      </c>
      <c r="BD46">
        <v>107401</v>
      </c>
      <c r="BE46" t="s">
        <v>1154</v>
      </c>
      <c r="BF46" t="str">
        <f>HYPERLINK("http://dx.doi.org/10.1016/j.quascirev.2022.107401","http://dx.doi.org/10.1016/j.quascirev.2022.107401")</f>
        <v>http://dx.doi.org/10.1016/j.quascirev.2022.107401</v>
      </c>
      <c r="BG46" t="s">
        <v>74</v>
      </c>
      <c r="BH46" t="s">
        <v>101</v>
      </c>
      <c r="BI46">
        <v>12</v>
      </c>
      <c r="BJ46" t="s">
        <v>208</v>
      </c>
      <c r="BK46" t="s">
        <v>103</v>
      </c>
      <c r="BL46" t="s">
        <v>209</v>
      </c>
      <c r="BM46" t="s">
        <v>1155</v>
      </c>
      <c r="BN46" t="s">
        <v>74</v>
      </c>
      <c r="BO46" t="s">
        <v>74</v>
      </c>
      <c r="BP46" t="s">
        <v>74</v>
      </c>
      <c r="BQ46" t="s">
        <v>74</v>
      </c>
      <c r="BR46" t="s">
        <v>106</v>
      </c>
      <c r="BS46" t="s">
        <v>1156</v>
      </c>
      <c r="BT46" t="str">
        <f>HYPERLINK("https%3A%2F%2Fwww.webofscience.com%2Fwos%2Fwoscc%2Ffull-record%2FWOS:000766920800003","View Full Record in Web of Science")</f>
        <v>View Full Record in Web of Science</v>
      </c>
    </row>
    <row r="47" spans="1:72" x14ac:dyDescent="0.15">
      <c r="A47" t="s">
        <v>72</v>
      </c>
      <c r="B47" t="s">
        <v>1157</v>
      </c>
      <c r="C47" t="s">
        <v>74</v>
      </c>
      <c r="D47" t="s">
        <v>74</v>
      </c>
      <c r="E47" t="s">
        <v>74</v>
      </c>
      <c r="F47" t="s">
        <v>1158</v>
      </c>
      <c r="G47" t="s">
        <v>74</v>
      </c>
      <c r="H47" t="s">
        <v>74</v>
      </c>
      <c r="I47" t="s">
        <v>1159</v>
      </c>
      <c r="J47" t="s">
        <v>1160</v>
      </c>
      <c r="K47" t="s">
        <v>74</v>
      </c>
      <c r="L47" t="s">
        <v>74</v>
      </c>
      <c r="M47" t="s">
        <v>78</v>
      </c>
      <c r="N47" t="s">
        <v>1113</v>
      </c>
      <c r="O47" t="s">
        <v>74</v>
      </c>
      <c r="P47" t="s">
        <v>74</v>
      </c>
      <c r="Q47" t="s">
        <v>74</v>
      </c>
      <c r="R47" t="s">
        <v>74</v>
      </c>
      <c r="S47" t="s">
        <v>74</v>
      </c>
      <c r="T47" t="s">
        <v>1161</v>
      </c>
      <c r="U47" t="s">
        <v>1162</v>
      </c>
      <c r="V47" t="s">
        <v>1163</v>
      </c>
      <c r="W47" t="s">
        <v>1164</v>
      </c>
      <c r="X47" t="s">
        <v>1165</v>
      </c>
      <c r="Y47" t="s">
        <v>1166</v>
      </c>
      <c r="Z47" t="s">
        <v>1167</v>
      </c>
      <c r="AA47" t="s">
        <v>1168</v>
      </c>
      <c r="AB47" t="s">
        <v>1169</v>
      </c>
      <c r="AC47" t="s">
        <v>74</v>
      </c>
      <c r="AD47" t="s">
        <v>74</v>
      </c>
      <c r="AE47" t="s">
        <v>74</v>
      </c>
      <c r="AF47" t="s">
        <v>74</v>
      </c>
      <c r="AG47">
        <v>289</v>
      </c>
      <c r="AH47">
        <v>29</v>
      </c>
      <c r="AI47">
        <v>29</v>
      </c>
      <c r="AJ47">
        <v>1</v>
      </c>
      <c r="AK47">
        <v>22</v>
      </c>
      <c r="AL47" t="s">
        <v>1170</v>
      </c>
      <c r="AM47" t="s">
        <v>436</v>
      </c>
      <c r="AN47" t="s">
        <v>1171</v>
      </c>
      <c r="AO47" t="s">
        <v>1172</v>
      </c>
      <c r="AP47" t="s">
        <v>1173</v>
      </c>
      <c r="AQ47" t="s">
        <v>74</v>
      </c>
      <c r="AR47" t="s">
        <v>1160</v>
      </c>
      <c r="AS47" t="s">
        <v>1174</v>
      </c>
      <c r="AT47" t="s">
        <v>1175</v>
      </c>
      <c r="AU47">
        <v>2022</v>
      </c>
      <c r="AV47">
        <v>12</v>
      </c>
      <c r="AW47">
        <v>2</v>
      </c>
      <c r="AX47" t="s">
        <v>74</v>
      </c>
      <c r="AY47" t="s">
        <v>74</v>
      </c>
      <c r="AZ47" t="s">
        <v>74</v>
      </c>
      <c r="BA47" t="s">
        <v>74</v>
      </c>
      <c r="BB47" t="s">
        <v>74</v>
      </c>
      <c r="BC47" t="s">
        <v>74</v>
      </c>
      <c r="BD47">
        <v>20210079</v>
      </c>
      <c r="BE47" t="s">
        <v>1176</v>
      </c>
      <c r="BF47" t="str">
        <f>HYPERLINK("http://dx.doi.org/10.1098/rsfs.2021.0079","http://dx.doi.org/10.1098/rsfs.2021.0079")</f>
        <v>http://dx.doi.org/10.1098/rsfs.2021.0079</v>
      </c>
      <c r="BG47" t="s">
        <v>74</v>
      </c>
      <c r="BH47" t="s">
        <v>74</v>
      </c>
      <c r="BI47">
        <v>31</v>
      </c>
      <c r="BJ47" t="s">
        <v>1177</v>
      </c>
      <c r="BK47" t="s">
        <v>1034</v>
      </c>
      <c r="BL47" t="s">
        <v>1178</v>
      </c>
      <c r="BM47" t="s">
        <v>1179</v>
      </c>
      <c r="BN47">
        <v>35261734</v>
      </c>
      <c r="BO47" t="s">
        <v>659</v>
      </c>
      <c r="BP47" t="s">
        <v>74</v>
      </c>
      <c r="BQ47" t="s">
        <v>74</v>
      </c>
      <c r="BR47" t="s">
        <v>106</v>
      </c>
      <c r="BS47" t="s">
        <v>1180</v>
      </c>
      <c r="BT47" t="str">
        <f>HYPERLINK("https%3A%2F%2Fwww.webofscience.com%2Fwos%2Fwoscc%2Ffull-record%2FWOS:000753592800002","View Full Record in Web of Science")</f>
        <v>View Full Record in Web of Science</v>
      </c>
    </row>
    <row r="48" spans="1:72" x14ac:dyDescent="0.15">
      <c r="A48" t="s">
        <v>72</v>
      </c>
      <c r="B48" t="s">
        <v>1181</v>
      </c>
      <c r="C48" t="s">
        <v>74</v>
      </c>
      <c r="D48" t="s">
        <v>74</v>
      </c>
      <c r="E48" t="s">
        <v>74</v>
      </c>
      <c r="F48" t="s">
        <v>1182</v>
      </c>
      <c r="G48" t="s">
        <v>74</v>
      </c>
      <c r="H48" t="s">
        <v>74</v>
      </c>
      <c r="I48" t="s">
        <v>1183</v>
      </c>
      <c r="J48" t="s">
        <v>1184</v>
      </c>
      <c r="K48" t="s">
        <v>74</v>
      </c>
      <c r="L48" t="s">
        <v>74</v>
      </c>
      <c r="M48" t="s">
        <v>78</v>
      </c>
      <c r="N48" t="s">
        <v>79</v>
      </c>
      <c r="O48" t="s">
        <v>74</v>
      </c>
      <c r="P48" t="s">
        <v>74</v>
      </c>
      <c r="Q48" t="s">
        <v>74</v>
      </c>
      <c r="R48" t="s">
        <v>74</v>
      </c>
      <c r="S48" t="s">
        <v>74</v>
      </c>
      <c r="T48" t="s">
        <v>74</v>
      </c>
      <c r="U48" t="s">
        <v>1185</v>
      </c>
      <c r="V48" t="s">
        <v>1186</v>
      </c>
      <c r="W48" t="s">
        <v>1187</v>
      </c>
      <c r="X48" t="s">
        <v>1188</v>
      </c>
      <c r="Y48" t="s">
        <v>1189</v>
      </c>
      <c r="Z48" t="s">
        <v>1190</v>
      </c>
      <c r="AA48" t="s">
        <v>1191</v>
      </c>
      <c r="AB48" t="s">
        <v>1192</v>
      </c>
      <c r="AC48" t="s">
        <v>1193</v>
      </c>
      <c r="AD48" t="s">
        <v>1194</v>
      </c>
      <c r="AE48" t="s">
        <v>1195</v>
      </c>
      <c r="AF48" t="s">
        <v>74</v>
      </c>
      <c r="AG48">
        <v>85</v>
      </c>
      <c r="AH48">
        <v>2</v>
      </c>
      <c r="AI48">
        <v>2</v>
      </c>
      <c r="AJ48">
        <v>3</v>
      </c>
      <c r="AK48">
        <v>5</v>
      </c>
      <c r="AL48" t="s">
        <v>120</v>
      </c>
      <c r="AM48" t="s">
        <v>121</v>
      </c>
      <c r="AN48" t="s">
        <v>122</v>
      </c>
      <c r="AO48" t="s">
        <v>1196</v>
      </c>
      <c r="AP48" t="s">
        <v>1197</v>
      </c>
      <c r="AQ48" t="s">
        <v>74</v>
      </c>
      <c r="AR48" t="s">
        <v>1198</v>
      </c>
      <c r="AS48" t="s">
        <v>1199</v>
      </c>
      <c r="AT48" t="s">
        <v>1175</v>
      </c>
      <c r="AU48">
        <v>2022</v>
      </c>
      <c r="AV48">
        <v>18</v>
      </c>
      <c r="AW48">
        <v>2</v>
      </c>
      <c r="AX48" t="s">
        <v>74</v>
      </c>
      <c r="AY48" t="s">
        <v>74</v>
      </c>
      <c r="AZ48" t="s">
        <v>74</v>
      </c>
      <c r="BA48" t="s">
        <v>74</v>
      </c>
      <c r="BB48">
        <v>273</v>
      </c>
      <c r="BC48">
        <v>292</v>
      </c>
      <c r="BD48" t="s">
        <v>74</v>
      </c>
      <c r="BE48" t="s">
        <v>1200</v>
      </c>
      <c r="BF48" t="str">
        <f>HYPERLINK("http://dx.doi.org/10.5194/cp-18-273-2022","http://dx.doi.org/10.5194/cp-18-273-2022")</f>
        <v>http://dx.doi.org/10.5194/cp-18-273-2022</v>
      </c>
      <c r="BG48" t="s">
        <v>74</v>
      </c>
      <c r="BH48" t="s">
        <v>74</v>
      </c>
      <c r="BI48">
        <v>20</v>
      </c>
      <c r="BJ48" t="s">
        <v>1201</v>
      </c>
      <c r="BK48" t="s">
        <v>103</v>
      </c>
      <c r="BL48" t="s">
        <v>1202</v>
      </c>
      <c r="BM48" t="s">
        <v>1203</v>
      </c>
      <c r="BN48" t="s">
        <v>74</v>
      </c>
      <c r="BO48" t="s">
        <v>1204</v>
      </c>
      <c r="BP48" t="s">
        <v>74</v>
      </c>
      <c r="BQ48" t="s">
        <v>74</v>
      </c>
      <c r="BR48" t="s">
        <v>106</v>
      </c>
      <c r="BS48" t="s">
        <v>1205</v>
      </c>
      <c r="BT48" t="str">
        <f>HYPERLINK("https%3A%2F%2Fwww.webofscience.com%2Fwos%2Fwoscc%2Ffull-record%2FWOS:000758221700001","View Full Record in Web of Science")</f>
        <v>View Full Record in Web of Science</v>
      </c>
    </row>
    <row r="49" spans="1:72" x14ac:dyDescent="0.15">
      <c r="A49" t="s">
        <v>72</v>
      </c>
      <c r="B49" t="s">
        <v>1206</v>
      </c>
      <c r="C49" t="s">
        <v>74</v>
      </c>
      <c r="D49" t="s">
        <v>74</v>
      </c>
      <c r="E49" t="s">
        <v>74</v>
      </c>
      <c r="F49" t="s">
        <v>1207</v>
      </c>
      <c r="G49" t="s">
        <v>74</v>
      </c>
      <c r="H49" t="s">
        <v>74</v>
      </c>
      <c r="I49" t="s">
        <v>1208</v>
      </c>
      <c r="J49" t="s">
        <v>1209</v>
      </c>
      <c r="K49" t="s">
        <v>74</v>
      </c>
      <c r="L49" t="s">
        <v>74</v>
      </c>
      <c r="M49" t="s">
        <v>78</v>
      </c>
      <c r="N49" t="s">
        <v>79</v>
      </c>
      <c r="O49" t="s">
        <v>74</v>
      </c>
      <c r="P49" t="s">
        <v>74</v>
      </c>
      <c r="Q49" t="s">
        <v>74</v>
      </c>
      <c r="R49" t="s">
        <v>74</v>
      </c>
      <c r="S49" t="s">
        <v>74</v>
      </c>
      <c r="T49" t="s">
        <v>1210</v>
      </c>
      <c r="U49" t="s">
        <v>1211</v>
      </c>
      <c r="V49" t="s">
        <v>1212</v>
      </c>
      <c r="W49" t="s">
        <v>1213</v>
      </c>
      <c r="X49" t="s">
        <v>1214</v>
      </c>
      <c r="Y49" t="s">
        <v>1215</v>
      </c>
      <c r="Z49" t="s">
        <v>1216</v>
      </c>
      <c r="AA49" t="s">
        <v>1217</v>
      </c>
      <c r="AB49" t="s">
        <v>1218</v>
      </c>
      <c r="AC49" t="s">
        <v>1219</v>
      </c>
      <c r="AD49" t="s">
        <v>1220</v>
      </c>
      <c r="AE49" t="s">
        <v>1221</v>
      </c>
      <c r="AF49" t="s">
        <v>74</v>
      </c>
      <c r="AG49">
        <v>89</v>
      </c>
      <c r="AH49">
        <v>2</v>
      </c>
      <c r="AI49">
        <v>2</v>
      </c>
      <c r="AJ49">
        <v>1</v>
      </c>
      <c r="AK49">
        <v>6</v>
      </c>
      <c r="AL49" t="s">
        <v>1074</v>
      </c>
      <c r="AM49" t="s">
        <v>1098</v>
      </c>
      <c r="AN49" t="s">
        <v>1099</v>
      </c>
      <c r="AO49" t="s">
        <v>1222</v>
      </c>
      <c r="AP49" t="s">
        <v>1223</v>
      </c>
      <c r="AQ49" t="s">
        <v>74</v>
      </c>
      <c r="AR49" t="s">
        <v>1224</v>
      </c>
      <c r="AS49" t="s">
        <v>1225</v>
      </c>
      <c r="AT49" t="s">
        <v>537</v>
      </c>
      <c r="AU49">
        <v>2022</v>
      </c>
      <c r="AV49">
        <v>48</v>
      </c>
      <c r="AW49">
        <v>2</v>
      </c>
      <c r="AX49" t="s">
        <v>74</v>
      </c>
      <c r="AY49" t="s">
        <v>74</v>
      </c>
      <c r="AZ49" t="s">
        <v>74</v>
      </c>
      <c r="BA49" t="s">
        <v>74</v>
      </c>
      <c r="BB49">
        <v>337</v>
      </c>
      <c r="BC49">
        <v>354</v>
      </c>
      <c r="BD49" t="s">
        <v>74</v>
      </c>
      <c r="BE49" t="s">
        <v>1226</v>
      </c>
      <c r="BF49" t="str">
        <f>HYPERLINK("http://dx.doi.org/10.1007/s10695-021-01044-2","http://dx.doi.org/10.1007/s10695-021-01044-2")</f>
        <v>http://dx.doi.org/10.1007/s10695-021-01044-2</v>
      </c>
      <c r="BG49" t="s">
        <v>74</v>
      </c>
      <c r="BH49" t="s">
        <v>101</v>
      </c>
      <c r="BI49">
        <v>18</v>
      </c>
      <c r="BJ49" t="s">
        <v>1227</v>
      </c>
      <c r="BK49" t="s">
        <v>103</v>
      </c>
      <c r="BL49" t="s">
        <v>1227</v>
      </c>
      <c r="BM49" t="s">
        <v>1228</v>
      </c>
      <c r="BN49">
        <v>35149921</v>
      </c>
      <c r="BO49" t="s">
        <v>74</v>
      </c>
      <c r="BP49" t="s">
        <v>74</v>
      </c>
      <c r="BQ49" t="s">
        <v>74</v>
      </c>
      <c r="BR49" t="s">
        <v>106</v>
      </c>
      <c r="BS49" t="s">
        <v>1229</v>
      </c>
      <c r="BT49" t="str">
        <f>HYPERLINK("https%3A%2F%2Fwww.webofscience.com%2Fwos%2Fwoscc%2Ffull-record%2FWOS:000754141500001","View Full Record in Web of Science")</f>
        <v>View Full Record in Web of Science</v>
      </c>
    </row>
    <row r="50" spans="1:72" x14ac:dyDescent="0.15">
      <c r="A50" t="s">
        <v>72</v>
      </c>
      <c r="B50" t="s">
        <v>1230</v>
      </c>
      <c r="C50" t="s">
        <v>74</v>
      </c>
      <c r="D50" t="s">
        <v>74</v>
      </c>
      <c r="E50" t="s">
        <v>74</v>
      </c>
      <c r="F50" t="s">
        <v>1231</v>
      </c>
      <c r="G50" t="s">
        <v>74</v>
      </c>
      <c r="H50" t="s">
        <v>74</v>
      </c>
      <c r="I50" t="s">
        <v>1232</v>
      </c>
      <c r="J50" t="s">
        <v>1209</v>
      </c>
      <c r="K50" t="s">
        <v>74</v>
      </c>
      <c r="L50" t="s">
        <v>74</v>
      </c>
      <c r="M50" t="s">
        <v>78</v>
      </c>
      <c r="N50" t="s">
        <v>79</v>
      </c>
      <c r="O50" t="s">
        <v>74</v>
      </c>
      <c r="P50" t="s">
        <v>74</v>
      </c>
      <c r="Q50" t="s">
        <v>74</v>
      </c>
      <c r="R50" t="s">
        <v>74</v>
      </c>
      <c r="S50" t="s">
        <v>74</v>
      </c>
      <c r="T50" t="s">
        <v>1233</v>
      </c>
      <c r="U50" t="s">
        <v>1234</v>
      </c>
      <c r="V50" t="s">
        <v>1235</v>
      </c>
      <c r="W50" t="s">
        <v>1236</v>
      </c>
      <c r="X50" t="s">
        <v>1237</v>
      </c>
      <c r="Y50" t="s">
        <v>1238</v>
      </c>
      <c r="Z50" t="s">
        <v>1239</v>
      </c>
      <c r="AA50" t="s">
        <v>74</v>
      </c>
      <c r="AB50" t="s">
        <v>1240</v>
      </c>
      <c r="AC50" t="s">
        <v>1241</v>
      </c>
      <c r="AD50" t="s">
        <v>1242</v>
      </c>
      <c r="AE50" t="s">
        <v>1243</v>
      </c>
      <c r="AF50" t="s">
        <v>74</v>
      </c>
      <c r="AG50">
        <v>90</v>
      </c>
      <c r="AH50">
        <v>0</v>
      </c>
      <c r="AI50">
        <v>0</v>
      </c>
      <c r="AJ50">
        <v>3</v>
      </c>
      <c r="AK50">
        <v>13</v>
      </c>
      <c r="AL50" t="s">
        <v>1074</v>
      </c>
      <c r="AM50" t="s">
        <v>1098</v>
      </c>
      <c r="AN50" t="s">
        <v>1099</v>
      </c>
      <c r="AO50" t="s">
        <v>1222</v>
      </c>
      <c r="AP50" t="s">
        <v>1223</v>
      </c>
      <c r="AQ50" t="s">
        <v>74</v>
      </c>
      <c r="AR50" t="s">
        <v>1224</v>
      </c>
      <c r="AS50" t="s">
        <v>1225</v>
      </c>
      <c r="AT50" t="s">
        <v>537</v>
      </c>
      <c r="AU50">
        <v>2022</v>
      </c>
      <c r="AV50">
        <v>48</v>
      </c>
      <c r="AW50">
        <v>2</v>
      </c>
      <c r="AX50" t="s">
        <v>74</v>
      </c>
      <c r="AY50" t="s">
        <v>74</v>
      </c>
      <c r="AZ50" t="s">
        <v>74</v>
      </c>
      <c r="BA50" t="s">
        <v>74</v>
      </c>
      <c r="BB50">
        <v>321</v>
      </c>
      <c r="BC50">
        <v>335</v>
      </c>
      <c r="BD50" t="s">
        <v>74</v>
      </c>
      <c r="BE50" t="s">
        <v>1244</v>
      </c>
      <c r="BF50" t="str">
        <f>HYPERLINK("http://dx.doi.org/10.1007/s10695-022-01057-5","http://dx.doi.org/10.1007/s10695-022-01057-5")</f>
        <v>http://dx.doi.org/10.1007/s10695-022-01057-5</v>
      </c>
      <c r="BG50" t="s">
        <v>74</v>
      </c>
      <c r="BH50" t="s">
        <v>101</v>
      </c>
      <c r="BI50">
        <v>15</v>
      </c>
      <c r="BJ50" t="s">
        <v>1227</v>
      </c>
      <c r="BK50" t="s">
        <v>103</v>
      </c>
      <c r="BL50" t="s">
        <v>1227</v>
      </c>
      <c r="BM50" t="s">
        <v>1228</v>
      </c>
      <c r="BN50">
        <v>35146595</v>
      </c>
      <c r="BO50" t="s">
        <v>74</v>
      </c>
      <c r="BP50" t="s">
        <v>74</v>
      </c>
      <c r="BQ50" t="s">
        <v>74</v>
      </c>
      <c r="BR50" t="s">
        <v>106</v>
      </c>
      <c r="BS50" t="s">
        <v>1245</v>
      </c>
      <c r="BT50" t="str">
        <f>HYPERLINK("https%3A%2F%2Fwww.webofscience.com%2Fwos%2Fwoscc%2Ffull-record%2FWOS:000753729800001","View Full Record in Web of Science")</f>
        <v>View Full Record in Web of Science</v>
      </c>
    </row>
    <row r="51" spans="1:72" x14ac:dyDescent="0.15">
      <c r="A51" t="s">
        <v>72</v>
      </c>
      <c r="B51" t="s">
        <v>1246</v>
      </c>
      <c r="C51" t="s">
        <v>74</v>
      </c>
      <c r="D51" t="s">
        <v>74</v>
      </c>
      <c r="E51" t="s">
        <v>74</v>
      </c>
      <c r="F51" t="s">
        <v>1247</v>
      </c>
      <c r="G51" t="s">
        <v>74</v>
      </c>
      <c r="H51" t="s">
        <v>74</v>
      </c>
      <c r="I51" t="s">
        <v>1248</v>
      </c>
      <c r="J51" t="s">
        <v>1063</v>
      </c>
      <c r="K51" t="s">
        <v>74</v>
      </c>
      <c r="L51" t="s">
        <v>74</v>
      </c>
      <c r="M51" t="s">
        <v>78</v>
      </c>
      <c r="N51" t="s">
        <v>79</v>
      </c>
      <c r="O51" t="s">
        <v>74</v>
      </c>
      <c r="P51" t="s">
        <v>74</v>
      </c>
      <c r="Q51" t="s">
        <v>74</v>
      </c>
      <c r="R51" t="s">
        <v>74</v>
      </c>
      <c r="S51" t="s">
        <v>74</v>
      </c>
      <c r="T51" t="s">
        <v>1249</v>
      </c>
      <c r="U51" t="s">
        <v>1250</v>
      </c>
      <c r="V51" t="s">
        <v>1251</v>
      </c>
      <c r="W51" t="s">
        <v>1252</v>
      </c>
      <c r="X51" t="s">
        <v>1253</v>
      </c>
      <c r="Y51" t="s">
        <v>1254</v>
      </c>
      <c r="Z51" t="s">
        <v>1255</v>
      </c>
      <c r="AA51" t="s">
        <v>1256</v>
      </c>
      <c r="AB51" t="s">
        <v>74</v>
      </c>
      <c r="AC51" t="s">
        <v>1257</v>
      </c>
      <c r="AD51" t="s">
        <v>1258</v>
      </c>
      <c r="AE51" t="s">
        <v>1259</v>
      </c>
      <c r="AF51" t="s">
        <v>74</v>
      </c>
      <c r="AG51">
        <v>56</v>
      </c>
      <c r="AH51">
        <v>3</v>
      </c>
      <c r="AI51">
        <v>3</v>
      </c>
      <c r="AJ51">
        <v>0</v>
      </c>
      <c r="AK51">
        <v>6</v>
      </c>
      <c r="AL51" t="s">
        <v>1074</v>
      </c>
      <c r="AM51" t="s">
        <v>506</v>
      </c>
      <c r="AN51" t="s">
        <v>1075</v>
      </c>
      <c r="AO51" t="s">
        <v>1076</v>
      </c>
      <c r="AP51" t="s">
        <v>1077</v>
      </c>
      <c r="AQ51" t="s">
        <v>74</v>
      </c>
      <c r="AR51" t="s">
        <v>1078</v>
      </c>
      <c r="AS51" t="s">
        <v>1079</v>
      </c>
      <c r="AT51" t="s">
        <v>537</v>
      </c>
      <c r="AU51">
        <v>2022</v>
      </c>
      <c r="AV51">
        <v>45</v>
      </c>
      <c r="AW51">
        <v>4</v>
      </c>
      <c r="AX51" t="s">
        <v>74</v>
      </c>
      <c r="AY51" t="s">
        <v>74</v>
      </c>
      <c r="AZ51" t="s">
        <v>74</v>
      </c>
      <c r="BA51" t="s">
        <v>74</v>
      </c>
      <c r="BB51">
        <v>647</v>
      </c>
      <c r="BC51">
        <v>666</v>
      </c>
      <c r="BD51" t="s">
        <v>74</v>
      </c>
      <c r="BE51" t="s">
        <v>1260</v>
      </c>
      <c r="BF51" t="str">
        <f>HYPERLINK("http://dx.doi.org/10.1007/s00300-022-03017-4","http://dx.doi.org/10.1007/s00300-022-03017-4")</f>
        <v>http://dx.doi.org/10.1007/s00300-022-03017-4</v>
      </c>
      <c r="BG51" t="s">
        <v>74</v>
      </c>
      <c r="BH51" t="s">
        <v>101</v>
      </c>
      <c r="BI51">
        <v>20</v>
      </c>
      <c r="BJ51" t="s">
        <v>1081</v>
      </c>
      <c r="BK51" t="s">
        <v>103</v>
      </c>
      <c r="BL51" t="s">
        <v>1082</v>
      </c>
      <c r="BM51" t="s">
        <v>1083</v>
      </c>
      <c r="BN51" t="s">
        <v>74</v>
      </c>
      <c r="BO51" t="s">
        <v>74</v>
      </c>
      <c r="BP51" t="s">
        <v>74</v>
      </c>
      <c r="BQ51" t="s">
        <v>74</v>
      </c>
      <c r="BR51" t="s">
        <v>106</v>
      </c>
      <c r="BS51" t="s">
        <v>1261</v>
      </c>
      <c r="BT51" t="str">
        <f>HYPERLINK("https%3A%2F%2Fwww.webofscience.com%2Fwos%2Fwoscc%2Ffull-record%2FWOS:000754127100001","View Full Record in Web of Science")</f>
        <v>View Full Record in Web of Science</v>
      </c>
    </row>
    <row r="52" spans="1:72" x14ac:dyDescent="0.15">
      <c r="A52" t="s">
        <v>72</v>
      </c>
      <c r="B52" t="s">
        <v>1262</v>
      </c>
      <c r="C52" t="s">
        <v>74</v>
      </c>
      <c r="D52" t="s">
        <v>74</v>
      </c>
      <c r="E52" t="s">
        <v>74</v>
      </c>
      <c r="F52" t="s">
        <v>1263</v>
      </c>
      <c r="G52" t="s">
        <v>74</v>
      </c>
      <c r="H52" t="s">
        <v>74</v>
      </c>
      <c r="I52" t="s">
        <v>1264</v>
      </c>
      <c r="J52" t="s">
        <v>1265</v>
      </c>
      <c r="K52" t="s">
        <v>74</v>
      </c>
      <c r="L52" t="s">
        <v>74</v>
      </c>
      <c r="M52" t="s">
        <v>78</v>
      </c>
      <c r="N52" t="s">
        <v>1113</v>
      </c>
      <c r="O52" t="s">
        <v>74</v>
      </c>
      <c r="P52" t="s">
        <v>74</v>
      </c>
      <c r="Q52" t="s">
        <v>74</v>
      </c>
      <c r="R52" t="s">
        <v>74</v>
      </c>
      <c r="S52" t="s">
        <v>74</v>
      </c>
      <c r="T52" t="s">
        <v>1266</v>
      </c>
      <c r="U52" t="s">
        <v>1267</v>
      </c>
      <c r="V52" t="s">
        <v>1268</v>
      </c>
      <c r="W52" t="s">
        <v>1269</v>
      </c>
      <c r="X52" t="s">
        <v>1270</v>
      </c>
      <c r="Y52" t="s">
        <v>1271</v>
      </c>
      <c r="Z52" t="s">
        <v>1272</v>
      </c>
      <c r="AA52" t="s">
        <v>1273</v>
      </c>
      <c r="AB52" t="s">
        <v>1274</v>
      </c>
      <c r="AC52" t="s">
        <v>1275</v>
      </c>
      <c r="AD52" t="s">
        <v>1276</v>
      </c>
      <c r="AE52" t="s">
        <v>1277</v>
      </c>
      <c r="AF52" t="s">
        <v>74</v>
      </c>
      <c r="AG52">
        <v>107</v>
      </c>
      <c r="AH52">
        <v>110</v>
      </c>
      <c r="AI52">
        <v>114</v>
      </c>
      <c r="AJ52">
        <v>111</v>
      </c>
      <c r="AK52">
        <v>680</v>
      </c>
      <c r="AL52" t="s">
        <v>171</v>
      </c>
      <c r="AM52" t="s">
        <v>172</v>
      </c>
      <c r="AN52" t="s">
        <v>173</v>
      </c>
      <c r="AO52" t="s">
        <v>1278</v>
      </c>
      <c r="AP52" t="s">
        <v>1279</v>
      </c>
      <c r="AQ52" t="s">
        <v>74</v>
      </c>
      <c r="AR52" t="s">
        <v>1280</v>
      </c>
      <c r="AS52" t="s">
        <v>1281</v>
      </c>
      <c r="AT52" t="s">
        <v>178</v>
      </c>
      <c r="AU52">
        <v>2022</v>
      </c>
      <c r="AV52">
        <v>28</v>
      </c>
      <c r="AW52">
        <v>9</v>
      </c>
      <c r="AX52" t="s">
        <v>74</v>
      </c>
      <c r="AY52" t="s">
        <v>74</v>
      </c>
      <c r="AZ52" t="s">
        <v>74</v>
      </c>
      <c r="BA52" t="s">
        <v>74</v>
      </c>
      <c r="BB52">
        <v>3110</v>
      </c>
      <c r="BC52">
        <v>3144</v>
      </c>
      <c r="BD52" t="s">
        <v>74</v>
      </c>
      <c r="BE52" t="s">
        <v>1282</v>
      </c>
      <c r="BF52" t="str">
        <f>HYPERLINK("http://dx.doi.org/10.1111/gcb.16060","http://dx.doi.org/10.1111/gcb.16060")</f>
        <v>http://dx.doi.org/10.1111/gcb.16060</v>
      </c>
      <c r="BG52" t="s">
        <v>74</v>
      </c>
      <c r="BH52" t="s">
        <v>101</v>
      </c>
      <c r="BI52">
        <v>35</v>
      </c>
      <c r="BJ52" t="s">
        <v>1283</v>
      </c>
      <c r="BK52" t="s">
        <v>103</v>
      </c>
      <c r="BL52" t="s">
        <v>1082</v>
      </c>
      <c r="BM52" t="s">
        <v>1284</v>
      </c>
      <c r="BN52">
        <v>34967074</v>
      </c>
      <c r="BO52" t="s">
        <v>1285</v>
      </c>
      <c r="BP52" t="s">
        <v>1286</v>
      </c>
      <c r="BQ52" t="s">
        <v>1287</v>
      </c>
      <c r="BR52" t="s">
        <v>106</v>
      </c>
      <c r="BS52" t="s">
        <v>1288</v>
      </c>
      <c r="BT52" t="str">
        <f>HYPERLINK("https%3A%2F%2Fwww.webofscience.com%2Fwos%2Fwoscc%2Ffull-record%2FWOS:000753944300001","View Full Record in Web of Science")</f>
        <v>View Full Record in Web of Science</v>
      </c>
    </row>
    <row r="53" spans="1:72" x14ac:dyDescent="0.15">
      <c r="A53" t="s">
        <v>72</v>
      </c>
      <c r="B53" t="s">
        <v>1289</v>
      </c>
      <c r="C53" t="s">
        <v>74</v>
      </c>
      <c r="D53" t="s">
        <v>74</v>
      </c>
      <c r="E53" t="s">
        <v>74</v>
      </c>
      <c r="F53" t="s">
        <v>1290</v>
      </c>
      <c r="G53" t="s">
        <v>74</v>
      </c>
      <c r="H53" t="s">
        <v>74</v>
      </c>
      <c r="I53" t="s">
        <v>1291</v>
      </c>
      <c r="J53" t="s">
        <v>1292</v>
      </c>
      <c r="K53" t="s">
        <v>74</v>
      </c>
      <c r="L53" t="s">
        <v>74</v>
      </c>
      <c r="M53" t="s">
        <v>78</v>
      </c>
      <c r="N53" t="s">
        <v>79</v>
      </c>
      <c r="O53" t="s">
        <v>74</v>
      </c>
      <c r="P53" t="s">
        <v>74</v>
      </c>
      <c r="Q53" t="s">
        <v>74</v>
      </c>
      <c r="R53" t="s">
        <v>74</v>
      </c>
      <c r="S53" t="s">
        <v>74</v>
      </c>
      <c r="T53" t="s">
        <v>1293</v>
      </c>
      <c r="U53" t="s">
        <v>1294</v>
      </c>
      <c r="V53" t="s">
        <v>1295</v>
      </c>
      <c r="W53" t="s">
        <v>1296</v>
      </c>
      <c r="X53" t="s">
        <v>1297</v>
      </c>
      <c r="Y53" t="s">
        <v>1298</v>
      </c>
      <c r="Z53" t="s">
        <v>1299</v>
      </c>
      <c r="AA53" t="s">
        <v>1300</v>
      </c>
      <c r="AB53" t="s">
        <v>1301</v>
      </c>
      <c r="AC53" t="s">
        <v>1302</v>
      </c>
      <c r="AD53" t="s">
        <v>1303</v>
      </c>
      <c r="AE53" t="s">
        <v>1304</v>
      </c>
      <c r="AF53" t="s">
        <v>74</v>
      </c>
      <c r="AG53">
        <v>74</v>
      </c>
      <c r="AH53">
        <v>7</v>
      </c>
      <c r="AI53">
        <v>9</v>
      </c>
      <c r="AJ53">
        <v>2</v>
      </c>
      <c r="AK53">
        <v>17</v>
      </c>
      <c r="AL53" t="s">
        <v>814</v>
      </c>
      <c r="AM53" t="s">
        <v>93</v>
      </c>
      <c r="AN53" t="s">
        <v>815</v>
      </c>
      <c r="AO53" t="s">
        <v>1305</v>
      </c>
      <c r="AP53" t="s">
        <v>1306</v>
      </c>
      <c r="AQ53" t="s">
        <v>74</v>
      </c>
      <c r="AR53" t="s">
        <v>1307</v>
      </c>
      <c r="AS53" t="s">
        <v>1308</v>
      </c>
      <c r="AT53" t="s">
        <v>1309</v>
      </c>
      <c r="AU53">
        <v>2022</v>
      </c>
      <c r="AV53">
        <v>335</v>
      </c>
      <c r="AW53" t="s">
        <v>74</v>
      </c>
      <c r="AX53" t="s">
        <v>74</v>
      </c>
      <c r="AY53" t="s">
        <v>74</v>
      </c>
      <c r="AZ53" t="s">
        <v>74</v>
      </c>
      <c r="BA53" t="s">
        <v>74</v>
      </c>
      <c r="BB53" t="s">
        <v>74</v>
      </c>
      <c r="BC53" t="s">
        <v>74</v>
      </c>
      <c r="BD53">
        <v>130296</v>
      </c>
      <c r="BE53" t="s">
        <v>1310</v>
      </c>
      <c r="BF53" t="str">
        <f>HYPERLINK("http://dx.doi.org/10.1016/j.jclepro.2021.130296","http://dx.doi.org/10.1016/j.jclepro.2021.130296")</f>
        <v>http://dx.doi.org/10.1016/j.jclepro.2021.130296</v>
      </c>
      <c r="BG53" t="s">
        <v>74</v>
      </c>
      <c r="BH53" t="s">
        <v>74</v>
      </c>
      <c r="BI53">
        <v>12</v>
      </c>
      <c r="BJ53" t="s">
        <v>1311</v>
      </c>
      <c r="BK53" t="s">
        <v>103</v>
      </c>
      <c r="BL53" t="s">
        <v>1312</v>
      </c>
      <c r="BM53" t="s">
        <v>1313</v>
      </c>
      <c r="BN53" t="s">
        <v>74</v>
      </c>
      <c r="BO53" t="s">
        <v>74</v>
      </c>
      <c r="BP53" t="s">
        <v>74</v>
      </c>
      <c r="BQ53" t="s">
        <v>74</v>
      </c>
      <c r="BR53" t="s">
        <v>106</v>
      </c>
      <c r="BS53" t="s">
        <v>1314</v>
      </c>
      <c r="BT53" t="str">
        <f>HYPERLINK("https%3A%2F%2Fwww.webofscience.com%2Fwos%2Fwoscc%2Ffull-record%2FWOS:000819846400007","View Full Record in Web of Science")</f>
        <v>View Full Record in Web of Science</v>
      </c>
    </row>
    <row r="54" spans="1:72" x14ac:dyDescent="0.15">
      <c r="A54" t="s">
        <v>72</v>
      </c>
      <c r="B54" t="s">
        <v>1315</v>
      </c>
      <c r="C54" t="s">
        <v>74</v>
      </c>
      <c r="D54" t="s">
        <v>74</v>
      </c>
      <c r="E54" t="s">
        <v>74</v>
      </c>
      <c r="F54" t="s">
        <v>1316</v>
      </c>
      <c r="G54" t="s">
        <v>74</v>
      </c>
      <c r="H54" t="s">
        <v>74</v>
      </c>
      <c r="I54" t="s">
        <v>1317</v>
      </c>
      <c r="J54" t="s">
        <v>1318</v>
      </c>
      <c r="K54" t="s">
        <v>74</v>
      </c>
      <c r="L54" t="s">
        <v>74</v>
      </c>
      <c r="M54" t="s">
        <v>78</v>
      </c>
      <c r="N54" t="s">
        <v>79</v>
      </c>
      <c r="O54" t="s">
        <v>74</v>
      </c>
      <c r="P54" t="s">
        <v>74</v>
      </c>
      <c r="Q54" t="s">
        <v>74</v>
      </c>
      <c r="R54" t="s">
        <v>74</v>
      </c>
      <c r="S54" t="s">
        <v>74</v>
      </c>
      <c r="T54" t="s">
        <v>1319</v>
      </c>
      <c r="U54" t="s">
        <v>1320</v>
      </c>
      <c r="V54" t="s">
        <v>1321</v>
      </c>
      <c r="W54" t="s">
        <v>1322</v>
      </c>
      <c r="X54" t="s">
        <v>1323</v>
      </c>
      <c r="Y54" t="s">
        <v>1324</v>
      </c>
      <c r="Z54" t="s">
        <v>1325</v>
      </c>
      <c r="AA54" t="s">
        <v>1326</v>
      </c>
      <c r="AB54" t="s">
        <v>1327</v>
      </c>
      <c r="AC54" t="s">
        <v>74</v>
      </c>
      <c r="AD54" t="s">
        <v>74</v>
      </c>
      <c r="AE54" t="s">
        <v>74</v>
      </c>
      <c r="AF54" t="s">
        <v>74</v>
      </c>
      <c r="AG54">
        <v>59</v>
      </c>
      <c r="AH54">
        <v>2</v>
      </c>
      <c r="AI54">
        <v>2</v>
      </c>
      <c r="AJ54">
        <v>0</v>
      </c>
      <c r="AK54">
        <v>9</v>
      </c>
      <c r="AL54" t="s">
        <v>505</v>
      </c>
      <c r="AM54" t="s">
        <v>506</v>
      </c>
      <c r="AN54" t="s">
        <v>507</v>
      </c>
      <c r="AO54" t="s">
        <v>1328</v>
      </c>
      <c r="AP54" t="s">
        <v>1329</v>
      </c>
      <c r="AQ54" t="s">
        <v>74</v>
      </c>
      <c r="AR54" t="s">
        <v>1330</v>
      </c>
      <c r="AS54" t="s">
        <v>1331</v>
      </c>
      <c r="AT54" t="s">
        <v>537</v>
      </c>
      <c r="AU54">
        <v>2022</v>
      </c>
      <c r="AV54">
        <v>272</v>
      </c>
      <c r="AW54" t="s">
        <v>74</v>
      </c>
      <c r="AX54" t="s">
        <v>74</v>
      </c>
      <c r="AY54" t="s">
        <v>74</v>
      </c>
      <c r="AZ54" t="s">
        <v>74</v>
      </c>
      <c r="BA54" t="s">
        <v>74</v>
      </c>
      <c r="BB54" t="s">
        <v>74</v>
      </c>
      <c r="BC54" t="s">
        <v>74</v>
      </c>
      <c r="BD54">
        <v>112918</v>
      </c>
      <c r="BE54" t="s">
        <v>1332</v>
      </c>
      <c r="BF54" t="str">
        <f>HYPERLINK("http://dx.doi.org/10.1016/j.rse.2022.112918","http://dx.doi.org/10.1016/j.rse.2022.112918")</f>
        <v>http://dx.doi.org/10.1016/j.rse.2022.112918</v>
      </c>
      <c r="BG54" t="s">
        <v>74</v>
      </c>
      <c r="BH54" t="s">
        <v>101</v>
      </c>
      <c r="BI54">
        <v>10</v>
      </c>
      <c r="BJ54" t="s">
        <v>1333</v>
      </c>
      <c r="BK54" t="s">
        <v>103</v>
      </c>
      <c r="BL54" t="s">
        <v>1334</v>
      </c>
      <c r="BM54" t="s">
        <v>1335</v>
      </c>
      <c r="BN54" t="s">
        <v>74</v>
      </c>
      <c r="BO54" t="s">
        <v>1336</v>
      </c>
      <c r="BP54" t="s">
        <v>74</v>
      </c>
      <c r="BQ54" t="s">
        <v>74</v>
      </c>
      <c r="BR54" t="s">
        <v>106</v>
      </c>
      <c r="BS54" t="s">
        <v>1337</v>
      </c>
      <c r="BT54" t="str">
        <f>HYPERLINK("https%3A%2F%2Fwww.webofscience.com%2Fwos%2Fwoscc%2Ffull-record%2FWOS:000759731300004","View Full Record in Web of Science")</f>
        <v>View Full Record in Web of Science</v>
      </c>
    </row>
    <row r="55" spans="1:72" x14ac:dyDescent="0.15">
      <c r="A55" t="s">
        <v>72</v>
      </c>
      <c r="B55" t="s">
        <v>1338</v>
      </c>
      <c r="C55" t="s">
        <v>74</v>
      </c>
      <c r="D55" t="s">
        <v>74</v>
      </c>
      <c r="E55" t="s">
        <v>74</v>
      </c>
      <c r="F55" t="s">
        <v>1339</v>
      </c>
      <c r="G55" t="s">
        <v>74</v>
      </c>
      <c r="H55" t="s">
        <v>74</v>
      </c>
      <c r="I55" t="s">
        <v>1340</v>
      </c>
      <c r="J55" t="s">
        <v>1063</v>
      </c>
      <c r="K55" t="s">
        <v>74</v>
      </c>
      <c r="L55" t="s">
        <v>74</v>
      </c>
      <c r="M55" t="s">
        <v>78</v>
      </c>
      <c r="N55" t="s">
        <v>79</v>
      </c>
      <c r="O55" t="s">
        <v>74</v>
      </c>
      <c r="P55" t="s">
        <v>74</v>
      </c>
      <c r="Q55" t="s">
        <v>74</v>
      </c>
      <c r="R55" t="s">
        <v>74</v>
      </c>
      <c r="S55" t="s">
        <v>74</v>
      </c>
      <c r="T55" t="s">
        <v>1341</v>
      </c>
      <c r="U55" t="s">
        <v>1342</v>
      </c>
      <c r="V55" t="s">
        <v>1343</v>
      </c>
      <c r="W55" t="s">
        <v>1344</v>
      </c>
      <c r="X55" t="s">
        <v>1345</v>
      </c>
      <c r="Y55" t="s">
        <v>1346</v>
      </c>
      <c r="Z55" t="s">
        <v>1347</v>
      </c>
      <c r="AA55" t="s">
        <v>1348</v>
      </c>
      <c r="AB55" t="s">
        <v>1349</v>
      </c>
      <c r="AC55" t="s">
        <v>1350</v>
      </c>
      <c r="AD55" t="s">
        <v>1351</v>
      </c>
      <c r="AE55" t="s">
        <v>1352</v>
      </c>
      <c r="AF55" t="s">
        <v>74</v>
      </c>
      <c r="AG55">
        <v>36</v>
      </c>
      <c r="AH55">
        <v>6</v>
      </c>
      <c r="AI55">
        <v>6</v>
      </c>
      <c r="AJ55">
        <v>1</v>
      </c>
      <c r="AK55">
        <v>9</v>
      </c>
      <c r="AL55" t="s">
        <v>1074</v>
      </c>
      <c r="AM55" t="s">
        <v>506</v>
      </c>
      <c r="AN55" t="s">
        <v>1075</v>
      </c>
      <c r="AO55" t="s">
        <v>1076</v>
      </c>
      <c r="AP55" t="s">
        <v>1077</v>
      </c>
      <c r="AQ55" t="s">
        <v>74</v>
      </c>
      <c r="AR55" t="s">
        <v>1078</v>
      </c>
      <c r="AS55" t="s">
        <v>1079</v>
      </c>
      <c r="AT55" t="s">
        <v>537</v>
      </c>
      <c r="AU55">
        <v>2022</v>
      </c>
      <c r="AV55">
        <v>45</v>
      </c>
      <c r="AW55">
        <v>4</v>
      </c>
      <c r="AX55" t="s">
        <v>74</v>
      </c>
      <c r="AY55" t="s">
        <v>74</v>
      </c>
      <c r="AZ55" t="s">
        <v>74</v>
      </c>
      <c r="BA55" t="s">
        <v>74</v>
      </c>
      <c r="BB55">
        <v>627</v>
      </c>
      <c r="BC55">
        <v>636</v>
      </c>
      <c r="BD55" t="s">
        <v>74</v>
      </c>
      <c r="BE55" t="s">
        <v>1353</v>
      </c>
      <c r="BF55" t="str">
        <f>HYPERLINK("http://dx.doi.org/10.1007/s00300-022-03014-7","http://dx.doi.org/10.1007/s00300-022-03014-7")</f>
        <v>http://dx.doi.org/10.1007/s00300-022-03014-7</v>
      </c>
      <c r="BG55" t="s">
        <v>74</v>
      </c>
      <c r="BH55" t="s">
        <v>101</v>
      </c>
      <c r="BI55">
        <v>10</v>
      </c>
      <c r="BJ55" t="s">
        <v>1081</v>
      </c>
      <c r="BK55" t="s">
        <v>103</v>
      </c>
      <c r="BL55" t="s">
        <v>1082</v>
      </c>
      <c r="BM55" t="s">
        <v>1083</v>
      </c>
      <c r="BN55" t="s">
        <v>74</v>
      </c>
      <c r="BO55" t="s">
        <v>74</v>
      </c>
      <c r="BP55" t="s">
        <v>74</v>
      </c>
      <c r="BQ55" t="s">
        <v>74</v>
      </c>
      <c r="BR55" t="s">
        <v>106</v>
      </c>
      <c r="BS55" t="s">
        <v>1354</v>
      </c>
      <c r="BT55" t="str">
        <f>HYPERLINK("https%3A%2F%2Fwww.webofscience.com%2Fwos%2Fwoscc%2Ffull-record%2FWOS:000753831500002","View Full Record in Web of Science")</f>
        <v>View Full Record in Web of Science</v>
      </c>
    </row>
    <row r="56" spans="1:72" x14ac:dyDescent="0.15">
      <c r="A56" t="s">
        <v>72</v>
      </c>
      <c r="B56" t="s">
        <v>1355</v>
      </c>
      <c r="C56" t="s">
        <v>74</v>
      </c>
      <c r="D56" t="s">
        <v>74</v>
      </c>
      <c r="E56" t="s">
        <v>74</v>
      </c>
      <c r="F56" t="s">
        <v>1356</v>
      </c>
      <c r="G56" t="s">
        <v>74</v>
      </c>
      <c r="H56" t="s">
        <v>74</v>
      </c>
      <c r="I56" t="s">
        <v>1357</v>
      </c>
      <c r="J56" t="s">
        <v>1063</v>
      </c>
      <c r="K56" t="s">
        <v>74</v>
      </c>
      <c r="L56" t="s">
        <v>74</v>
      </c>
      <c r="M56" t="s">
        <v>78</v>
      </c>
      <c r="N56" t="s">
        <v>79</v>
      </c>
      <c r="O56" t="s">
        <v>74</v>
      </c>
      <c r="P56" t="s">
        <v>74</v>
      </c>
      <c r="Q56" t="s">
        <v>74</v>
      </c>
      <c r="R56" t="s">
        <v>74</v>
      </c>
      <c r="S56" t="s">
        <v>74</v>
      </c>
      <c r="T56" t="s">
        <v>1358</v>
      </c>
      <c r="U56" t="s">
        <v>1359</v>
      </c>
      <c r="V56" t="s">
        <v>1360</v>
      </c>
      <c r="W56" t="s">
        <v>1361</v>
      </c>
      <c r="X56" t="s">
        <v>1362</v>
      </c>
      <c r="Y56" t="s">
        <v>1363</v>
      </c>
      <c r="Z56" t="s">
        <v>1364</v>
      </c>
      <c r="AA56" t="s">
        <v>1365</v>
      </c>
      <c r="AB56" t="s">
        <v>1366</v>
      </c>
      <c r="AC56" t="s">
        <v>1367</v>
      </c>
      <c r="AD56" t="s">
        <v>1368</v>
      </c>
      <c r="AE56" t="s">
        <v>1369</v>
      </c>
      <c r="AF56" t="s">
        <v>74</v>
      </c>
      <c r="AG56">
        <v>58</v>
      </c>
      <c r="AH56">
        <v>5</v>
      </c>
      <c r="AI56">
        <v>5</v>
      </c>
      <c r="AJ56">
        <v>0</v>
      </c>
      <c r="AK56">
        <v>6</v>
      </c>
      <c r="AL56" t="s">
        <v>1074</v>
      </c>
      <c r="AM56" t="s">
        <v>506</v>
      </c>
      <c r="AN56" t="s">
        <v>1075</v>
      </c>
      <c r="AO56" t="s">
        <v>1076</v>
      </c>
      <c r="AP56" t="s">
        <v>1077</v>
      </c>
      <c r="AQ56" t="s">
        <v>74</v>
      </c>
      <c r="AR56" t="s">
        <v>1078</v>
      </c>
      <c r="AS56" t="s">
        <v>1079</v>
      </c>
      <c r="AT56" t="s">
        <v>537</v>
      </c>
      <c r="AU56">
        <v>2022</v>
      </c>
      <c r="AV56">
        <v>45</v>
      </c>
      <c r="AW56">
        <v>4</v>
      </c>
      <c r="AX56" t="s">
        <v>74</v>
      </c>
      <c r="AY56" t="s">
        <v>74</v>
      </c>
      <c r="AZ56" t="s">
        <v>74</v>
      </c>
      <c r="BA56" t="s">
        <v>74</v>
      </c>
      <c r="BB56">
        <v>637</v>
      </c>
      <c r="BC56">
        <v>646</v>
      </c>
      <c r="BD56" t="s">
        <v>74</v>
      </c>
      <c r="BE56" t="s">
        <v>1370</v>
      </c>
      <c r="BF56" t="str">
        <f>HYPERLINK("http://dx.doi.org/10.1007/s00300-022-03021-8","http://dx.doi.org/10.1007/s00300-022-03021-8")</f>
        <v>http://dx.doi.org/10.1007/s00300-022-03021-8</v>
      </c>
      <c r="BG56" t="s">
        <v>74</v>
      </c>
      <c r="BH56" t="s">
        <v>101</v>
      </c>
      <c r="BI56">
        <v>10</v>
      </c>
      <c r="BJ56" t="s">
        <v>1081</v>
      </c>
      <c r="BK56" t="s">
        <v>103</v>
      </c>
      <c r="BL56" t="s">
        <v>1082</v>
      </c>
      <c r="BM56" t="s">
        <v>1083</v>
      </c>
      <c r="BN56" t="s">
        <v>74</v>
      </c>
      <c r="BO56" t="s">
        <v>74</v>
      </c>
      <c r="BP56" t="s">
        <v>74</v>
      </c>
      <c r="BQ56" t="s">
        <v>74</v>
      </c>
      <c r="BR56" t="s">
        <v>106</v>
      </c>
      <c r="BS56" t="s">
        <v>1371</v>
      </c>
      <c r="BT56" t="str">
        <f>HYPERLINK("https%3A%2F%2Fwww.webofscience.com%2Fwos%2Fwoscc%2Ffull-record%2FWOS:000753831500001","View Full Record in Web of Science")</f>
        <v>View Full Record in Web of Science</v>
      </c>
    </row>
    <row r="57" spans="1:72" x14ac:dyDescent="0.15">
      <c r="A57" t="s">
        <v>72</v>
      </c>
      <c r="B57" t="s">
        <v>1372</v>
      </c>
      <c r="C57" t="s">
        <v>74</v>
      </c>
      <c r="D57" t="s">
        <v>74</v>
      </c>
      <c r="E57" t="s">
        <v>74</v>
      </c>
      <c r="F57" t="s">
        <v>1373</v>
      </c>
      <c r="G57" t="s">
        <v>74</v>
      </c>
      <c r="H57" t="s">
        <v>74</v>
      </c>
      <c r="I57" t="s">
        <v>1374</v>
      </c>
      <c r="J57" t="s">
        <v>1375</v>
      </c>
      <c r="K57" t="s">
        <v>74</v>
      </c>
      <c r="L57" t="s">
        <v>74</v>
      </c>
      <c r="M57" t="s">
        <v>78</v>
      </c>
      <c r="N57" t="s">
        <v>79</v>
      </c>
      <c r="O57" t="s">
        <v>74</v>
      </c>
      <c r="P57" t="s">
        <v>74</v>
      </c>
      <c r="Q57" t="s">
        <v>74</v>
      </c>
      <c r="R57" t="s">
        <v>74</v>
      </c>
      <c r="S57" t="s">
        <v>74</v>
      </c>
      <c r="T57" t="s">
        <v>1376</v>
      </c>
      <c r="U57" t="s">
        <v>1377</v>
      </c>
      <c r="V57" t="s">
        <v>1378</v>
      </c>
      <c r="W57" t="s">
        <v>1379</v>
      </c>
      <c r="X57" t="s">
        <v>1380</v>
      </c>
      <c r="Y57" t="s">
        <v>1381</v>
      </c>
      <c r="Z57" t="s">
        <v>1382</v>
      </c>
      <c r="AA57" t="s">
        <v>1383</v>
      </c>
      <c r="AB57" t="s">
        <v>1384</v>
      </c>
      <c r="AC57" t="s">
        <v>1385</v>
      </c>
      <c r="AD57" t="s">
        <v>1386</v>
      </c>
      <c r="AE57" t="s">
        <v>1387</v>
      </c>
      <c r="AF57" t="s">
        <v>74</v>
      </c>
      <c r="AG57">
        <v>80</v>
      </c>
      <c r="AH57">
        <v>2</v>
      </c>
      <c r="AI57">
        <v>2</v>
      </c>
      <c r="AJ57">
        <v>0</v>
      </c>
      <c r="AK57">
        <v>5</v>
      </c>
      <c r="AL57" t="s">
        <v>363</v>
      </c>
      <c r="AM57" t="s">
        <v>364</v>
      </c>
      <c r="AN57" t="s">
        <v>365</v>
      </c>
      <c r="AO57" t="s">
        <v>74</v>
      </c>
      <c r="AP57" t="s">
        <v>1388</v>
      </c>
      <c r="AQ57" t="s">
        <v>74</v>
      </c>
      <c r="AR57" t="s">
        <v>1389</v>
      </c>
      <c r="AS57" t="s">
        <v>1390</v>
      </c>
      <c r="AT57" t="s">
        <v>1309</v>
      </c>
      <c r="AU57">
        <v>2022</v>
      </c>
      <c r="AV57">
        <v>10</v>
      </c>
      <c r="AW57" t="s">
        <v>74</v>
      </c>
      <c r="AX57" t="s">
        <v>74</v>
      </c>
      <c r="AY57" t="s">
        <v>74</v>
      </c>
      <c r="AZ57" t="s">
        <v>74</v>
      </c>
      <c r="BA57" t="s">
        <v>74</v>
      </c>
      <c r="BB57" t="s">
        <v>74</v>
      </c>
      <c r="BC57" t="s">
        <v>74</v>
      </c>
      <c r="BD57">
        <v>745274</v>
      </c>
      <c r="BE57" t="s">
        <v>1391</v>
      </c>
      <c r="BF57" t="str">
        <f>HYPERLINK("http://dx.doi.org/10.3389/feart.2022.745274","http://dx.doi.org/10.3389/feart.2022.745274")</f>
        <v>http://dx.doi.org/10.3389/feart.2022.745274</v>
      </c>
      <c r="BG57" t="s">
        <v>74</v>
      </c>
      <c r="BH57" t="s">
        <v>74</v>
      </c>
      <c r="BI57">
        <v>16</v>
      </c>
      <c r="BJ57" t="s">
        <v>151</v>
      </c>
      <c r="BK57" t="s">
        <v>103</v>
      </c>
      <c r="BL57" t="s">
        <v>152</v>
      </c>
      <c r="BM57" t="s">
        <v>1392</v>
      </c>
      <c r="BN57" t="s">
        <v>74</v>
      </c>
      <c r="BO57" t="s">
        <v>445</v>
      </c>
      <c r="BP57" t="s">
        <v>74</v>
      </c>
      <c r="BQ57" t="s">
        <v>74</v>
      </c>
      <c r="BR57" t="s">
        <v>106</v>
      </c>
      <c r="BS57" t="s">
        <v>1393</v>
      </c>
      <c r="BT57" t="str">
        <f>HYPERLINK("https%3A%2F%2Fwww.webofscience.com%2Fwos%2Fwoscc%2Ffull-record%2FWOS:000761081100001","View Full Record in Web of Science")</f>
        <v>View Full Record in Web of Science</v>
      </c>
    </row>
    <row r="58" spans="1:72" x14ac:dyDescent="0.15">
      <c r="A58" t="s">
        <v>72</v>
      </c>
      <c r="B58" t="s">
        <v>1394</v>
      </c>
      <c r="C58" t="s">
        <v>74</v>
      </c>
      <c r="D58" t="s">
        <v>74</v>
      </c>
      <c r="E58" t="s">
        <v>74</v>
      </c>
      <c r="F58" t="s">
        <v>1395</v>
      </c>
      <c r="G58" t="s">
        <v>74</v>
      </c>
      <c r="H58" t="s">
        <v>74</v>
      </c>
      <c r="I58" t="s">
        <v>1396</v>
      </c>
      <c r="J58" t="s">
        <v>1397</v>
      </c>
      <c r="K58" t="s">
        <v>74</v>
      </c>
      <c r="L58" t="s">
        <v>74</v>
      </c>
      <c r="M58" t="s">
        <v>78</v>
      </c>
      <c r="N58" t="s">
        <v>79</v>
      </c>
      <c r="O58" t="s">
        <v>74</v>
      </c>
      <c r="P58" t="s">
        <v>74</v>
      </c>
      <c r="Q58" t="s">
        <v>74</v>
      </c>
      <c r="R58" t="s">
        <v>74</v>
      </c>
      <c r="S58" t="s">
        <v>74</v>
      </c>
      <c r="T58" t="s">
        <v>74</v>
      </c>
      <c r="U58" t="s">
        <v>1398</v>
      </c>
      <c r="V58" t="s">
        <v>1399</v>
      </c>
      <c r="W58" t="s">
        <v>1400</v>
      </c>
      <c r="X58" t="s">
        <v>1401</v>
      </c>
      <c r="Y58" t="s">
        <v>1402</v>
      </c>
      <c r="Z58" t="s">
        <v>1403</v>
      </c>
      <c r="AA58" t="s">
        <v>1404</v>
      </c>
      <c r="AB58" t="s">
        <v>1405</v>
      </c>
      <c r="AC58" t="s">
        <v>1406</v>
      </c>
      <c r="AD58" t="s">
        <v>1407</v>
      </c>
      <c r="AE58" t="s">
        <v>1408</v>
      </c>
      <c r="AF58" t="s">
        <v>74</v>
      </c>
      <c r="AG58">
        <v>53</v>
      </c>
      <c r="AH58">
        <v>13</v>
      </c>
      <c r="AI58">
        <v>16</v>
      </c>
      <c r="AJ58">
        <v>0</v>
      </c>
      <c r="AK58">
        <v>16</v>
      </c>
      <c r="AL58" t="s">
        <v>120</v>
      </c>
      <c r="AM58" t="s">
        <v>121</v>
      </c>
      <c r="AN58" t="s">
        <v>122</v>
      </c>
      <c r="AO58" t="s">
        <v>1409</v>
      </c>
      <c r="AP58" t="s">
        <v>1410</v>
      </c>
      <c r="AQ58" t="s">
        <v>74</v>
      </c>
      <c r="AR58" t="s">
        <v>1397</v>
      </c>
      <c r="AS58" t="s">
        <v>1411</v>
      </c>
      <c r="AT58" t="s">
        <v>1309</v>
      </c>
      <c r="AU58">
        <v>2022</v>
      </c>
      <c r="AV58">
        <v>16</v>
      </c>
      <c r="AW58">
        <v>2</v>
      </c>
      <c r="AX58" t="s">
        <v>74</v>
      </c>
      <c r="AY58" t="s">
        <v>74</v>
      </c>
      <c r="AZ58" t="s">
        <v>74</v>
      </c>
      <c r="BA58" t="s">
        <v>74</v>
      </c>
      <c r="BB58">
        <v>489</v>
      </c>
      <c r="BC58">
        <v>504</v>
      </c>
      <c r="BD58" t="s">
        <v>74</v>
      </c>
      <c r="BE58" t="s">
        <v>1412</v>
      </c>
      <c r="BF58" t="str">
        <f>HYPERLINK("http://dx.doi.org/10.5194/tc-16-489-2022","http://dx.doi.org/10.5194/tc-16-489-2022")</f>
        <v>http://dx.doi.org/10.5194/tc-16-489-2022</v>
      </c>
      <c r="BG58" t="s">
        <v>74</v>
      </c>
      <c r="BH58" t="s">
        <v>74</v>
      </c>
      <c r="BI58">
        <v>16</v>
      </c>
      <c r="BJ58" t="s">
        <v>208</v>
      </c>
      <c r="BK58" t="s">
        <v>103</v>
      </c>
      <c r="BL58" t="s">
        <v>209</v>
      </c>
      <c r="BM58" t="s">
        <v>1413</v>
      </c>
      <c r="BN58" t="s">
        <v>74</v>
      </c>
      <c r="BO58" t="s">
        <v>1414</v>
      </c>
      <c r="BP58" t="s">
        <v>74</v>
      </c>
      <c r="BQ58" t="s">
        <v>74</v>
      </c>
      <c r="BR58" t="s">
        <v>106</v>
      </c>
      <c r="BS58" t="s">
        <v>1415</v>
      </c>
      <c r="BT58" t="str">
        <f>HYPERLINK("https%3A%2F%2Fwww.webofscience.com%2Fwos%2Fwoscc%2Ffull-record%2FWOS:000758158000001","View Full Record in Web of Science")</f>
        <v>View Full Record in Web of Science</v>
      </c>
    </row>
    <row r="59" spans="1:72" x14ac:dyDescent="0.15">
      <c r="A59" t="s">
        <v>72</v>
      </c>
      <c r="B59" t="s">
        <v>1416</v>
      </c>
      <c r="C59" t="s">
        <v>74</v>
      </c>
      <c r="D59" t="s">
        <v>74</v>
      </c>
      <c r="E59" t="s">
        <v>74</v>
      </c>
      <c r="F59" t="s">
        <v>1417</v>
      </c>
      <c r="G59" t="s">
        <v>74</v>
      </c>
      <c r="H59" t="s">
        <v>74</v>
      </c>
      <c r="I59" t="s">
        <v>1418</v>
      </c>
      <c r="J59" t="s">
        <v>1375</v>
      </c>
      <c r="K59" t="s">
        <v>74</v>
      </c>
      <c r="L59" t="s">
        <v>74</v>
      </c>
      <c r="M59" t="s">
        <v>78</v>
      </c>
      <c r="N59" t="s">
        <v>79</v>
      </c>
      <c r="O59" t="s">
        <v>74</v>
      </c>
      <c r="P59" t="s">
        <v>74</v>
      </c>
      <c r="Q59" t="s">
        <v>74</v>
      </c>
      <c r="R59" t="s">
        <v>74</v>
      </c>
      <c r="S59" t="s">
        <v>74</v>
      </c>
      <c r="T59" t="s">
        <v>1419</v>
      </c>
      <c r="U59" t="s">
        <v>1420</v>
      </c>
      <c r="V59" t="s">
        <v>1421</v>
      </c>
      <c r="W59" t="s">
        <v>1422</v>
      </c>
      <c r="X59" t="s">
        <v>1423</v>
      </c>
      <c r="Y59" t="s">
        <v>1424</v>
      </c>
      <c r="Z59" t="s">
        <v>1425</v>
      </c>
      <c r="AA59" t="s">
        <v>1426</v>
      </c>
      <c r="AB59" t="s">
        <v>74</v>
      </c>
      <c r="AC59" t="s">
        <v>74</v>
      </c>
      <c r="AD59" t="s">
        <v>74</v>
      </c>
      <c r="AE59" t="s">
        <v>74</v>
      </c>
      <c r="AF59" t="s">
        <v>74</v>
      </c>
      <c r="AG59">
        <v>97</v>
      </c>
      <c r="AH59">
        <v>1</v>
      </c>
      <c r="AI59">
        <v>1</v>
      </c>
      <c r="AJ59">
        <v>0</v>
      </c>
      <c r="AK59">
        <v>2</v>
      </c>
      <c r="AL59" t="s">
        <v>363</v>
      </c>
      <c r="AM59" t="s">
        <v>364</v>
      </c>
      <c r="AN59" t="s">
        <v>365</v>
      </c>
      <c r="AO59" t="s">
        <v>74</v>
      </c>
      <c r="AP59" t="s">
        <v>1388</v>
      </c>
      <c r="AQ59" t="s">
        <v>74</v>
      </c>
      <c r="AR59" t="s">
        <v>1389</v>
      </c>
      <c r="AS59" t="s">
        <v>1390</v>
      </c>
      <c r="AT59" t="s">
        <v>1309</v>
      </c>
      <c r="AU59">
        <v>2022</v>
      </c>
      <c r="AV59">
        <v>9</v>
      </c>
      <c r="AW59" t="s">
        <v>74</v>
      </c>
      <c r="AX59" t="s">
        <v>74</v>
      </c>
      <c r="AY59" t="s">
        <v>74</v>
      </c>
      <c r="AZ59" t="s">
        <v>74</v>
      </c>
      <c r="BA59" t="s">
        <v>74</v>
      </c>
      <c r="BB59" t="s">
        <v>74</v>
      </c>
      <c r="BC59" t="s">
        <v>74</v>
      </c>
      <c r="BD59">
        <v>744775</v>
      </c>
      <c r="BE59" t="s">
        <v>1427</v>
      </c>
      <c r="BF59" t="str">
        <f>HYPERLINK("http://dx.doi.org/10.3389/feart.2021.744775","http://dx.doi.org/10.3389/feart.2021.744775")</f>
        <v>http://dx.doi.org/10.3389/feart.2021.744775</v>
      </c>
      <c r="BG59" t="s">
        <v>74</v>
      </c>
      <c r="BH59" t="s">
        <v>74</v>
      </c>
      <c r="BI59">
        <v>25</v>
      </c>
      <c r="BJ59" t="s">
        <v>151</v>
      </c>
      <c r="BK59" t="s">
        <v>103</v>
      </c>
      <c r="BL59" t="s">
        <v>152</v>
      </c>
      <c r="BM59" t="s">
        <v>1428</v>
      </c>
      <c r="BN59" t="s">
        <v>74</v>
      </c>
      <c r="BO59" t="s">
        <v>445</v>
      </c>
      <c r="BP59" t="s">
        <v>74</v>
      </c>
      <c r="BQ59" t="s">
        <v>74</v>
      </c>
      <c r="BR59" t="s">
        <v>106</v>
      </c>
      <c r="BS59" t="s">
        <v>1429</v>
      </c>
      <c r="BT59" t="str">
        <f>HYPERLINK("https%3A%2F%2Fwww.webofscience.com%2Fwos%2Fwoscc%2Ffull-record%2FWOS:000760993400001","View Full Record in Web of Science")</f>
        <v>View Full Record in Web of Science</v>
      </c>
    </row>
    <row r="60" spans="1:72" x14ac:dyDescent="0.15">
      <c r="A60" t="s">
        <v>72</v>
      </c>
      <c r="B60" t="s">
        <v>1430</v>
      </c>
      <c r="C60" t="s">
        <v>74</v>
      </c>
      <c r="D60" t="s">
        <v>74</v>
      </c>
      <c r="E60" t="s">
        <v>74</v>
      </c>
      <c r="F60" t="s">
        <v>1431</v>
      </c>
      <c r="G60" t="s">
        <v>74</v>
      </c>
      <c r="H60" t="s">
        <v>74</v>
      </c>
      <c r="I60" t="s">
        <v>1432</v>
      </c>
      <c r="J60" t="s">
        <v>1433</v>
      </c>
      <c r="K60" t="s">
        <v>74</v>
      </c>
      <c r="L60" t="s">
        <v>74</v>
      </c>
      <c r="M60" t="s">
        <v>78</v>
      </c>
      <c r="N60" t="s">
        <v>1434</v>
      </c>
      <c r="O60" t="s">
        <v>74</v>
      </c>
      <c r="P60" t="s">
        <v>74</v>
      </c>
      <c r="Q60" t="s">
        <v>74</v>
      </c>
      <c r="R60" t="s">
        <v>74</v>
      </c>
      <c r="S60" t="s">
        <v>74</v>
      </c>
      <c r="T60" t="s">
        <v>74</v>
      </c>
      <c r="U60" t="s">
        <v>1435</v>
      </c>
      <c r="V60" t="s">
        <v>1436</v>
      </c>
      <c r="W60" t="s">
        <v>1437</v>
      </c>
      <c r="X60" t="s">
        <v>1438</v>
      </c>
      <c r="Y60" t="s">
        <v>1439</v>
      </c>
      <c r="Z60" t="s">
        <v>1440</v>
      </c>
      <c r="AA60" t="s">
        <v>1441</v>
      </c>
      <c r="AB60" t="s">
        <v>1442</v>
      </c>
      <c r="AC60" t="s">
        <v>1443</v>
      </c>
      <c r="AD60" t="s">
        <v>1444</v>
      </c>
      <c r="AE60" t="s">
        <v>1445</v>
      </c>
      <c r="AF60" t="s">
        <v>74</v>
      </c>
      <c r="AG60">
        <v>34</v>
      </c>
      <c r="AH60">
        <v>2</v>
      </c>
      <c r="AI60">
        <v>2</v>
      </c>
      <c r="AJ60">
        <v>12</v>
      </c>
      <c r="AK60">
        <v>33</v>
      </c>
      <c r="AL60" t="s">
        <v>337</v>
      </c>
      <c r="AM60" t="s">
        <v>338</v>
      </c>
      <c r="AN60" t="s">
        <v>339</v>
      </c>
      <c r="AO60" t="s">
        <v>74</v>
      </c>
      <c r="AP60" t="s">
        <v>1446</v>
      </c>
      <c r="AQ60" t="s">
        <v>74</v>
      </c>
      <c r="AR60" t="s">
        <v>1447</v>
      </c>
      <c r="AS60" t="s">
        <v>1448</v>
      </c>
      <c r="AT60" t="s">
        <v>1309</v>
      </c>
      <c r="AU60">
        <v>2022</v>
      </c>
      <c r="AV60">
        <v>9</v>
      </c>
      <c r="AW60">
        <v>1</v>
      </c>
      <c r="AX60" t="s">
        <v>74</v>
      </c>
      <c r="AY60" t="s">
        <v>74</v>
      </c>
      <c r="AZ60" t="s">
        <v>74</v>
      </c>
      <c r="BA60" t="s">
        <v>74</v>
      </c>
      <c r="BB60" t="s">
        <v>74</v>
      </c>
      <c r="BC60" t="s">
        <v>74</v>
      </c>
      <c r="BD60">
        <v>45</v>
      </c>
      <c r="BE60" t="s">
        <v>1449</v>
      </c>
      <c r="BF60" t="str">
        <f>HYPERLINK("http://dx.doi.org/10.1038/s41597-022-01146-3","http://dx.doi.org/10.1038/s41597-022-01146-3")</f>
        <v>http://dx.doi.org/10.1038/s41597-022-01146-3</v>
      </c>
      <c r="BG60" t="s">
        <v>74</v>
      </c>
      <c r="BH60" t="s">
        <v>74</v>
      </c>
      <c r="BI60">
        <v>15</v>
      </c>
      <c r="BJ60" t="s">
        <v>289</v>
      </c>
      <c r="BK60" t="s">
        <v>103</v>
      </c>
      <c r="BL60" t="s">
        <v>290</v>
      </c>
      <c r="BM60" t="s">
        <v>1450</v>
      </c>
      <c r="BN60">
        <v>35145119</v>
      </c>
      <c r="BO60" t="s">
        <v>371</v>
      </c>
      <c r="BP60" t="s">
        <v>74</v>
      </c>
      <c r="BQ60" t="s">
        <v>74</v>
      </c>
      <c r="BR60" t="s">
        <v>106</v>
      </c>
      <c r="BS60" t="s">
        <v>1451</v>
      </c>
      <c r="BT60" t="str">
        <f>HYPERLINK("https%3A%2F%2Fwww.webofscience.com%2Fwos%2Fwoscc%2Ffull-record%2FWOS:000753878600001","View Full Record in Web of Science")</f>
        <v>View Full Record in Web of Science</v>
      </c>
    </row>
    <row r="61" spans="1:72" x14ac:dyDescent="0.15">
      <c r="A61" t="s">
        <v>72</v>
      </c>
      <c r="B61" t="s">
        <v>1452</v>
      </c>
      <c r="C61" t="s">
        <v>74</v>
      </c>
      <c r="D61" t="s">
        <v>74</v>
      </c>
      <c r="E61" t="s">
        <v>74</v>
      </c>
      <c r="F61" t="s">
        <v>1453</v>
      </c>
      <c r="G61" t="s">
        <v>74</v>
      </c>
      <c r="H61" t="s">
        <v>74</v>
      </c>
      <c r="I61" t="s">
        <v>1454</v>
      </c>
      <c r="J61" t="s">
        <v>1455</v>
      </c>
      <c r="K61" t="s">
        <v>74</v>
      </c>
      <c r="L61" t="s">
        <v>74</v>
      </c>
      <c r="M61" t="s">
        <v>78</v>
      </c>
      <c r="N61" t="s">
        <v>79</v>
      </c>
      <c r="O61" t="s">
        <v>74</v>
      </c>
      <c r="P61" t="s">
        <v>74</v>
      </c>
      <c r="Q61" t="s">
        <v>74</v>
      </c>
      <c r="R61" t="s">
        <v>74</v>
      </c>
      <c r="S61" t="s">
        <v>74</v>
      </c>
      <c r="T61" t="s">
        <v>1456</v>
      </c>
      <c r="U61" t="s">
        <v>1457</v>
      </c>
      <c r="V61" t="s">
        <v>1458</v>
      </c>
      <c r="W61" t="s">
        <v>1459</v>
      </c>
      <c r="X61" t="s">
        <v>1460</v>
      </c>
      <c r="Y61" t="s">
        <v>1461</v>
      </c>
      <c r="Z61" t="s">
        <v>1462</v>
      </c>
      <c r="AA61" t="s">
        <v>1463</v>
      </c>
      <c r="AB61" t="s">
        <v>1464</v>
      </c>
      <c r="AC61" t="s">
        <v>1465</v>
      </c>
      <c r="AD61" t="s">
        <v>1466</v>
      </c>
      <c r="AE61" t="s">
        <v>1467</v>
      </c>
      <c r="AF61" t="s">
        <v>74</v>
      </c>
      <c r="AG61">
        <v>77</v>
      </c>
      <c r="AH61">
        <v>6</v>
      </c>
      <c r="AI61">
        <v>6</v>
      </c>
      <c r="AJ61">
        <v>2</v>
      </c>
      <c r="AK61">
        <v>8</v>
      </c>
      <c r="AL61" t="s">
        <v>171</v>
      </c>
      <c r="AM61" t="s">
        <v>172</v>
      </c>
      <c r="AN61" t="s">
        <v>173</v>
      </c>
      <c r="AO61" t="s">
        <v>1468</v>
      </c>
      <c r="AP61" t="s">
        <v>1469</v>
      </c>
      <c r="AQ61" t="s">
        <v>74</v>
      </c>
      <c r="AR61" t="s">
        <v>1470</v>
      </c>
      <c r="AS61" t="s">
        <v>1471</v>
      </c>
      <c r="AT61" t="s">
        <v>537</v>
      </c>
      <c r="AU61">
        <v>2022</v>
      </c>
      <c r="AV61">
        <v>234</v>
      </c>
      <c r="AW61">
        <v>2</v>
      </c>
      <c r="AX61" t="s">
        <v>74</v>
      </c>
      <c r="AY61" t="s">
        <v>74</v>
      </c>
      <c r="AZ61" t="s">
        <v>74</v>
      </c>
      <c r="BA61" t="s">
        <v>74</v>
      </c>
      <c r="BB61">
        <v>704</v>
      </c>
      <c r="BC61">
        <v>718</v>
      </c>
      <c r="BD61" t="s">
        <v>74</v>
      </c>
      <c r="BE61" t="s">
        <v>1472</v>
      </c>
      <c r="BF61" t="str">
        <f>HYPERLINK("http://dx.doi.org/10.1111/nph.17976","http://dx.doi.org/10.1111/nph.17976")</f>
        <v>http://dx.doi.org/10.1111/nph.17976</v>
      </c>
      <c r="BG61" t="s">
        <v>74</v>
      </c>
      <c r="BH61" t="s">
        <v>101</v>
      </c>
      <c r="BI61">
        <v>15</v>
      </c>
      <c r="BJ61" t="s">
        <v>1473</v>
      </c>
      <c r="BK61" t="s">
        <v>103</v>
      </c>
      <c r="BL61" t="s">
        <v>1473</v>
      </c>
      <c r="BM61" t="s">
        <v>1474</v>
      </c>
      <c r="BN61">
        <v>35043416</v>
      </c>
      <c r="BO61" t="s">
        <v>796</v>
      </c>
      <c r="BP61" t="s">
        <v>74</v>
      </c>
      <c r="BQ61" t="s">
        <v>74</v>
      </c>
      <c r="BR61" t="s">
        <v>106</v>
      </c>
      <c r="BS61" t="s">
        <v>1475</v>
      </c>
      <c r="BT61" t="str">
        <f>HYPERLINK("https%3A%2F%2Fwww.webofscience.com%2Fwos%2Fwoscc%2Ffull-record%2FWOS:000753539100001","View Full Record in Web of Science")</f>
        <v>View Full Record in Web of Science</v>
      </c>
    </row>
    <row r="62" spans="1:72" x14ac:dyDescent="0.15">
      <c r="A62" t="s">
        <v>72</v>
      </c>
      <c r="B62" t="s">
        <v>1476</v>
      </c>
      <c r="C62" t="s">
        <v>74</v>
      </c>
      <c r="D62" t="s">
        <v>74</v>
      </c>
      <c r="E62" t="s">
        <v>74</v>
      </c>
      <c r="F62" t="s">
        <v>1477</v>
      </c>
      <c r="G62" t="s">
        <v>74</v>
      </c>
      <c r="H62" t="s">
        <v>74</v>
      </c>
      <c r="I62" t="s">
        <v>1478</v>
      </c>
      <c r="J62" t="s">
        <v>269</v>
      </c>
      <c r="K62" t="s">
        <v>74</v>
      </c>
      <c r="L62" t="s">
        <v>74</v>
      </c>
      <c r="M62" t="s">
        <v>78</v>
      </c>
      <c r="N62" t="s">
        <v>79</v>
      </c>
      <c r="O62" t="s">
        <v>74</v>
      </c>
      <c r="P62" t="s">
        <v>74</v>
      </c>
      <c r="Q62" t="s">
        <v>74</v>
      </c>
      <c r="R62" t="s">
        <v>74</v>
      </c>
      <c r="S62" t="s">
        <v>74</v>
      </c>
      <c r="T62" t="s">
        <v>74</v>
      </c>
      <c r="U62" t="s">
        <v>1479</v>
      </c>
      <c r="V62" t="s">
        <v>1480</v>
      </c>
      <c r="W62" t="s">
        <v>1481</v>
      </c>
      <c r="X62" t="s">
        <v>1482</v>
      </c>
      <c r="Y62" t="s">
        <v>1483</v>
      </c>
      <c r="Z62" t="s">
        <v>1484</v>
      </c>
      <c r="AA62" t="s">
        <v>1485</v>
      </c>
      <c r="AB62" t="s">
        <v>1486</v>
      </c>
      <c r="AC62" t="s">
        <v>1487</v>
      </c>
      <c r="AD62" t="s">
        <v>1488</v>
      </c>
      <c r="AE62" t="s">
        <v>1489</v>
      </c>
      <c r="AF62" t="s">
        <v>74</v>
      </c>
      <c r="AG62">
        <v>71</v>
      </c>
      <c r="AH62">
        <v>4</v>
      </c>
      <c r="AI62">
        <v>4</v>
      </c>
      <c r="AJ62">
        <v>5</v>
      </c>
      <c r="AK62">
        <v>6</v>
      </c>
      <c r="AL62" t="s">
        <v>281</v>
      </c>
      <c r="AM62" t="s">
        <v>282</v>
      </c>
      <c r="AN62" t="s">
        <v>283</v>
      </c>
      <c r="AO62" t="s">
        <v>284</v>
      </c>
      <c r="AP62" t="s">
        <v>74</v>
      </c>
      <c r="AQ62" t="s">
        <v>74</v>
      </c>
      <c r="AR62" t="s">
        <v>269</v>
      </c>
      <c r="AS62" t="s">
        <v>285</v>
      </c>
      <c r="AT62" t="s">
        <v>1490</v>
      </c>
      <c r="AU62">
        <v>2022</v>
      </c>
      <c r="AV62">
        <v>17</v>
      </c>
      <c r="AW62">
        <v>2</v>
      </c>
      <c r="AX62" t="s">
        <v>74</v>
      </c>
      <c r="AY62" t="s">
        <v>74</v>
      </c>
      <c r="AZ62" t="s">
        <v>74</v>
      </c>
      <c r="BA62" t="s">
        <v>74</v>
      </c>
      <c r="BB62" t="s">
        <v>74</v>
      </c>
      <c r="BC62" t="s">
        <v>74</v>
      </c>
      <c r="BD62" t="s">
        <v>1491</v>
      </c>
      <c r="BE62" t="s">
        <v>1492</v>
      </c>
      <c r="BF62" t="str">
        <f>HYPERLINK("http://dx.doi.org/10.1371/journal.pone.0262901","http://dx.doi.org/10.1371/journal.pone.0262901")</f>
        <v>http://dx.doi.org/10.1371/journal.pone.0262901</v>
      </c>
      <c r="BG62" t="s">
        <v>74</v>
      </c>
      <c r="BH62" t="s">
        <v>74</v>
      </c>
      <c r="BI62">
        <v>22</v>
      </c>
      <c r="BJ62" t="s">
        <v>289</v>
      </c>
      <c r="BK62" t="s">
        <v>103</v>
      </c>
      <c r="BL62" t="s">
        <v>290</v>
      </c>
      <c r="BM62" t="s">
        <v>1493</v>
      </c>
      <c r="BN62">
        <v>35139102</v>
      </c>
      <c r="BO62" t="s">
        <v>1494</v>
      </c>
      <c r="BP62" t="s">
        <v>74</v>
      </c>
      <c r="BQ62" t="s">
        <v>74</v>
      </c>
      <c r="BR62" t="s">
        <v>106</v>
      </c>
      <c r="BS62" t="s">
        <v>1495</v>
      </c>
      <c r="BT62" t="str">
        <f>HYPERLINK("https%3A%2F%2Fwww.webofscience.com%2Fwos%2Fwoscc%2Ffull-record%2FWOS:000821499100015","View Full Record in Web of Science")</f>
        <v>View Full Record in Web of Science</v>
      </c>
    </row>
    <row r="63" spans="1:72" x14ac:dyDescent="0.15">
      <c r="A63" t="s">
        <v>72</v>
      </c>
      <c r="B63" t="s">
        <v>1496</v>
      </c>
      <c r="C63" t="s">
        <v>74</v>
      </c>
      <c r="D63" t="s">
        <v>74</v>
      </c>
      <c r="E63" t="s">
        <v>74</v>
      </c>
      <c r="F63" t="s">
        <v>1497</v>
      </c>
      <c r="G63" t="s">
        <v>74</v>
      </c>
      <c r="H63" t="s">
        <v>74</v>
      </c>
      <c r="I63" t="s">
        <v>1498</v>
      </c>
      <c r="J63" t="s">
        <v>1499</v>
      </c>
      <c r="K63" t="s">
        <v>74</v>
      </c>
      <c r="L63" t="s">
        <v>74</v>
      </c>
      <c r="M63" t="s">
        <v>78</v>
      </c>
      <c r="N63" t="s">
        <v>79</v>
      </c>
      <c r="O63" t="s">
        <v>74</v>
      </c>
      <c r="P63" t="s">
        <v>74</v>
      </c>
      <c r="Q63" t="s">
        <v>74</v>
      </c>
      <c r="R63" t="s">
        <v>74</v>
      </c>
      <c r="S63" t="s">
        <v>74</v>
      </c>
      <c r="T63" t="s">
        <v>1500</v>
      </c>
      <c r="U63" t="s">
        <v>1501</v>
      </c>
      <c r="V63" t="s">
        <v>1502</v>
      </c>
      <c r="W63" t="s">
        <v>1503</v>
      </c>
      <c r="X63" t="s">
        <v>1504</v>
      </c>
      <c r="Y63" t="s">
        <v>1505</v>
      </c>
      <c r="Z63" t="s">
        <v>1506</v>
      </c>
      <c r="AA63" t="s">
        <v>74</v>
      </c>
      <c r="AB63" t="s">
        <v>1507</v>
      </c>
      <c r="AC63" t="s">
        <v>1508</v>
      </c>
      <c r="AD63" t="s">
        <v>1509</v>
      </c>
      <c r="AE63" t="s">
        <v>1510</v>
      </c>
      <c r="AF63" t="s">
        <v>74</v>
      </c>
      <c r="AG63">
        <v>95</v>
      </c>
      <c r="AH63">
        <v>2</v>
      </c>
      <c r="AI63">
        <v>2</v>
      </c>
      <c r="AJ63">
        <v>0</v>
      </c>
      <c r="AK63">
        <v>10</v>
      </c>
      <c r="AL63" t="s">
        <v>310</v>
      </c>
      <c r="AM63" t="s">
        <v>311</v>
      </c>
      <c r="AN63" t="s">
        <v>312</v>
      </c>
      <c r="AO63" t="s">
        <v>1511</v>
      </c>
      <c r="AP63" t="s">
        <v>1512</v>
      </c>
      <c r="AQ63" t="s">
        <v>74</v>
      </c>
      <c r="AR63" t="s">
        <v>1499</v>
      </c>
      <c r="AS63" t="s">
        <v>1513</v>
      </c>
      <c r="AT63" t="s">
        <v>178</v>
      </c>
      <c r="AU63">
        <v>2022</v>
      </c>
      <c r="AV63">
        <v>212</v>
      </c>
      <c r="AW63" t="s">
        <v>74</v>
      </c>
      <c r="AX63" t="s">
        <v>74</v>
      </c>
      <c r="AY63" t="s">
        <v>74</v>
      </c>
      <c r="AZ63" t="s">
        <v>74</v>
      </c>
      <c r="BA63" t="s">
        <v>74</v>
      </c>
      <c r="BB63" t="s">
        <v>74</v>
      </c>
      <c r="BC63" t="s">
        <v>74</v>
      </c>
      <c r="BD63">
        <v>106103</v>
      </c>
      <c r="BE63" t="s">
        <v>1514</v>
      </c>
      <c r="BF63" t="str">
        <f>HYPERLINK("http://dx.doi.org/10.1016/j.catena.2022.106103","http://dx.doi.org/10.1016/j.catena.2022.106103")</f>
        <v>http://dx.doi.org/10.1016/j.catena.2022.106103</v>
      </c>
      <c r="BG63" t="s">
        <v>74</v>
      </c>
      <c r="BH63" t="s">
        <v>101</v>
      </c>
      <c r="BI63">
        <v>17</v>
      </c>
      <c r="BJ63" t="s">
        <v>1515</v>
      </c>
      <c r="BK63" t="s">
        <v>103</v>
      </c>
      <c r="BL63" t="s">
        <v>1516</v>
      </c>
      <c r="BM63" t="s">
        <v>1517</v>
      </c>
      <c r="BN63" t="s">
        <v>74</v>
      </c>
      <c r="BO63" t="s">
        <v>74</v>
      </c>
      <c r="BP63" t="s">
        <v>74</v>
      </c>
      <c r="BQ63" t="s">
        <v>74</v>
      </c>
      <c r="BR63" t="s">
        <v>106</v>
      </c>
      <c r="BS63" t="s">
        <v>1518</v>
      </c>
      <c r="BT63" t="str">
        <f>HYPERLINK("https%3A%2F%2Fwww.webofscience.com%2Fwos%2Fwoscc%2Ffull-record%2FWOS:000790436800005","View Full Record in Web of Science")</f>
        <v>View Full Record in Web of Science</v>
      </c>
    </row>
    <row r="64" spans="1:72" x14ac:dyDescent="0.15">
      <c r="A64" t="s">
        <v>72</v>
      </c>
      <c r="B64" t="s">
        <v>1519</v>
      </c>
      <c r="C64" t="s">
        <v>74</v>
      </c>
      <c r="D64" t="s">
        <v>74</v>
      </c>
      <c r="E64" t="s">
        <v>74</v>
      </c>
      <c r="F64" t="s">
        <v>1520</v>
      </c>
      <c r="G64" t="s">
        <v>74</v>
      </c>
      <c r="H64" t="s">
        <v>74</v>
      </c>
      <c r="I64" t="s">
        <v>1521</v>
      </c>
      <c r="J64" t="s">
        <v>77</v>
      </c>
      <c r="K64" t="s">
        <v>74</v>
      </c>
      <c r="L64" t="s">
        <v>74</v>
      </c>
      <c r="M64" t="s">
        <v>78</v>
      </c>
      <c r="N64" t="s">
        <v>79</v>
      </c>
      <c r="O64" t="s">
        <v>74</v>
      </c>
      <c r="P64" t="s">
        <v>74</v>
      </c>
      <c r="Q64" t="s">
        <v>74</v>
      </c>
      <c r="R64" t="s">
        <v>74</v>
      </c>
      <c r="S64" t="s">
        <v>74</v>
      </c>
      <c r="T64" t="s">
        <v>1522</v>
      </c>
      <c r="U64" t="s">
        <v>1523</v>
      </c>
      <c r="V64" t="s">
        <v>1524</v>
      </c>
      <c r="W64" t="s">
        <v>1525</v>
      </c>
      <c r="X64" t="s">
        <v>1526</v>
      </c>
      <c r="Y64" t="s">
        <v>1527</v>
      </c>
      <c r="Z64" t="s">
        <v>1528</v>
      </c>
      <c r="AA64" t="s">
        <v>1529</v>
      </c>
      <c r="AB64" t="s">
        <v>74</v>
      </c>
      <c r="AC64" t="s">
        <v>1530</v>
      </c>
      <c r="AD64" t="s">
        <v>1531</v>
      </c>
      <c r="AE64" t="s">
        <v>1532</v>
      </c>
      <c r="AF64" t="s">
        <v>74</v>
      </c>
      <c r="AG64">
        <v>27</v>
      </c>
      <c r="AH64">
        <v>1</v>
      </c>
      <c r="AI64">
        <v>2</v>
      </c>
      <c r="AJ64">
        <v>5</v>
      </c>
      <c r="AK64">
        <v>23</v>
      </c>
      <c r="AL64" t="s">
        <v>92</v>
      </c>
      <c r="AM64" t="s">
        <v>93</v>
      </c>
      <c r="AN64" t="s">
        <v>94</v>
      </c>
      <c r="AO64" t="s">
        <v>95</v>
      </c>
      <c r="AP64" t="s">
        <v>96</v>
      </c>
      <c r="AQ64" t="s">
        <v>74</v>
      </c>
      <c r="AR64" t="s">
        <v>97</v>
      </c>
      <c r="AS64" t="s">
        <v>98</v>
      </c>
      <c r="AT64" t="s">
        <v>99</v>
      </c>
      <c r="AU64">
        <v>2022</v>
      </c>
      <c r="AV64">
        <v>176</v>
      </c>
      <c r="AW64" t="s">
        <v>74</v>
      </c>
      <c r="AX64" t="s">
        <v>74</v>
      </c>
      <c r="AY64" t="s">
        <v>74</v>
      </c>
      <c r="AZ64" t="s">
        <v>74</v>
      </c>
      <c r="BA64" t="s">
        <v>74</v>
      </c>
      <c r="BB64" t="s">
        <v>74</v>
      </c>
      <c r="BC64" t="s">
        <v>74</v>
      </c>
      <c r="BD64">
        <v>113387</v>
      </c>
      <c r="BE64" t="s">
        <v>1533</v>
      </c>
      <c r="BF64" t="str">
        <f>HYPERLINK("http://dx.doi.org/10.1016/j.marpolbul.2022.113387","http://dx.doi.org/10.1016/j.marpolbul.2022.113387")</f>
        <v>http://dx.doi.org/10.1016/j.marpolbul.2022.113387</v>
      </c>
      <c r="BG64" t="s">
        <v>74</v>
      </c>
      <c r="BH64" t="s">
        <v>101</v>
      </c>
      <c r="BI64">
        <v>8</v>
      </c>
      <c r="BJ64" t="s">
        <v>102</v>
      </c>
      <c r="BK64" t="s">
        <v>103</v>
      </c>
      <c r="BL64" t="s">
        <v>104</v>
      </c>
      <c r="BM64" t="s">
        <v>1534</v>
      </c>
      <c r="BN64">
        <v>35150986</v>
      </c>
      <c r="BO64" t="s">
        <v>74</v>
      </c>
      <c r="BP64" t="s">
        <v>74</v>
      </c>
      <c r="BQ64" t="s">
        <v>74</v>
      </c>
      <c r="BR64" t="s">
        <v>106</v>
      </c>
      <c r="BS64" t="s">
        <v>1535</v>
      </c>
      <c r="BT64" t="str">
        <f>HYPERLINK("https%3A%2F%2Fwww.webofscience.com%2Fwos%2Fwoscc%2Ffull-record%2FWOS:000784314900007","View Full Record in Web of Science")</f>
        <v>View Full Record in Web of Science</v>
      </c>
    </row>
    <row r="65" spans="1:72" x14ac:dyDescent="0.15">
      <c r="A65" t="s">
        <v>72</v>
      </c>
      <c r="B65" t="s">
        <v>1536</v>
      </c>
      <c r="C65" t="s">
        <v>74</v>
      </c>
      <c r="D65" t="s">
        <v>74</v>
      </c>
      <c r="E65" t="s">
        <v>74</v>
      </c>
      <c r="F65" t="s">
        <v>1537</v>
      </c>
      <c r="G65" t="s">
        <v>74</v>
      </c>
      <c r="H65" t="s">
        <v>74</v>
      </c>
      <c r="I65" t="s">
        <v>1538</v>
      </c>
      <c r="J65" t="s">
        <v>1539</v>
      </c>
      <c r="K65" t="s">
        <v>74</v>
      </c>
      <c r="L65" t="s">
        <v>74</v>
      </c>
      <c r="M65" t="s">
        <v>78</v>
      </c>
      <c r="N65" t="s">
        <v>79</v>
      </c>
      <c r="O65" t="s">
        <v>74</v>
      </c>
      <c r="P65" t="s">
        <v>74</v>
      </c>
      <c r="Q65" t="s">
        <v>74</v>
      </c>
      <c r="R65" t="s">
        <v>74</v>
      </c>
      <c r="S65" t="s">
        <v>74</v>
      </c>
      <c r="T65" t="s">
        <v>1540</v>
      </c>
      <c r="U65" t="s">
        <v>1541</v>
      </c>
      <c r="V65" t="s">
        <v>1542</v>
      </c>
      <c r="W65" t="s">
        <v>1543</v>
      </c>
      <c r="X65" t="s">
        <v>1544</v>
      </c>
      <c r="Y65" t="s">
        <v>1545</v>
      </c>
      <c r="Z65" t="s">
        <v>1546</v>
      </c>
      <c r="AA65" t="s">
        <v>1547</v>
      </c>
      <c r="AB65" t="s">
        <v>1548</v>
      </c>
      <c r="AC65" t="s">
        <v>1549</v>
      </c>
      <c r="AD65" t="s">
        <v>1550</v>
      </c>
      <c r="AE65" t="s">
        <v>1551</v>
      </c>
      <c r="AF65" t="s">
        <v>74</v>
      </c>
      <c r="AG65">
        <v>108</v>
      </c>
      <c r="AH65">
        <v>21</v>
      </c>
      <c r="AI65">
        <v>22</v>
      </c>
      <c r="AJ65">
        <v>6</v>
      </c>
      <c r="AK65">
        <v>24</v>
      </c>
      <c r="AL65" t="s">
        <v>1552</v>
      </c>
      <c r="AM65" t="s">
        <v>436</v>
      </c>
      <c r="AN65" t="s">
        <v>1553</v>
      </c>
      <c r="AO65" t="s">
        <v>1554</v>
      </c>
      <c r="AP65" t="s">
        <v>1555</v>
      </c>
      <c r="AQ65" t="s">
        <v>74</v>
      </c>
      <c r="AR65" t="s">
        <v>1556</v>
      </c>
      <c r="AS65" t="s">
        <v>1557</v>
      </c>
      <c r="AT65" t="s">
        <v>1558</v>
      </c>
      <c r="AU65">
        <v>2022</v>
      </c>
      <c r="AV65">
        <v>308</v>
      </c>
      <c r="AW65" t="s">
        <v>74</v>
      </c>
      <c r="AX65" t="s">
        <v>74</v>
      </c>
      <c r="AY65" t="s">
        <v>74</v>
      </c>
      <c r="AZ65" t="s">
        <v>74</v>
      </c>
      <c r="BA65" t="s">
        <v>74</v>
      </c>
      <c r="BB65" t="s">
        <v>74</v>
      </c>
      <c r="BC65" t="s">
        <v>74</v>
      </c>
      <c r="BD65">
        <v>114634</v>
      </c>
      <c r="BE65" t="s">
        <v>1559</v>
      </c>
      <c r="BF65" t="str">
        <f>HYPERLINK("http://dx.doi.org/10.1016/j.jenvman.2022.114634","http://dx.doi.org/10.1016/j.jenvman.2022.114634")</f>
        <v>http://dx.doi.org/10.1016/j.jenvman.2022.114634</v>
      </c>
      <c r="BG65" t="s">
        <v>74</v>
      </c>
      <c r="BH65" t="s">
        <v>101</v>
      </c>
      <c r="BI65">
        <v>16</v>
      </c>
      <c r="BJ65" t="s">
        <v>1560</v>
      </c>
      <c r="BK65" t="s">
        <v>1034</v>
      </c>
      <c r="BL65" t="s">
        <v>1561</v>
      </c>
      <c r="BM65" t="s">
        <v>1562</v>
      </c>
      <c r="BN65">
        <v>35151103</v>
      </c>
      <c r="BO65" t="s">
        <v>749</v>
      </c>
      <c r="BP65" t="s">
        <v>74</v>
      </c>
      <c r="BQ65" t="s">
        <v>74</v>
      </c>
      <c r="BR65" t="s">
        <v>106</v>
      </c>
      <c r="BS65" t="s">
        <v>1563</v>
      </c>
      <c r="BT65" t="str">
        <f>HYPERLINK("https%3A%2F%2Fwww.webofscience.com%2Fwos%2Fwoscc%2Ffull-record%2FWOS:000783857300001","View Full Record in Web of Science")</f>
        <v>View Full Record in Web of Science</v>
      </c>
    </row>
    <row r="66" spans="1:72" x14ac:dyDescent="0.15">
      <c r="A66" t="s">
        <v>72</v>
      </c>
      <c r="B66" t="s">
        <v>1564</v>
      </c>
      <c r="C66" t="s">
        <v>74</v>
      </c>
      <c r="D66" t="s">
        <v>74</v>
      </c>
      <c r="E66" t="s">
        <v>74</v>
      </c>
      <c r="F66" t="s">
        <v>1565</v>
      </c>
      <c r="G66" t="s">
        <v>74</v>
      </c>
      <c r="H66" t="s">
        <v>74</v>
      </c>
      <c r="I66" t="s">
        <v>1566</v>
      </c>
      <c r="J66" t="s">
        <v>1567</v>
      </c>
      <c r="K66" t="s">
        <v>74</v>
      </c>
      <c r="L66" t="s">
        <v>74</v>
      </c>
      <c r="M66" t="s">
        <v>78</v>
      </c>
      <c r="N66" t="s">
        <v>79</v>
      </c>
      <c r="O66" t="s">
        <v>74</v>
      </c>
      <c r="P66" t="s">
        <v>74</v>
      </c>
      <c r="Q66" t="s">
        <v>74</v>
      </c>
      <c r="R66" t="s">
        <v>74</v>
      </c>
      <c r="S66" t="s">
        <v>74</v>
      </c>
      <c r="T66" t="s">
        <v>74</v>
      </c>
      <c r="U66" t="s">
        <v>1568</v>
      </c>
      <c r="V66" t="s">
        <v>1569</v>
      </c>
      <c r="W66" t="s">
        <v>1570</v>
      </c>
      <c r="X66" t="s">
        <v>1571</v>
      </c>
      <c r="Y66" t="s">
        <v>1572</v>
      </c>
      <c r="Z66" t="s">
        <v>1573</v>
      </c>
      <c r="AA66" t="s">
        <v>1574</v>
      </c>
      <c r="AB66" t="s">
        <v>1575</v>
      </c>
      <c r="AC66" t="s">
        <v>1576</v>
      </c>
      <c r="AD66" t="s">
        <v>1577</v>
      </c>
      <c r="AE66" t="s">
        <v>1578</v>
      </c>
      <c r="AF66" t="s">
        <v>74</v>
      </c>
      <c r="AG66">
        <v>53</v>
      </c>
      <c r="AH66">
        <v>3</v>
      </c>
      <c r="AI66">
        <v>3</v>
      </c>
      <c r="AJ66">
        <v>8</v>
      </c>
      <c r="AK66">
        <v>52</v>
      </c>
      <c r="AL66" t="s">
        <v>1579</v>
      </c>
      <c r="AM66" t="s">
        <v>436</v>
      </c>
      <c r="AN66" t="s">
        <v>1580</v>
      </c>
      <c r="AO66" t="s">
        <v>1581</v>
      </c>
      <c r="AP66" t="s">
        <v>1582</v>
      </c>
      <c r="AQ66" t="s">
        <v>74</v>
      </c>
      <c r="AR66" t="s">
        <v>1583</v>
      </c>
      <c r="AS66" t="s">
        <v>1584</v>
      </c>
      <c r="AT66" t="s">
        <v>1490</v>
      </c>
      <c r="AU66">
        <v>2022</v>
      </c>
      <c r="AV66">
        <v>2022</v>
      </c>
      <c r="AW66" t="s">
        <v>74</v>
      </c>
      <c r="AX66" t="s">
        <v>74</v>
      </c>
      <c r="AY66" t="s">
        <v>74</v>
      </c>
      <c r="AZ66" t="s">
        <v>74</v>
      </c>
      <c r="BA66" t="s">
        <v>74</v>
      </c>
      <c r="BB66" t="s">
        <v>74</v>
      </c>
      <c r="BC66" t="s">
        <v>74</v>
      </c>
      <c r="BD66">
        <v>9572937</v>
      </c>
      <c r="BE66" t="s">
        <v>1585</v>
      </c>
      <c r="BF66" t="str">
        <f>HYPERLINK("http://dx.doi.org/10.1155/2022/9572937","http://dx.doi.org/10.1155/2022/9572937")</f>
        <v>http://dx.doi.org/10.1155/2022/9572937</v>
      </c>
      <c r="BG66" t="s">
        <v>74</v>
      </c>
      <c r="BH66" t="s">
        <v>74</v>
      </c>
      <c r="BI66">
        <v>16</v>
      </c>
      <c r="BJ66" t="s">
        <v>1586</v>
      </c>
      <c r="BK66" t="s">
        <v>103</v>
      </c>
      <c r="BL66" t="s">
        <v>1587</v>
      </c>
      <c r="BM66" t="s">
        <v>1588</v>
      </c>
      <c r="BN66" t="s">
        <v>74</v>
      </c>
      <c r="BO66" t="s">
        <v>445</v>
      </c>
      <c r="BP66" t="s">
        <v>74</v>
      </c>
      <c r="BQ66" t="s">
        <v>74</v>
      </c>
      <c r="BR66" t="s">
        <v>106</v>
      </c>
      <c r="BS66" t="s">
        <v>1589</v>
      </c>
      <c r="BT66" t="str">
        <f>HYPERLINK("https%3A%2F%2Fwww.webofscience.com%2Fwos%2Fwoscc%2Ffull-record%2FWOS:000772489500002","View Full Record in Web of Science")</f>
        <v>View Full Record in Web of Science</v>
      </c>
    </row>
    <row r="67" spans="1:72" x14ac:dyDescent="0.15">
      <c r="A67" t="s">
        <v>72</v>
      </c>
      <c r="B67" t="s">
        <v>1590</v>
      </c>
      <c r="C67" t="s">
        <v>74</v>
      </c>
      <c r="D67" t="s">
        <v>74</v>
      </c>
      <c r="E67" t="s">
        <v>74</v>
      </c>
      <c r="F67" t="s">
        <v>1591</v>
      </c>
      <c r="G67" t="s">
        <v>74</v>
      </c>
      <c r="H67" t="s">
        <v>74</v>
      </c>
      <c r="I67" t="s">
        <v>1592</v>
      </c>
      <c r="J67" t="s">
        <v>1593</v>
      </c>
      <c r="K67" t="s">
        <v>74</v>
      </c>
      <c r="L67" t="s">
        <v>74</v>
      </c>
      <c r="M67" t="s">
        <v>78</v>
      </c>
      <c r="N67" t="s">
        <v>79</v>
      </c>
      <c r="O67" t="s">
        <v>74</v>
      </c>
      <c r="P67" t="s">
        <v>74</v>
      </c>
      <c r="Q67" t="s">
        <v>74</v>
      </c>
      <c r="R67" t="s">
        <v>74</v>
      </c>
      <c r="S67" t="s">
        <v>74</v>
      </c>
      <c r="T67" t="s">
        <v>1594</v>
      </c>
      <c r="U67" t="s">
        <v>1595</v>
      </c>
      <c r="V67" t="s">
        <v>1596</v>
      </c>
      <c r="W67" t="s">
        <v>1597</v>
      </c>
      <c r="X67" t="s">
        <v>1598</v>
      </c>
      <c r="Y67" t="s">
        <v>1599</v>
      </c>
      <c r="Z67" t="s">
        <v>1600</v>
      </c>
      <c r="AA67" t="s">
        <v>1601</v>
      </c>
      <c r="AB67" t="s">
        <v>1602</v>
      </c>
      <c r="AC67" t="s">
        <v>74</v>
      </c>
      <c r="AD67" t="s">
        <v>74</v>
      </c>
      <c r="AE67" t="s">
        <v>74</v>
      </c>
      <c r="AF67" t="s">
        <v>74</v>
      </c>
      <c r="AG67">
        <v>66</v>
      </c>
      <c r="AH67">
        <v>34</v>
      </c>
      <c r="AI67">
        <v>35</v>
      </c>
      <c r="AJ67">
        <v>16</v>
      </c>
      <c r="AK67">
        <v>85</v>
      </c>
      <c r="AL67" t="s">
        <v>1603</v>
      </c>
      <c r="AM67" t="s">
        <v>93</v>
      </c>
      <c r="AN67" t="s">
        <v>1604</v>
      </c>
      <c r="AO67" t="s">
        <v>1605</v>
      </c>
      <c r="AP67" t="s">
        <v>1606</v>
      </c>
      <c r="AQ67" t="s">
        <v>74</v>
      </c>
      <c r="AR67" t="s">
        <v>1607</v>
      </c>
      <c r="AS67" t="s">
        <v>1608</v>
      </c>
      <c r="AT67" t="s">
        <v>1609</v>
      </c>
      <c r="AU67">
        <v>2022</v>
      </c>
      <c r="AV67">
        <v>79</v>
      </c>
      <c r="AW67">
        <v>3</v>
      </c>
      <c r="AX67" t="s">
        <v>74</v>
      </c>
      <c r="AY67" t="s">
        <v>74</v>
      </c>
      <c r="AZ67" t="s">
        <v>74</v>
      </c>
      <c r="BA67" t="s">
        <v>74</v>
      </c>
      <c r="BB67">
        <v>585</v>
      </c>
      <c r="BC67">
        <v>592</v>
      </c>
      <c r="BD67" t="s">
        <v>74</v>
      </c>
      <c r="BE67" t="s">
        <v>1610</v>
      </c>
      <c r="BF67" t="str">
        <f>HYPERLINK("http://dx.doi.org/10.1093/icesjms/fsac011","http://dx.doi.org/10.1093/icesjms/fsac011")</f>
        <v>http://dx.doi.org/10.1093/icesjms/fsac011</v>
      </c>
      <c r="BG67" t="s">
        <v>74</v>
      </c>
      <c r="BH67" t="s">
        <v>101</v>
      </c>
      <c r="BI67">
        <v>8</v>
      </c>
      <c r="BJ67" t="s">
        <v>1611</v>
      </c>
      <c r="BK67" t="s">
        <v>103</v>
      </c>
      <c r="BL67" t="s">
        <v>1611</v>
      </c>
      <c r="BM67" t="s">
        <v>1612</v>
      </c>
      <c r="BN67" t="s">
        <v>74</v>
      </c>
      <c r="BO67" t="s">
        <v>1613</v>
      </c>
      <c r="BP67" t="s">
        <v>1286</v>
      </c>
      <c r="BQ67" t="s">
        <v>1287</v>
      </c>
      <c r="BR67" t="s">
        <v>106</v>
      </c>
      <c r="BS67" t="s">
        <v>1614</v>
      </c>
      <c r="BT67" t="str">
        <f>HYPERLINK("https%3A%2F%2Fwww.webofscience.com%2Fwos%2Fwoscc%2Ffull-record%2FWOS:000756964400001","View Full Record in Web of Science")</f>
        <v>View Full Record in Web of Science</v>
      </c>
    </row>
    <row r="68" spans="1:72" x14ac:dyDescent="0.15">
      <c r="A68" t="s">
        <v>72</v>
      </c>
      <c r="B68" t="s">
        <v>1615</v>
      </c>
      <c r="C68" t="s">
        <v>74</v>
      </c>
      <c r="D68" t="s">
        <v>74</v>
      </c>
      <c r="E68" t="s">
        <v>74</v>
      </c>
      <c r="F68" t="s">
        <v>1616</v>
      </c>
      <c r="G68" t="s">
        <v>74</v>
      </c>
      <c r="H68" t="s">
        <v>74</v>
      </c>
      <c r="I68" t="s">
        <v>1617</v>
      </c>
      <c r="J68" t="s">
        <v>1397</v>
      </c>
      <c r="K68" t="s">
        <v>74</v>
      </c>
      <c r="L68" t="s">
        <v>74</v>
      </c>
      <c r="M68" t="s">
        <v>78</v>
      </c>
      <c r="N68" t="s">
        <v>79</v>
      </c>
      <c r="O68" t="s">
        <v>74</v>
      </c>
      <c r="P68" t="s">
        <v>74</v>
      </c>
      <c r="Q68" t="s">
        <v>74</v>
      </c>
      <c r="R68" t="s">
        <v>74</v>
      </c>
      <c r="S68" t="s">
        <v>74</v>
      </c>
      <c r="T68" t="s">
        <v>74</v>
      </c>
      <c r="U68" t="s">
        <v>1618</v>
      </c>
      <c r="V68" t="s">
        <v>1619</v>
      </c>
      <c r="W68" t="s">
        <v>1620</v>
      </c>
      <c r="X68" t="s">
        <v>1621</v>
      </c>
      <c r="Y68" t="s">
        <v>1622</v>
      </c>
      <c r="Z68" t="s">
        <v>1623</v>
      </c>
      <c r="AA68" t="s">
        <v>1624</v>
      </c>
      <c r="AB68" t="s">
        <v>1625</v>
      </c>
      <c r="AC68" t="s">
        <v>1626</v>
      </c>
      <c r="AD68" t="s">
        <v>1627</v>
      </c>
      <c r="AE68" t="s">
        <v>1628</v>
      </c>
      <c r="AF68" t="s">
        <v>74</v>
      </c>
      <c r="AG68">
        <v>39</v>
      </c>
      <c r="AH68">
        <v>4</v>
      </c>
      <c r="AI68">
        <v>4</v>
      </c>
      <c r="AJ68">
        <v>1</v>
      </c>
      <c r="AK68">
        <v>6</v>
      </c>
      <c r="AL68" t="s">
        <v>120</v>
      </c>
      <c r="AM68" t="s">
        <v>121</v>
      </c>
      <c r="AN68" t="s">
        <v>122</v>
      </c>
      <c r="AO68" t="s">
        <v>1409</v>
      </c>
      <c r="AP68" t="s">
        <v>1410</v>
      </c>
      <c r="AQ68" t="s">
        <v>74</v>
      </c>
      <c r="AR68" t="s">
        <v>1397</v>
      </c>
      <c r="AS68" t="s">
        <v>1411</v>
      </c>
      <c r="AT68" t="s">
        <v>1490</v>
      </c>
      <c r="AU68">
        <v>2022</v>
      </c>
      <c r="AV68">
        <v>16</v>
      </c>
      <c r="AW68">
        <v>2</v>
      </c>
      <c r="AX68" t="s">
        <v>74</v>
      </c>
      <c r="AY68" t="s">
        <v>74</v>
      </c>
      <c r="AZ68" t="s">
        <v>74</v>
      </c>
      <c r="BA68" t="s">
        <v>74</v>
      </c>
      <c r="BB68">
        <v>471</v>
      </c>
      <c r="BC68">
        <v>487</v>
      </c>
      <c r="BD68" t="s">
        <v>74</v>
      </c>
      <c r="BE68" t="s">
        <v>1629</v>
      </c>
      <c r="BF68" t="str">
        <f>HYPERLINK("http://dx.doi.org/10.5194/tc-16-471-2022","http://dx.doi.org/10.5194/tc-16-471-2022")</f>
        <v>http://dx.doi.org/10.5194/tc-16-471-2022</v>
      </c>
      <c r="BG68" t="s">
        <v>74</v>
      </c>
      <c r="BH68" t="s">
        <v>74</v>
      </c>
      <c r="BI68">
        <v>17</v>
      </c>
      <c r="BJ68" t="s">
        <v>208</v>
      </c>
      <c r="BK68" t="s">
        <v>103</v>
      </c>
      <c r="BL68" t="s">
        <v>209</v>
      </c>
      <c r="BM68" t="s">
        <v>1630</v>
      </c>
      <c r="BN68" t="s">
        <v>74</v>
      </c>
      <c r="BO68" t="s">
        <v>132</v>
      </c>
      <c r="BP68" t="s">
        <v>74</v>
      </c>
      <c r="BQ68" t="s">
        <v>74</v>
      </c>
      <c r="BR68" t="s">
        <v>106</v>
      </c>
      <c r="BS68" t="s">
        <v>1631</v>
      </c>
      <c r="BT68" t="str">
        <f>HYPERLINK("https%3A%2F%2Fwww.webofscience.com%2Fwos%2Fwoscc%2Ffull-record%2FWOS:000758093900001","View Full Record in Web of Science")</f>
        <v>View Full Record in Web of Science</v>
      </c>
    </row>
    <row r="69" spans="1:72" x14ac:dyDescent="0.15">
      <c r="A69" t="s">
        <v>72</v>
      </c>
      <c r="B69" t="s">
        <v>1632</v>
      </c>
      <c r="C69" t="s">
        <v>74</v>
      </c>
      <c r="D69" t="s">
        <v>74</v>
      </c>
      <c r="E69" t="s">
        <v>74</v>
      </c>
      <c r="F69" t="s">
        <v>1633</v>
      </c>
      <c r="G69" t="s">
        <v>74</v>
      </c>
      <c r="H69" t="s">
        <v>74</v>
      </c>
      <c r="I69" t="s">
        <v>1634</v>
      </c>
      <c r="J69" t="s">
        <v>1635</v>
      </c>
      <c r="K69" t="s">
        <v>74</v>
      </c>
      <c r="L69" t="s">
        <v>74</v>
      </c>
      <c r="M69" t="s">
        <v>78</v>
      </c>
      <c r="N69" t="s">
        <v>79</v>
      </c>
      <c r="O69" t="s">
        <v>74</v>
      </c>
      <c r="P69" t="s">
        <v>74</v>
      </c>
      <c r="Q69" t="s">
        <v>74</v>
      </c>
      <c r="R69" t="s">
        <v>74</v>
      </c>
      <c r="S69" t="s">
        <v>74</v>
      </c>
      <c r="T69" t="s">
        <v>74</v>
      </c>
      <c r="U69" t="s">
        <v>1636</v>
      </c>
      <c r="V69" t="s">
        <v>1637</v>
      </c>
      <c r="W69" t="s">
        <v>1638</v>
      </c>
      <c r="X69" t="s">
        <v>1639</v>
      </c>
      <c r="Y69" t="s">
        <v>1640</v>
      </c>
      <c r="Z69" t="s">
        <v>1641</v>
      </c>
      <c r="AA69" t="s">
        <v>74</v>
      </c>
      <c r="AB69" t="s">
        <v>1642</v>
      </c>
      <c r="AC69" t="s">
        <v>1643</v>
      </c>
      <c r="AD69" t="s">
        <v>1644</v>
      </c>
      <c r="AE69" t="s">
        <v>1645</v>
      </c>
      <c r="AF69" t="s">
        <v>74</v>
      </c>
      <c r="AG69">
        <v>53</v>
      </c>
      <c r="AH69">
        <v>10</v>
      </c>
      <c r="AI69">
        <v>10</v>
      </c>
      <c r="AJ69">
        <v>5</v>
      </c>
      <c r="AK69">
        <v>23</v>
      </c>
      <c r="AL69" t="s">
        <v>120</v>
      </c>
      <c r="AM69" t="s">
        <v>121</v>
      </c>
      <c r="AN69" t="s">
        <v>122</v>
      </c>
      <c r="AO69" t="s">
        <v>1646</v>
      </c>
      <c r="AP69" t="s">
        <v>1647</v>
      </c>
      <c r="AQ69" t="s">
        <v>74</v>
      </c>
      <c r="AR69" t="s">
        <v>1648</v>
      </c>
      <c r="AS69" t="s">
        <v>1649</v>
      </c>
      <c r="AT69" t="s">
        <v>1490</v>
      </c>
      <c r="AU69">
        <v>2022</v>
      </c>
      <c r="AV69">
        <v>14</v>
      </c>
      <c r="AW69">
        <v>2</v>
      </c>
      <c r="AX69" t="s">
        <v>74</v>
      </c>
      <c r="AY69" t="s">
        <v>74</v>
      </c>
      <c r="AZ69" t="s">
        <v>74</v>
      </c>
      <c r="BA69" t="s">
        <v>74</v>
      </c>
      <c r="BB69">
        <v>619</v>
      </c>
      <c r="BC69">
        <v>636</v>
      </c>
      <c r="BD69" t="s">
        <v>74</v>
      </c>
      <c r="BE69" t="s">
        <v>1650</v>
      </c>
      <c r="BF69" t="str">
        <f>HYPERLINK("http://dx.doi.org/10.5194/essd-14-619-2022","http://dx.doi.org/10.5194/essd-14-619-2022")</f>
        <v>http://dx.doi.org/10.5194/essd-14-619-2022</v>
      </c>
      <c r="BG69" t="s">
        <v>74</v>
      </c>
      <c r="BH69" t="s">
        <v>74</v>
      </c>
      <c r="BI69">
        <v>18</v>
      </c>
      <c r="BJ69" t="s">
        <v>1201</v>
      </c>
      <c r="BK69" t="s">
        <v>103</v>
      </c>
      <c r="BL69" t="s">
        <v>1202</v>
      </c>
      <c r="BM69" t="s">
        <v>1651</v>
      </c>
      <c r="BN69" t="s">
        <v>74</v>
      </c>
      <c r="BO69" t="s">
        <v>132</v>
      </c>
      <c r="BP69" t="s">
        <v>74</v>
      </c>
      <c r="BQ69" t="s">
        <v>74</v>
      </c>
      <c r="BR69" t="s">
        <v>106</v>
      </c>
      <c r="BS69" t="s">
        <v>1652</v>
      </c>
      <c r="BT69" t="str">
        <f>HYPERLINK("https%3A%2F%2Fwww.webofscience.com%2Fwos%2Fwoscc%2Ffull-record%2FWOS:000758174800001","View Full Record in Web of Science")</f>
        <v>View Full Record in Web of Science</v>
      </c>
    </row>
    <row r="70" spans="1:72" x14ac:dyDescent="0.15">
      <c r="A70" t="s">
        <v>72</v>
      </c>
      <c r="B70" t="s">
        <v>1653</v>
      </c>
      <c r="C70" t="s">
        <v>74</v>
      </c>
      <c r="D70" t="s">
        <v>74</v>
      </c>
      <c r="E70" t="s">
        <v>74</v>
      </c>
      <c r="F70" t="s">
        <v>1654</v>
      </c>
      <c r="G70" t="s">
        <v>74</v>
      </c>
      <c r="H70" t="s">
        <v>74</v>
      </c>
      <c r="I70" t="s">
        <v>1655</v>
      </c>
      <c r="J70" t="s">
        <v>1656</v>
      </c>
      <c r="K70" t="s">
        <v>74</v>
      </c>
      <c r="L70" t="s">
        <v>74</v>
      </c>
      <c r="M70" t="s">
        <v>78</v>
      </c>
      <c r="N70" t="s">
        <v>1113</v>
      </c>
      <c r="O70" t="s">
        <v>74</v>
      </c>
      <c r="P70" t="s">
        <v>74</v>
      </c>
      <c r="Q70" t="s">
        <v>74</v>
      </c>
      <c r="R70" t="s">
        <v>74</v>
      </c>
      <c r="S70" t="s">
        <v>74</v>
      </c>
      <c r="T70" t="s">
        <v>74</v>
      </c>
      <c r="U70" t="s">
        <v>1657</v>
      </c>
      <c r="V70" t="s">
        <v>74</v>
      </c>
      <c r="W70" t="s">
        <v>1658</v>
      </c>
      <c r="X70" t="s">
        <v>1659</v>
      </c>
      <c r="Y70" t="s">
        <v>1660</v>
      </c>
      <c r="Z70" t="s">
        <v>1661</v>
      </c>
      <c r="AA70" t="s">
        <v>1662</v>
      </c>
      <c r="AB70" t="s">
        <v>1663</v>
      </c>
      <c r="AC70" t="s">
        <v>1664</v>
      </c>
      <c r="AD70" t="s">
        <v>1665</v>
      </c>
      <c r="AE70" t="s">
        <v>1666</v>
      </c>
      <c r="AF70" t="s">
        <v>74</v>
      </c>
      <c r="AG70">
        <v>201</v>
      </c>
      <c r="AH70">
        <v>11</v>
      </c>
      <c r="AI70">
        <v>11</v>
      </c>
      <c r="AJ70">
        <v>5</v>
      </c>
      <c r="AK70">
        <v>29</v>
      </c>
      <c r="AL70" t="s">
        <v>1667</v>
      </c>
      <c r="AM70" t="s">
        <v>1668</v>
      </c>
      <c r="AN70" t="s">
        <v>1669</v>
      </c>
      <c r="AO70" t="s">
        <v>1670</v>
      </c>
      <c r="AP70" t="s">
        <v>1671</v>
      </c>
      <c r="AQ70" t="s">
        <v>74</v>
      </c>
      <c r="AR70" t="s">
        <v>1672</v>
      </c>
      <c r="AS70" t="s">
        <v>1673</v>
      </c>
      <c r="AT70" t="s">
        <v>1674</v>
      </c>
      <c r="AU70">
        <v>2022</v>
      </c>
      <c r="AV70">
        <v>10</v>
      </c>
      <c r="AW70">
        <v>2</v>
      </c>
      <c r="AX70" t="s">
        <v>74</v>
      </c>
      <c r="AY70" t="s">
        <v>74</v>
      </c>
      <c r="AZ70" t="s">
        <v>74</v>
      </c>
      <c r="BA70" t="s">
        <v>74</v>
      </c>
      <c r="BB70">
        <v>39</v>
      </c>
      <c r="BC70">
        <v>65</v>
      </c>
      <c r="BD70" t="s">
        <v>74</v>
      </c>
      <c r="BE70" t="s">
        <v>1675</v>
      </c>
      <c r="BF70" t="str">
        <f>HYPERLINK("http://dx.doi.org/10.1109/MGRS.2022.3145500","http://dx.doi.org/10.1109/MGRS.2022.3145500")</f>
        <v>http://dx.doi.org/10.1109/MGRS.2022.3145500</v>
      </c>
      <c r="BG70" t="s">
        <v>74</v>
      </c>
      <c r="BH70" t="s">
        <v>101</v>
      </c>
      <c r="BI70">
        <v>27</v>
      </c>
      <c r="BJ70" t="s">
        <v>1676</v>
      </c>
      <c r="BK70" t="s">
        <v>103</v>
      </c>
      <c r="BL70" t="s">
        <v>1676</v>
      </c>
      <c r="BM70" t="s">
        <v>1677</v>
      </c>
      <c r="BN70" t="s">
        <v>74</v>
      </c>
      <c r="BO70" t="s">
        <v>74</v>
      </c>
      <c r="BP70" t="s">
        <v>74</v>
      </c>
      <c r="BQ70" t="s">
        <v>74</v>
      </c>
      <c r="BR70" t="s">
        <v>106</v>
      </c>
      <c r="BS70" t="s">
        <v>1678</v>
      </c>
      <c r="BT70" t="str">
        <f>HYPERLINK("https%3A%2F%2Fwww.webofscience.com%2Fwos%2Fwoscc%2Ffull-record%2FWOS:000754297100001","View Full Record in Web of Science")</f>
        <v>View Full Record in Web of Science</v>
      </c>
    </row>
    <row r="71" spans="1:72" x14ac:dyDescent="0.15">
      <c r="A71" t="s">
        <v>72</v>
      </c>
      <c r="B71" t="s">
        <v>1679</v>
      </c>
      <c r="C71" t="s">
        <v>74</v>
      </c>
      <c r="D71" t="s">
        <v>74</v>
      </c>
      <c r="E71" t="s">
        <v>74</v>
      </c>
      <c r="F71" t="s">
        <v>1680</v>
      </c>
      <c r="G71" t="s">
        <v>74</v>
      </c>
      <c r="H71" t="s">
        <v>74</v>
      </c>
      <c r="I71" t="s">
        <v>1681</v>
      </c>
      <c r="J71" t="s">
        <v>1682</v>
      </c>
      <c r="K71" t="s">
        <v>74</v>
      </c>
      <c r="L71" t="s">
        <v>74</v>
      </c>
      <c r="M71" t="s">
        <v>78</v>
      </c>
      <c r="N71" t="s">
        <v>79</v>
      </c>
      <c r="O71" t="s">
        <v>74</v>
      </c>
      <c r="P71" t="s">
        <v>74</v>
      </c>
      <c r="Q71" t="s">
        <v>74</v>
      </c>
      <c r="R71" t="s">
        <v>74</v>
      </c>
      <c r="S71" t="s">
        <v>74</v>
      </c>
      <c r="T71" t="s">
        <v>1683</v>
      </c>
      <c r="U71" t="s">
        <v>1684</v>
      </c>
      <c r="V71" t="s">
        <v>1685</v>
      </c>
      <c r="W71" t="s">
        <v>1686</v>
      </c>
      <c r="X71" t="s">
        <v>1687</v>
      </c>
      <c r="Y71" t="s">
        <v>1688</v>
      </c>
      <c r="Z71" t="s">
        <v>1689</v>
      </c>
      <c r="AA71" t="s">
        <v>1690</v>
      </c>
      <c r="AB71" t="s">
        <v>1691</v>
      </c>
      <c r="AC71" t="s">
        <v>1692</v>
      </c>
      <c r="AD71" t="s">
        <v>1693</v>
      </c>
      <c r="AE71" t="s">
        <v>1694</v>
      </c>
      <c r="AF71" t="s">
        <v>74</v>
      </c>
      <c r="AG71">
        <v>41</v>
      </c>
      <c r="AH71">
        <v>2</v>
      </c>
      <c r="AI71">
        <v>2</v>
      </c>
      <c r="AJ71">
        <v>2</v>
      </c>
      <c r="AK71">
        <v>6</v>
      </c>
      <c r="AL71" t="s">
        <v>198</v>
      </c>
      <c r="AM71" t="s">
        <v>506</v>
      </c>
      <c r="AN71" t="s">
        <v>1695</v>
      </c>
      <c r="AO71" t="s">
        <v>1696</v>
      </c>
      <c r="AP71" t="s">
        <v>1697</v>
      </c>
      <c r="AQ71" t="s">
        <v>74</v>
      </c>
      <c r="AR71" t="s">
        <v>1698</v>
      </c>
      <c r="AS71" t="s">
        <v>1699</v>
      </c>
      <c r="AT71" t="s">
        <v>840</v>
      </c>
      <c r="AU71">
        <v>2022</v>
      </c>
      <c r="AV71">
        <v>34</v>
      </c>
      <c r="AW71">
        <v>1</v>
      </c>
      <c r="AX71" t="s">
        <v>74</v>
      </c>
      <c r="AY71" t="s">
        <v>74</v>
      </c>
      <c r="AZ71" t="s">
        <v>74</v>
      </c>
      <c r="BA71" t="s">
        <v>74</v>
      </c>
      <c r="BB71">
        <v>58</v>
      </c>
      <c r="BC71">
        <v>78</v>
      </c>
      <c r="BD71" t="s">
        <v>1700</v>
      </c>
      <c r="BE71" t="s">
        <v>1701</v>
      </c>
      <c r="BF71" t="str">
        <f>HYPERLINK("http://dx.doi.org/10.1017/S0954102021000560","http://dx.doi.org/10.1017/S0954102021000560")</f>
        <v>http://dx.doi.org/10.1017/S0954102021000560</v>
      </c>
      <c r="BG71" t="s">
        <v>74</v>
      </c>
      <c r="BH71" t="s">
        <v>101</v>
      </c>
      <c r="BI71">
        <v>21</v>
      </c>
      <c r="BJ71" t="s">
        <v>1702</v>
      </c>
      <c r="BK71" t="s">
        <v>103</v>
      </c>
      <c r="BL71" t="s">
        <v>1703</v>
      </c>
      <c r="BM71" t="s">
        <v>1704</v>
      </c>
      <c r="BN71" t="s">
        <v>74</v>
      </c>
      <c r="BO71" t="s">
        <v>948</v>
      </c>
      <c r="BP71" t="s">
        <v>74</v>
      </c>
      <c r="BQ71" t="s">
        <v>74</v>
      </c>
      <c r="BR71" t="s">
        <v>106</v>
      </c>
      <c r="BS71" t="s">
        <v>1705</v>
      </c>
      <c r="BT71" t="str">
        <f>HYPERLINK("https%3A%2F%2Fwww.webofscience.com%2Fwos%2Fwoscc%2Ffull-record%2FWOS:000753183500001","View Full Record in Web of Science")</f>
        <v>View Full Record in Web of Science</v>
      </c>
    </row>
    <row r="72" spans="1:72" x14ac:dyDescent="0.15">
      <c r="A72" t="s">
        <v>72</v>
      </c>
      <c r="B72" t="s">
        <v>1706</v>
      </c>
      <c r="C72" t="s">
        <v>74</v>
      </c>
      <c r="D72" t="s">
        <v>74</v>
      </c>
      <c r="E72" t="s">
        <v>74</v>
      </c>
      <c r="F72" t="s">
        <v>1707</v>
      </c>
      <c r="G72" t="s">
        <v>74</v>
      </c>
      <c r="H72" t="s">
        <v>74</v>
      </c>
      <c r="I72" t="s">
        <v>1708</v>
      </c>
      <c r="J72" t="s">
        <v>1709</v>
      </c>
      <c r="K72" t="s">
        <v>74</v>
      </c>
      <c r="L72" t="s">
        <v>74</v>
      </c>
      <c r="M72" t="s">
        <v>78</v>
      </c>
      <c r="N72" t="s">
        <v>1434</v>
      </c>
      <c r="O72" t="s">
        <v>74</v>
      </c>
      <c r="P72" t="s">
        <v>74</v>
      </c>
      <c r="Q72" t="s">
        <v>74</v>
      </c>
      <c r="R72" t="s">
        <v>74</v>
      </c>
      <c r="S72" t="s">
        <v>74</v>
      </c>
      <c r="T72" t="s">
        <v>1710</v>
      </c>
      <c r="U72" t="s">
        <v>74</v>
      </c>
      <c r="V72" t="s">
        <v>1711</v>
      </c>
      <c r="W72" t="s">
        <v>1712</v>
      </c>
      <c r="X72" t="s">
        <v>1713</v>
      </c>
      <c r="Y72" t="s">
        <v>1714</v>
      </c>
      <c r="Z72" t="s">
        <v>1715</v>
      </c>
      <c r="AA72" t="s">
        <v>1716</v>
      </c>
      <c r="AB72" t="s">
        <v>1717</v>
      </c>
      <c r="AC72" t="s">
        <v>1718</v>
      </c>
      <c r="AD72" t="s">
        <v>1719</v>
      </c>
      <c r="AE72" t="s">
        <v>1720</v>
      </c>
      <c r="AF72" t="s">
        <v>74</v>
      </c>
      <c r="AG72">
        <v>0</v>
      </c>
      <c r="AH72">
        <v>0</v>
      </c>
      <c r="AI72">
        <v>0</v>
      </c>
      <c r="AJ72">
        <v>2</v>
      </c>
      <c r="AK72">
        <v>15</v>
      </c>
      <c r="AL72" t="s">
        <v>171</v>
      </c>
      <c r="AM72" t="s">
        <v>172</v>
      </c>
      <c r="AN72" t="s">
        <v>173</v>
      </c>
      <c r="AO72" t="s">
        <v>1721</v>
      </c>
      <c r="AP72" t="s">
        <v>1722</v>
      </c>
      <c r="AQ72" t="s">
        <v>74</v>
      </c>
      <c r="AR72" t="s">
        <v>1709</v>
      </c>
      <c r="AS72" t="s">
        <v>1723</v>
      </c>
      <c r="AT72" t="s">
        <v>99</v>
      </c>
      <c r="AU72">
        <v>2022</v>
      </c>
      <c r="AV72">
        <v>103</v>
      </c>
      <c r="AW72">
        <v>3</v>
      </c>
      <c r="AX72" t="s">
        <v>74</v>
      </c>
      <c r="AY72" t="s">
        <v>74</v>
      </c>
      <c r="AZ72" t="s">
        <v>74</v>
      </c>
      <c r="BA72" t="s">
        <v>74</v>
      </c>
      <c r="BB72" t="s">
        <v>74</v>
      </c>
      <c r="BC72" t="s">
        <v>74</v>
      </c>
      <c r="BD72" t="s">
        <v>1724</v>
      </c>
      <c r="BE72" t="s">
        <v>1725</v>
      </c>
      <c r="BF72" t="str">
        <f>HYPERLINK("http://dx.doi.org/10.1002/ecy.3611","http://dx.doi.org/10.1002/ecy.3611")</f>
        <v>http://dx.doi.org/10.1002/ecy.3611</v>
      </c>
      <c r="BG72" t="s">
        <v>74</v>
      </c>
      <c r="BH72" t="s">
        <v>101</v>
      </c>
      <c r="BI72">
        <v>2</v>
      </c>
      <c r="BJ72" t="s">
        <v>1723</v>
      </c>
      <c r="BK72" t="s">
        <v>103</v>
      </c>
      <c r="BL72" t="s">
        <v>1561</v>
      </c>
      <c r="BM72" t="s">
        <v>1726</v>
      </c>
      <c r="BN72">
        <v>34921398</v>
      </c>
      <c r="BO72" t="s">
        <v>1727</v>
      </c>
      <c r="BP72" t="s">
        <v>74</v>
      </c>
      <c r="BQ72" t="s">
        <v>74</v>
      </c>
      <c r="BR72" t="s">
        <v>106</v>
      </c>
      <c r="BS72" t="s">
        <v>1728</v>
      </c>
      <c r="BT72" t="str">
        <f>HYPERLINK("https%3A%2F%2Fwww.webofscience.com%2Fwos%2Fwoscc%2Ffull-record%2FWOS:000752940600001","View Full Record in Web of Science")</f>
        <v>View Full Record in Web of Science</v>
      </c>
    </row>
    <row r="73" spans="1:72" x14ac:dyDescent="0.15">
      <c r="A73" t="s">
        <v>72</v>
      </c>
      <c r="B73" t="s">
        <v>1729</v>
      </c>
      <c r="C73" t="s">
        <v>74</v>
      </c>
      <c r="D73" t="s">
        <v>74</v>
      </c>
      <c r="E73" t="s">
        <v>74</v>
      </c>
      <c r="F73" t="s">
        <v>1730</v>
      </c>
      <c r="G73" t="s">
        <v>74</v>
      </c>
      <c r="H73" t="s">
        <v>74</v>
      </c>
      <c r="I73" t="s">
        <v>1731</v>
      </c>
      <c r="J73" t="s">
        <v>778</v>
      </c>
      <c r="K73" t="s">
        <v>74</v>
      </c>
      <c r="L73" t="s">
        <v>74</v>
      </c>
      <c r="M73" t="s">
        <v>78</v>
      </c>
      <c r="N73" t="s">
        <v>79</v>
      </c>
      <c r="O73" t="s">
        <v>74</v>
      </c>
      <c r="P73" t="s">
        <v>74</v>
      </c>
      <c r="Q73" t="s">
        <v>74</v>
      </c>
      <c r="R73" t="s">
        <v>74</v>
      </c>
      <c r="S73" t="s">
        <v>74</v>
      </c>
      <c r="T73" t="s">
        <v>1732</v>
      </c>
      <c r="U73" t="s">
        <v>1733</v>
      </c>
      <c r="V73" t="s">
        <v>1734</v>
      </c>
      <c r="W73" t="s">
        <v>1735</v>
      </c>
      <c r="X73" t="s">
        <v>1736</v>
      </c>
      <c r="Y73" t="s">
        <v>1737</v>
      </c>
      <c r="Z73" t="s">
        <v>1738</v>
      </c>
      <c r="AA73" t="s">
        <v>1739</v>
      </c>
      <c r="AB73" t="s">
        <v>1740</v>
      </c>
      <c r="AC73" t="s">
        <v>1741</v>
      </c>
      <c r="AD73" t="s">
        <v>1742</v>
      </c>
      <c r="AE73" t="s">
        <v>1743</v>
      </c>
      <c r="AF73" t="s">
        <v>74</v>
      </c>
      <c r="AG73">
        <v>122</v>
      </c>
      <c r="AH73">
        <v>5</v>
      </c>
      <c r="AI73">
        <v>8</v>
      </c>
      <c r="AJ73">
        <v>3</v>
      </c>
      <c r="AK73">
        <v>27</v>
      </c>
      <c r="AL73" t="s">
        <v>171</v>
      </c>
      <c r="AM73" t="s">
        <v>172</v>
      </c>
      <c r="AN73" t="s">
        <v>173</v>
      </c>
      <c r="AO73" t="s">
        <v>788</v>
      </c>
      <c r="AP73" t="s">
        <v>789</v>
      </c>
      <c r="AQ73" t="s">
        <v>74</v>
      </c>
      <c r="AR73" t="s">
        <v>790</v>
      </c>
      <c r="AS73" t="s">
        <v>791</v>
      </c>
      <c r="AT73" t="s">
        <v>99</v>
      </c>
      <c r="AU73">
        <v>2022</v>
      </c>
      <c r="AV73">
        <v>31</v>
      </c>
      <c r="AW73">
        <v>6</v>
      </c>
      <c r="AX73" t="s">
        <v>74</v>
      </c>
      <c r="AY73" t="s">
        <v>74</v>
      </c>
      <c r="AZ73" t="s">
        <v>74</v>
      </c>
      <c r="BA73" t="s">
        <v>74</v>
      </c>
      <c r="BB73">
        <v>1682</v>
      </c>
      <c r="BC73">
        <v>1699</v>
      </c>
      <c r="BD73" t="s">
        <v>74</v>
      </c>
      <c r="BE73" t="s">
        <v>1744</v>
      </c>
      <c r="BF73" t="str">
        <f>HYPERLINK("http://dx.doi.org/10.1111/mec.16365","http://dx.doi.org/10.1111/mec.16365")</f>
        <v>http://dx.doi.org/10.1111/mec.16365</v>
      </c>
      <c r="BG73" t="s">
        <v>74</v>
      </c>
      <c r="BH73" t="s">
        <v>101</v>
      </c>
      <c r="BI73">
        <v>18</v>
      </c>
      <c r="BJ73" t="s">
        <v>793</v>
      </c>
      <c r="BK73" t="s">
        <v>103</v>
      </c>
      <c r="BL73" t="s">
        <v>794</v>
      </c>
      <c r="BM73" t="s">
        <v>795</v>
      </c>
      <c r="BN73">
        <v>35068013</v>
      </c>
      <c r="BO73" t="s">
        <v>1745</v>
      </c>
      <c r="BP73" t="s">
        <v>74</v>
      </c>
      <c r="BQ73" t="s">
        <v>74</v>
      </c>
      <c r="BR73" t="s">
        <v>106</v>
      </c>
      <c r="BS73" t="s">
        <v>1746</v>
      </c>
      <c r="BT73" t="str">
        <f>HYPERLINK("https%3A%2F%2Fwww.webofscience.com%2Fwos%2Fwoscc%2Ffull-record%2FWOS:000752798300001","View Full Record in Web of Science")</f>
        <v>View Full Record in Web of Science</v>
      </c>
    </row>
    <row r="74" spans="1:72" x14ac:dyDescent="0.15">
      <c r="A74" t="s">
        <v>72</v>
      </c>
      <c r="B74" t="s">
        <v>1747</v>
      </c>
      <c r="C74" t="s">
        <v>74</v>
      </c>
      <c r="D74" t="s">
        <v>74</v>
      </c>
      <c r="E74" t="s">
        <v>74</v>
      </c>
      <c r="F74" t="s">
        <v>1748</v>
      </c>
      <c r="G74" t="s">
        <v>74</v>
      </c>
      <c r="H74" t="s">
        <v>74</v>
      </c>
      <c r="I74" t="s">
        <v>1749</v>
      </c>
      <c r="J74" t="s">
        <v>1593</v>
      </c>
      <c r="K74" t="s">
        <v>74</v>
      </c>
      <c r="L74" t="s">
        <v>74</v>
      </c>
      <c r="M74" t="s">
        <v>78</v>
      </c>
      <c r="N74" t="s">
        <v>79</v>
      </c>
      <c r="O74" t="s">
        <v>74</v>
      </c>
      <c r="P74" t="s">
        <v>74</v>
      </c>
      <c r="Q74" t="s">
        <v>74</v>
      </c>
      <c r="R74" t="s">
        <v>74</v>
      </c>
      <c r="S74" t="s">
        <v>74</v>
      </c>
      <c r="T74" t="s">
        <v>1750</v>
      </c>
      <c r="U74" t="s">
        <v>1751</v>
      </c>
      <c r="V74" t="s">
        <v>1752</v>
      </c>
      <c r="W74" t="s">
        <v>1753</v>
      </c>
      <c r="X74" t="s">
        <v>1754</v>
      </c>
      <c r="Y74" t="s">
        <v>1755</v>
      </c>
      <c r="Z74" t="s">
        <v>1756</v>
      </c>
      <c r="AA74" t="s">
        <v>74</v>
      </c>
      <c r="AB74" t="s">
        <v>1757</v>
      </c>
      <c r="AC74" t="s">
        <v>1758</v>
      </c>
      <c r="AD74" t="s">
        <v>1759</v>
      </c>
      <c r="AE74" t="s">
        <v>1760</v>
      </c>
      <c r="AF74" t="s">
        <v>74</v>
      </c>
      <c r="AG74">
        <v>52</v>
      </c>
      <c r="AH74">
        <v>15</v>
      </c>
      <c r="AI74">
        <v>16</v>
      </c>
      <c r="AJ74">
        <v>9</v>
      </c>
      <c r="AK74">
        <v>33</v>
      </c>
      <c r="AL74" t="s">
        <v>1603</v>
      </c>
      <c r="AM74" t="s">
        <v>93</v>
      </c>
      <c r="AN74" t="s">
        <v>1604</v>
      </c>
      <c r="AO74" t="s">
        <v>1605</v>
      </c>
      <c r="AP74" t="s">
        <v>1606</v>
      </c>
      <c r="AQ74" t="s">
        <v>74</v>
      </c>
      <c r="AR74" t="s">
        <v>1607</v>
      </c>
      <c r="AS74" t="s">
        <v>1608</v>
      </c>
      <c r="AT74" t="s">
        <v>1609</v>
      </c>
      <c r="AU74">
        <v>2022</v>
      </c>
      <c r="AV74">
        <v>79</v>
      </c>
      <c r="AW74">
        <v>3</v>
      </c>
      <c r="AX74" t="s">
        <v>74</v>
      </c>
      <c r="AY74" t="s">
        <v>74</v>
      </c>
      <c r="AZ74" t="s">
        <v>74</v>
      </c>
      <c r="BA74" t="s">
        <v>74</v>
      </c>
      <c r="BB74">
        <v>648</v>
      </c>
      <c r="BC74">
        <v>660</v>
      </c>
      <c r="BD74" t="s">
        <v>74</v>
      </c>
      <c r="BE74" t="s">
        <v>1761</v>
      </c>
      <c r="BF74" t="str">
        <f>HYPERLINK("http://dx.doi.org/10.1093/icesjms/fsac006","http://dx.doi.org/10.1093/icesjms/fsac006")</f>
        <v>http://dx.doi.org/10.1093/icesjms/fsac006</v>
      </c>
      <c r="BG74" t="s">
        <v>74</v>
      </c>
      <c r="BH74" t="s">
        <v>101</v>
      </c>
      <c r="BI74">
        <v>13</v>
      </c>
      <c r="BJ74" t="s">
        <v>1611</v>
      </c>
      <c r="BK74" t="s">
        <v>103</v>
      </c>
      <c r="BL74" t="s">
        <v>1611</v>
      </c>
      <c r="BM74" t="s">
        <v>1612</v>
      </c>
      <c r="BN74" t="s">
        <v>74</v>
      </c>
      <c r="BO74" t="s">
        <v>1762</v>
      </c>
      <c r="BP74" t="s">
        <v>74</v>
      </c>
      <c r="BQ74" t="s">
        <v>74</v>
      </c>
      <c r="BR74" t="s">
        <v>106</v>
      </c>
      <c r="BS74" t="s">
        <v>1763</v>
      </c>
      <c r="BT74" t="str">
        <f>HYPERLINK("https%3A%2F%2Fwww.webofscience.com%2Fwos%2Fwoscc%2Ffull-record%2FWOS:000768440200001","View Full Record in Web of Science")</f>
        <v>View Full Record in Web of Science</v>
      </c>
    </row>
    <row r="75" spans="1:72" x14ac:dyDescent="0.15">
      <c r="A75" t="s">
        <v>72</v>
      </c>
      <c r="B75" t="s">
        <v>1764</v>
      </c>
      <c r="C75" t="s">
        <v>74</v>
      </c>
      <c r="D75" t="s">
        <v>74</v>
      </c>
      <c r="E75" t="s">
        <v>74</v>
      </c>
      <c r="F75" t="s">
        <v>1765</v>
      </c>
      <c r="G75" t="s">
        <v>74</v>
      </c>
      <c r="H75" t="s">
        <v>74</v>
      </c>
      <c r="I75" t="s">
        <v>1766</v>
      </c>
      <c r="J75" t="s">
        <v>1635</v>
      </c>
      <c r="K75" t="s">
        <v>74</v>
      </c>
      <c r="L75" t="s">
        <v>74</v>
      </c>
      <c r="M75" t="s">
        <v>78</v>
      </c>
      <c r="N75" t="s">
        <v>1434</v>
      </c>
      <c r="O75" t="s">
        <v>74</v>
      </c>
      <c r="P75" t="s">
        <v>74</v>
      </c>
      <c r="Q75" t="s">
        <v>74</v>
      </c>
      <c r="R75" t="s">
        <v>74</v>
      </c>
      <c r="S75" t="s">
        <v>74</v>
      </c>
      <c r="T75" t="s">
        <v>74</v>
      </c>
      <c r="U75" t="s">
        <v>1767</v>
      </c>
      <c r="V75" t="s">
        <v>1768</v>
      </c>
      <c r="W75" t="s">
        <v>1769</v>
      </c>
      <c r="X75" t="s">
        <v>1770</v>
      </c>
      <c r="Y75" t="s">
        <v>1771</v>
      </c>
      <c r="Z75" t="s">
        <v>1772</v>
      </c>
      <c r="AA75" t="s">
        <v>1773</v>
      </c>
      <c r="AB75" t="s">
        <v>1774</v>
      </c>
      <c r="AC75" t="s">
        <v>1775</v>
      </c>
      <c r="AD75" t="s">
        <v>1776</v>
      </c>
      <c r="AE75" t="s">
        <v>1777</v>
      </c>
      <c r="AF75" t="s">
        <v>74</v>
      </c>
      <c r="AG75">
        <v>61</v>
      </c>
      <c r="AH75">
        <v>7</v>
      </c>
      <c r="AI75">
        <v>8</v>
      </c>
      <c r="AJ75">
        <v>4</v>
      </c>
      <c r="AK75">
        <v>23</v>
      </c>
      <c r="AL75" t="s">
        <v>120</v>
      </c>
      <c r="AM75" t="s">
        <v>121</v>
      </c>
      <c r="AN75" t="s">
        <v>122</v>
      </c>
      <c r="AO75" t="s">
        <v>1646</v>
      </c>
      <c r="AP75" t="s">
        <v>1647</v>
      </c>
      <c r="AQ75" t="s">
        <v>74</v>
      </c>
      <c r="AR75" t="s">
        <v>1648</v>
      </c>
      <c r="AS75" t="s">
        <v>1649</v>
      </c>
      <c r="AT75" t="s">
        <v>1778</v>
      </c>
      <c r="AU75">
        <v>2022</v>
      </c>
      <c r="AV75">
        <v>14</v>
      </c>
      <c r="AW75">
        <v>2</v>
      </c>
      <c r="AX75" t="s">
        <v>74</v>
      </c>
      <c r="AY75" t="s">
        <v>74</v>
      </c>
      <c r="AZ75" t="s">
        <v>74</v>
      </c>
      <c r="BA75" t="s">
        <v>74</v>
      </c>
      <c r="BB75">
        <v>535</v>
      </c>
      <c r="BC75">
        <v>557</v>
      </c>
      <c r="BD75" t="s">
        <v>74</v>
      </c>
      <c r="BE75" t="s">
        <v>1779</v>
      </c>
      <c r="BF75" t="str">
        <f>HYPERLINK("http://dx.doi.org/10.5194/essd-14-535-2022","http://dx.doi.org/10.5194/essd-14-535-2022")</f>
        <v>http://dx.doi.org/10.5194/essd-14-535-2022</v>
      </c>
      <c r="BG75" t="s">
        <v>74</v>
      </c>
      <c r="BH75" t="s">
        <v>74</v>
      </c>
      <c r="BI75">
        <v>23</v>
      </c>
      <c r="BJ75" t="s">
        <v>1201</v>
      </c>
      <c r="BK75" t="s">
        <v>103</v>
      </c>
      <c r="BL75" t="s">
        <v>1202</v>
      </c>
      <c r="BM75" t="s">
        <v>1780</v>
      </c>
      <c r="BN75" t="s">
        <v>74</v>
      </c>
      <c r="BO75" t="s">
        <v>132</v>
      </c>
      <c r="BP75" t="s">
        <v>74</v>
      </c>
      <c r="BQ75" t="s">
        <v>74</v>
      </c>
      <c r="BR75" t="s">
        <v>106</v>
      </c>
      <c r="BS75" t="s">
        <v>1781</v>
      </c>
      <c r="BT75" t="str">
        <f>HYPERLINK("https%3A%2F%2Fwww.webofscience.com%2Fwos%2Fwoscc%2Ffull-record%2FWOS:000758074900001","View Full Record in Web of Science")</f>
        <v>View Full Record in Web of Science</v>
      </c>
    </row>
    <row r="76" spans="1:72" x14ac:dyDescent="0.15">
      <c r="A76" t="s">
        <v>72</v>
      </c>
      <c r="B76" t="s">
        <v>1782</v>
      </c>
      <c r="C76" t="s">
        <v>74</v>
      </c>
      <c r="D76" t="s">
        <v>74</v>
      </c>
      <c r="E76" t="s">
        <v>74</v>
      </c>
      <c r="F76" t="s">
        <v>1783</v>
      </c>
      <c r="G76" t="s">
        <v>74</v>
      </c>
      <c r="H76" t="s">
        <v>74</v>
      </c>
      <c r="I76" t="s">
        <v>1784</v>
      </c>
      <c r="J76" t="s">
        <v>1063</v>
      </c>
      <c r="K76" t="s">
        <v>74</v>
      </c>
      <c r="L76" t="s">
        <v>74</v>
      </c>
      <c r="M76" t="s">
        <v>78</v>
      </c>
      <c r="N76" t="s">
        <v>79</v>
      </c>
      <c r="O76" t="s">
        <v>74</v>
      </c>
      <c r="P76" t="s">
        <v>74</v>
      </c>
      <c r="Q76" t="s">
        <v>74</v>
      </c>
      <c r="R76" t="s">
        <v>74</v>
      </c>
      <c r="S76" t="s">
        <v>74</v>
      </c>
      <c r="T76" t="s">
        <v>1785</v>
      </c>
      <c r="U76" t="s">
        <v>1786</v>
      </c>
      <c r="V76" t="s">
        <v>1787</v>
      </c>
      <c r="W76" t="s">
        <v>1788</v>
      </c>
      <c r="X76" t="s">
        <v>1789</v>
      </c>
      <c r="Y76" t="s">
        <v>1790</v>
      </c>
      <c r="Z76" t="s">
        <v>1791</v>
      </c>
      <c r="AA76" t="s">
        <v>74</v>
      </c>
      <c r="AB76" t="s">
        <v>1792</v>
      </c>
      <c r="AC76" t="s">
        <v>1793</v>
      </c>
      <c r="AD76" t="s">
        <v>1794</v>
      </c>
      <c r="AE76" t="s">
        <v>1795</v>
      </c>
      <c r="AF76" t="s">
        <v>74</v>
      </c>
      <c r="AG76">
        <v>78</v>
      </c>
      <c r="AH76">
        <v>4</v>
      </c>
      <c r="AI76">
        <v>4</v>
      </c>
      <c r="AJ76">
        <v>2</v>
      </c>
      <c r="AK76">
        <v>13</v>
      </c>
      <c r="AL76" t="s">
        <v>1074</v>
      </c>
      <c r="AM76" t="s">
        <v>506</v>
      </c>
      <c r="AN76" t="s">
        <v>1075</v>
      </c>
      <c r="AO76" t="s">
        <v>1076</v>
      </c>
      <c r="AP76" t="s">
        <v>1077</v>
      </c>
      <c r="AQ76" t="s">
        <v>74</v>
      </c>
      <c r="AR76" t="s">
        <v>1078</v>
      </c>
      <c r="AS76" t="s">
        <v>1079</v>
      </c>
      <c r="AT76" t="s">
        <v>537</v>
      </c>
      <c r="AU76">
        <v>2022</v>
      </c>
      <c r="AV76">
        <v>45</v>
      </c>
      <c r="AW76">
        <v>4</v>
      </c>
      <c r="AX76" t="s">
        <v>74</v>
      </c>
      <c r="AY76" t="s">
        <v>74</v>
      </c>
      <c r="AZ76" t="s">
        <v>74</v>
      </c>
      <c r="BA76" t="s">
        <v>74</v>
      </c>
      <c r="BB76">
        <v>559</v>
      </c>
      <c r="BC76">
        <v>572</v>
      </c>
      <c r="BD76" t="s">
        <v>74</v>
      </c>
      <c r="BE76" t="s">
        <v>1796</v>
      </c>
      <c r="BF76" t="str">
        <f>HYPERLINK("http://dx.doi.org/10.1007/s00300-021-02991-5","http://dx.doi.org/10.1007/s00300-021-02991-5")</f>
        <v>http://dx.doi.org/10.1007/s00300-021-02991-5</v>
      </c>
      <c r="BG76" t="s">
        <v>74</v>
      </c>
      <c r="BH76" t="s">
        <v>101</v>
      </c>
      <c r="BI76">
        <v>14</v>
      </c>
      <c r="BJ76" t="s">
        <v>1081</v>
      </c>
      <c r="BK76" t="s">
        <v>103</v>
      </c>
      <c r="BL76" t="s">
        <v>1082</v>
      </c>
      <c r="BM76" t="s">
        <v>1083</v>
      </c>
      <c r="BN76" t="s">
        <v>74</v>
      </c>
      <c r="BO76" t="s">
        <v>1336</v>
      </c>
      <c r="BP76" t="s">
        <v>74</v>
      </c>
      <c r="BQ76" t="s">
        <v>74</v>
      </c>
      <c r="BR76" t="s">
        <v>106</v>
      </c>
      <c r="BS76" t="s">
        <v>1797</v>
      </c>
      <c r="BT76" t="str">
        <f>HYPERLINK("https%3A%2F%2Fwww.webofscience.com%2Fwos%2Fwoscc%2Ffull-record%2FWOS:000753902500001","View Full Record in Web of Science")</f>
        <v>View Full Record in Web of Science</v>
      </c>
    </row>
    <row r="77" spans="1:72" x14ac:dyDescent="0.15">
      <c r="A77" t="s">
        <v>72</v>
      </c>
      <c r="B77" t="s">
        <v>1798</v>
      </c>
      <c r="C77" t="s">
        <v>74</v>
      </c>
      <c r="D77" t="s">
        <v>74</v>
      </c>
      <c r="E77" t="s">
        <v>74</v>
      </c>
      <c r="F77" t="s">
        <v>1799</v>
      </c>
      <c r="G77" t="s">
        <v>74</v>
      </c>
      <c r="H77" t="s">
        <v>74</v>
      </c>
      <c r="I77" t="s">
        <v>1800</v>
      </c>
      <c r="J77" t="s">
        <v>1063</v>
      </c>
      <c r="K77" t="s">
        <v>74</v>
      </c>
      <c r="L77" t="s">
        <v>74</v>
      </c>
      <c r="M77" t="s">
        <v>78</v>
      </c>
      <c r="N77" t="s">
        <v>79</v>
      </c>
      <c r="O77" t="s">
        <v>74</v>
      </c>
      <c r="P77" t="s">
        <v>74</v>
      </c>
      <c r="Q77" t="s">
        <v>74</v>
      </c>
      <c r="R77" t="s">
        <v>74</v>
      </c>
      <c r="S77" t="s">
        <v>74</v>
      </c>
      <c r="T77" t="s">
        <v>1801</v>
      </c>
      <c r="U77" t="s">
        <v>1802</v>
      </c>
      <c r="V77" t="s">
        <v>1803</v>
      </c>
      <c r="W77" t="s">
        <v>1804</v>
      </c>
      <c r="X77" t="s">
        <v>1805</v>
      </c>
      <c r="Y77" t="s">
        <v>1806</v>
      </c>
      <c r="Z77" t="s">
        <v>1807</v>
      </c>
      <c r="AA77" t="s">
        <v>74</v>
      </c>
      <c r="AB77" t="s">
        <v>1808</v>
      </c>
      <c r="AC77" t="s">
        <v>74</v>
      </c>
      <c r="AD77" t="s">
        <v>74</v>
      </c>
      <c r="AE77" t="s">
        <v>74</v>
      </c>
      <c r="AF77" t="s">
        <v>74</v>
      </c>
      <c r="AG77">
        <v>43</v>
      </c>
      <c r="AH77">
        <v>2</v>
      </c>
      <c r="AI77">
        <v>2</v>
      </c>
      <c r="AJ77">
        <v>0</v>
      </c>
      <c r="AK77">
        <v>8</v>
      </c>
      <c r="AL77" t="s">
        <v>1074</v>
      </c>
      <c r="AM77" t="s">
        <v>506</v>
      </c>
      <c r="AN77" t="s">
        <v>1075</v>
      </c>
      <c r="AO77" t="s">
        <v>1076</v>
      </c>
      <c r="AP77" t="s">
        <v>1077</v>
      </c>
      <c r="AQ77" t="s">
        <v>74</v>
      </c>
      <c r="AR77" t="s">
        <v>1078</v>
      </c>
      <c r="AS77" t="s">
        <v>1079</v>
      </c>
      <c r="AT77" t="s">
        <v>537</v>
      </c>
      <c r="AU77">
        <v>2022</v>
      </c>
      <c r="AV77">
        <v>45</v>
      </c>
      <c r="AW77">
        <v>4</v>
      </c>
      <c r="AX77" t="s">
        <v>74</v>
      </c>
      <c r="AY77" t="s">
        <v>74</v>
      </c>
      <c r="AZ77" t="s">
        <v>74</v>
      </c>
      <c r="BA77" t="s">
        <v>74</v>
      </c>
      <c r="BB77">
        <v>573</v>
      </c>
      <c r="BC77">
        <v>583</v>
      </c>
      <c r="BD77" t="s">
        <v>74</v>
      </c>
      <c r="BE77" t="s">
        <v>1809</v>
      </c>
      <c r="BF77" t="str">
        <f>HYPERLINK("http://dx.doi.org/10.1007/s00300-021-03003-2","http://dx.doi.org/10.1007/s00300-021-03003-2")</f>
        <v>http://dx.doi.org/10.1007/s00300-021-03003-2</v>
      </c>
      <c r="BG77" t="s">
        <v>74</v>
      </c>
      <c r="BH77" t="s">
        <v>101</v>
      </c>
      <c r="BI77">
        <v>11</v>
      </c>
      <c r="BJ77" t="s">
        <v>1081</v>
      </c>
      <c r="BK77" t="s">
        <v>103</v>
      </c>
      <c r="BL77" t="s">
        <v>1082</v>
      </c>
      <c r="BM77" t="s">
        <v>1083</v>
      </c>
      <c r="BN77" t="s">
        <v>74</v>
      </c>
      <c r="BO77" t="s">
        <v>74</v>
      </c>
      <c r="BP77" t="s">
        <v>74</v>
      </c>
      <c r="BQ77" t="s">
        <v>74</v>
      </c>
      <c r="BR77" t="s">
        <v>106</v>
      </c>
      <c r="BS77" t="s">
        <v>1810</v>
      </c>
      <c r="BT77" t="str">
        <f>HYPERLINK("https%3A%2F%2Fwww.webofscience.com%2Fwos%2Fwoscc%2Ffull-record%2FWOS:000753902500003","View Full Record in Web of Science")</f>
        <v>View Full Record in Web of Science</v>
      </c>
    </row>
    <row r="78" spans="1:72" x14ac:dyDescent="0.15">
      <c r="A78" t="s">
        <v>72</v>
      </c>
      <c r="B78" t="s">
        <v>1811</v>
      </c>
      <c r="C78" t="s">
        <v>74</v>
      </c>
      <c r="D78" t="s">
        <v>74</v>
      </c>
      <c r="E78" t="s">
        <v>74</v>
      </c>
      <c r="F78" t="s">
        <v>1812</v>
      </c>
      <c r="G78" t="s">
        <v>74</v>
      </c>
      <c r="H78" t="s">
        <v>74</v>
      </c>
      <c r="I78" t="s">
        <v>1813</v>
      </c>
      <c r="J78" t="s">
        <v>424</v>
      </c>
      <c r="K78" t="s">
        <v>74</v>
      </c>
      <c r="L78" t="s">
        <v>74</v>
      </c>
      <c r="M78" t="s">
        <v>78</v>
      </c>
      <c r="N78" t="s">
        <v>79</v>
      </c>
      <c r="O78" t="s">
        <v>74</v>
      </c>
      <c r="P78" t="s">
        <v>74</v>
      </c>
      <c r="Q78" t="s">
        <v>74</v>
      </c>
      <c r="R78" t="s">
        <v>74</v>
      </c>
      <c r="S78" t="s">
        <v>74</v>
      </c>
      <c r="T78" t="s">
        <v>74</v>
      </c>
      <c r="U78" t="s">
        <v>1814</v>
      </c>
      <c r="V78" t="s">
        <v>1815</v>
      </c>
      <c r="W78" t="s">
        <v>1816</v>
      </c>
      <c r="X78" t="s">
        <v>1817</v>
      </c>
      <c r="Y78" t="s">
        <v>1818</v>
      </c>
      <c r="Z78" t="s">
        <v>1819</v>
      </c>
      <c r="AA78" t="s">
        <v>74</v>
      </c>
      <c r="AB78" t="s">
        <v>1820</v>
      </c>
      <c r="AC78" t="s">
        <v>1821</v>
      </c>
      <c r="AD78" t="s">
        <v>1822</v>
      </c>
      <c r="AE78" t="s">
        <v>1823</v>
      </c>
      <c r="AF78" t="s">
        <v>74</v>
      </c>
      <c r="AG78">
        <v>63</v>
      </c>
      <c r="AH78">
        <v>8</v>
      </c>
      <c r="AI78">
        <v>8</v>
      </c>
      <c r="AJ78">
        <v>3</v>
      </c>
      <c r="AK78">
        <v>22</v>
      </c>
      <c r="AL78" t="s">
        <v>435</v>
      </c>
      <c r="AM78" t="s">
        <v>436</v>
      </c>
      <c r="AN78" t="s">
        <v>437</v>
      </c>
      <c r="AO78" t="s">
        <v>74</v>
      </c>
      <c r="AP78" t="s">
        <v>438</v>
      </c>
      <c r="AQ78" t="s">
        <v>74</v>
      </c>
      <c r="AR78" t="s">
        <v>439</v>
      </c>
      <c r="AS78" t="s">
        <v>440</v>
      </c>
      <c r="AT78" t="s">
        <v>1778</v>
      </c>
      <c r="AU78">
        <v>2022</v>
      </c>
      <c r="AV78">
        <v>3</v>
      </c>
      <c r="AW78">
        <v>1</v>
      </c>
      <c r="AX78" t="s">
        <v>74</v>
      </c>
      <c r="AY78" t="s">
        <v>74</v>
      </c>
      <c r="AZ78" t="s">
        <v>74</v>
      </c>
      <c r="BA78" t="s">
        <v>74</v>
      </c>
      <c r="BB78" t="s">
        <v>74</v>
      </c>
      <c r="BC78" t="s">
        <v>74</v>
      </c>
      <c r="BD78">
        <v>20</v>
      </c>
      <c r="BE78" t="s">
        <v>1824</v>
      </c>
      <c r="BF78" t="str">
        <f>HYPERLINK("http://dx.doi.org/10.1038/s43247-022-00352-6","http://dx.doi.org/10.1038/s43247-022-00352-6")</f>
        <v>http://dx.doi.org/10.1038/s43247-022-00352-6</v>
      </c>
      <c r="BG78" t="s">
        <v>74</v>
      </c>
      <c r="BH78" t="s">
        <v>74</v>
      </c>
      <c r="BI78">
        <v>8</v>
      </c>
      <c r="BJ78" t="s">
        <v>442</v>
      </c>
      <c r="BK78" t="s">
        <v>103</v>
      </c>
      <c r="BL78" t="s">
        <v>443</v>
      </c>
      <c r="BM78" t="s">
        <v>1825</v>
      </c>
      <c r="BN78" t="s">
        <v>74</v>
      </c>
      <c r="BO78" t="s">
        <v>292</v>
      </c>
      <c r="BP78" t="s">
        <v>74</v>
      </c>
      <c r="BQ78" t="s">
        <v>74</v>
      </c>
      <c r="BR78" t="s">
        <v>106</v>
      </c>
      <c r="BS78" t="s">
        <v>1826</v>
      </c>
      <c r="BT78" t="str">
        <f>HYPERLINK("https%3A%2F%2Fwww.webofscience.com%2Fwos%2Fwoscc%2Ffull-record%2FWOS:000752909100001","View Full Record in Web of Science")</f>
        <v>View Full Record in Web of Science</v>
      </c>
    </row>
    <row r="79" spans="1:72" x14ac:dyDescent="0.15">
      <c r="A79" t="s">
        <v>72</v>
      </c>
      <c r="B79" t="s">
        <v>1827</v>
      </c>
      <c r="C79" t="s">
        <v>74</v>
      </c>
      <c r="D79" t="s">
        <v>74</v>
      </c>
      <c r="E79" t="s">
        <v>74</v>
      </c>
      <c r="F79" t="s">
        <v>1828</v>
      </c>
      <c r="G79" t="s">
        <v>74</v>
      </c>
      <c r="H79" t="s">
        <v>74</v>
      </c>
      <c r="I79" t="s">
        <v>1829</v>
      </c>
      <c r="J79" t="s">
        <v>1830</v>
      </c>
      <c r="K79" t="s">
        <v>74</v>
      </c>
      <c r="L79" t="s">
        <v>74</v>
      </c>
      <c r="M79" t="s">
        <v>78</v>
      </c>
      <c r="N79" t="s">
        <v>1113</v>
      </c>
      <c r="O79" t="s">
        <v>74</v>
      </c>
      <c r="P79" t="s">
        <v>74</v>
      </c>
      <c r="Q79" t="s">
        <v>74</v>
      </c>
      <c r="R79" t="s">
        <v>74</v>
      </c>
      <c r="S79" t="s">
        <v>74</v>
      </c>
      <c r="T79" t="s">
        <v>1831</v>
      </c>
      <c r="U79" t="s">
        <v>1832</v>
      </c>
      <c r="V79" t="s">
        <v>1833</v>
      </c>
      <c r="W79" t="s">
        <v>1834</v>
      </c>
      <c r="X79" t="s">
        <v>1835</v>
      </c>
      <c r="Y79" t="s">
        <v>1836</v>
      </c>
      <c r="Z79" t="s">
        <v>1837</v>
      </c>
      <c r="AA79" t="s">
        <v>1838</v>
      </c>
      <c r="AB79" t="s">
        <v>1839</v>
      </c>
      <c r="AC79" t="s">
        <v>1840</v>
      </c>
      <c r="AD79" t="s">
        <v>1841</v>
      </c>
      <c r="AE79" t="s">
        <v>1842</v>
      </c>
      <c r="AF79" t="s">
        <v>74</v>
      </c>
      <c r="AG79">
        <v>123</v>
      </c>
      <c r="AH79">
        <v>10</v>
      </c>
      <c r="AI79">
        <v>10</v>
      </c>
      <c r="AJ79">
        <v>11</v>
      </c>
      <c r="AK79">
        <v>45</v>
      </c>
      <c r="AL79" t="s">
        <v>310</v>
      </c>
      <c r="AM79" t="s">
        <v>311</v>
      </c>
      <c r="AN79" t="s">
        <v>312</v>
      </c>
      <c r="AO79" t="s">
        <v>1843</v>
      </c>
      <c r="AP79" t="s">
        <v>1844</v>
      </c>
      <c r="AQ79" t="s">
        <v>74</v>
      </c>
      <c r="AR79" t="s">
        <v>1845</v>
      </c>
      <c r="AS79" t="s">
        <v>1846</v>
      </c>
      <c r="AT79" t="s">
        <v>99</v>
      </c>
      <c r="AU79">
        <v>2022</v>
      </c>
      <c r="AV79">
        <v>226</v>
      </c>
      <c r="AW79" t="s">
        <v>74</v>
      </c>
      <c r="AX79" t="s">
        <v>74</v>
      </c>
      <c r="AY79" t="s">
        <v>74</v>
      </c>
      <c r="AZ79" t="s">
        <v>74</v>
      </c>
      <c r="BA79" t="s">
        <v>74</v>
      </c>
      <c r="BB79" t="s">
        <v>74</v>
      </c>
      <c r="BC79" t="s">
        <v>74</v>
      </c>
      <c r="BD79">
        <v>103956</v>
      </c>
      <c r="BE79" t="s">
        <v>1847</v>
      </c>
      <c r="BF79" t="str">
        <f>HYPERLINK("http://dx.doi.org/10.1016/j.earscirev.2022.103956","http://dx.doi.org/10.1016/j.earscirev.2022.103956")</f>
        <v>http://dx.doi.org/10.1016/j.earscirev.2022.103956</v>
      </c>
      <c r="BG79" t="s">
        <v>74</v>
      </c>
      <c r="BH79" t="s">
        <v>101</v>
      </c>
      <c r="BI79">
        <v>14</v>
      </c>
      <c r="BJ79" t="s">
        <v>151</v>
      </c>
      <c r="BK79" t="s">
        <v>103</v>
      </c>
      <c r="BL79" t="s">
        <v>152</v>
      </c>
      <c r="BM79" t="s">
        <v>1848</v>
      </c>
      <c r="BN79" t="s">
        <v>74</v>
      </c>
      <c r="BO79" t="s">
        <v>74</v>
      </c>
      <c r="BP79" t="s">
        <v>74</v>
      </c>
      <c r="BQ79" t="s">
        <v>74</v>
      </c>
      <c r="BR79" t="s">
        <v>106</v>
      </c>
      <c r="BS79" t="s">
        <v>1849</v>
      </c>
      <c r="BT79" t="str">
        <f>HYPERLINK("https%3A%2F%2Fwww.webofscience.com%2Fwos%2Fwoscc%2Ffull-record%2FWOS:000820128600002","View Full Record in Web of Science")</f>
        <v>View Full Record in Web of Science</v>
      </c>
    </row>
    <row r="80" spans="1:72" x14ac:dyDescent="0.15">
      <c r="A80" t="s">
        <v>72</v>
      </c>
      <c r="B80" t="s">
        <v>1850</v>
      </c>
      <c r="C80" t="s">
        <v>74</v>
      </c>
      <c r="D80" t="s">
        <v>74</v>
      </c>
      <c r="E80" t="s">
        <v>74</v>
      </c>
      <c r="F80" t="s">
        <v>1851</v>
      </c>
      <c r="G80" t="s">
        <v>74</v>
      </c>
      <c r="H80" t="s">
        <v>74</v>
      </c>
      <c r="I80" t="s">
        <v>1852</v>
      </c>
      <c r="J80" t="s">
        <v>1853</v>
      </c>
      <c r="K80" t="s">
        <v>74</v>
      </c>
      <c r="L80" t="s">
        <v>74</v>
      </c>
      <c r="M80" t="s">
        <v>78</v>
      </c>
      <c r="N80" t="s">
        <v>79</v>
      </c>
      <c r="O80" t="s">
        <v>74</v>
      </c>
      <c r="P80" t="s">
        <v>74</v>
      </c>
      <c r="Q80" t="s">
        <v>74</v>
      </c>
      <c r="R80" t="s">
        <v>74</v>
      </c>
      <c r="S80" t="s">
        <v>74</v>
      </c>
      <c r="T80" t="s">
        <v>74</v>
      </c>
      <c r="U80" t="s">
        <v>1854</v>
      </c>
      <c r="V80" t="s">
        <v>1855</v>
      </c>
      <c r="W80" t="s">
        <v>1856</v>
      </c>
      <c r="X80" t="s">
        <v>1857</v>
      </c>
      <c r="Y80" t="s">
        <v>1858</v>
      </c>
      <c r="Z80" t="s">
        <v>1859</v>
      </c>
      <c r="AA80" t="s">
        <v>1860</v>
      </c>
      <c r="AB80" t="s">
        <v>1861</v>
      </c>
      <c r="AC80" t="s">
        <v>1862</v>
      </c>
      <c r="AD80" t="s">
        <v>1863</v>
      </c>
      <c r="AE80" t="s">
        <v>1864</v>
      </c>
      <c r="AF80" t="s">
        <v>74</v>
      </c>
      <c r="AG80">
        <v>91</v>
      </c>
      <c r="AH80">
        <v>0</v>
      </c>
      <c r="AI80">
        <v>0</v>
      </c>
      <c r="AJ80">
        <v>1</v>
      </c>
      <c r="AK80">
        <v>3</v>
      </c>
      <c r="AL80" t="s">
        <v>505</v>
      </c>
      <c r="AM80" t="s">
        <v>506</v>
      </c>
      <c r="AN80" t="s">
        <v>507</v>
      </c>
      <c r="AO80" t="s">
        <v>1865</v>
      </c>
      <c r="AP80" t="s">
        <v>1866</v>
      </c>
      <c r="AQ80" t="s">
        <v>74</v>
      </c>
      <c r="AR80" t="s">
        <v>1867</v>
      </c>
      <c r="AS80" t="s">
        <v>1868</v>
      </c>
      <c r="AT80" t="s">
        <v>178</v>
      </c>
      <c r="AU80">
        <v>2022</v>
      </c>
      <c r="AV80">
        <v>267</v>
      </c>
      <c r="AW80" t="s">
        <v>74</v>
      </c>
      <c r="AX80" t="s">
        <v>74</v>
      </c>
      <c r="AY80" t="s">
        <v>74</v>
      </c>
      <c r="AZ80" t="s">
        <v>74</v>
      </c>
      <c r="BA80" t="s">
        <v>74</v>
      </c>
      <c r="BB80" t="s">
        <v>74</v>
      </c>
      <c r="BC80" t="s">
        <v>74</v>
      </c>
      <c r="BD80">
        <v>111158</v>
      </c>
      <c r="BE80" t="s">
        <v>1869</v>
      </c>
      <c r="BF80" t="str">
        <f>HYPERLINK("http://dx.doi.org/10.1016/j.cbpa.2022.111158","http://dx.doi.org/10.1016/j.cbpa.2022.111158")</f>
        <v>http://dx.doi.org/10.1016/j.cbpa.2022.111158</v>
      </c>
      <c r="BG80" t="s">
        <v>74</v>
      </c>
      <c r="BH80" t="s">
        <v>101</v>
      </c>
      <c r="BI80">
        <v>15</v>
      </c>
      <c r="BJ80" t="s">
        <v>1870</v>
      </c>
      <c r="BK80" t="s">
        <v>103</v>
      </c>
      <c r="BL80" t="s">
        <v>1870</v>
      </c>
      <c r="BM80" t="s">
        <v>1871</v>
      </c>
      <c r="BN80">
        <v>35123064</v>
      </c>
      <c r="BO80" t="s">
        <v>74</v>
      </c>
      <c r="BP80" t="s">
        <v>74</v>
      </c>
      <c r="BQ80" t="s">
        <v>74</v>
      </c>
      <c r="BR80" t="s">
        <v>106</v>
      </c>
      <c r="BS80" t="s">
        <v>1872</v>
      </c>
      <c r="BT80" t="str">
        <f>HYPERLINK("https%3A%2F%2Fwww.webofscience.com%2Fwos%2Fwoscc%2Ffull-record%2FWOS:000793732700015","View Full Record in Web of Science")</f>
        <v>View Full Record in Web of Science</v>
      </c>
    </row>
    <row r="81" spans="1:72" x14ac:dyDescent="0.15">
      <c r="A81" t="s">
        <v>72</v>
      </c>
      <c r="B81" t="s">
        <v>1873</v>
      </c>
      <c r="C81" t="s">
        <v>74</v>
      </c>
      <c r="D81" t="s">
        <v>74</v>
      </c>
      <c r="E81" t="s">
        <v>74</v>
      </c>
      <c r="F81" t="s">
        <v>1874</v>
      </c>
      <c r="G81" t="s">
        <v>74</v>
      </c>
      <c r="H81" t="s">
        <v>74</v>
      </c>
      <c r="I81" t="s">
        <v>1875</v>
      </c>
      <c r="J81" t="s">
        <v>1830</v>
      </c>
      <c r="K81" t="s">
        <v>74</v>
      </c>
      <c r="L81" t="s">
        <v>74</v>
      </c>
      <c r="M81" t="s">
        <v>78</v>
      </c>
      <c r="N81" t="s">
        <v>79</v>
      </c>
      <c r="O81" t="s">
        <v>74</v>
      </c>
      <c r="P81" t="s">
        <v>74</v>
      </c>
      <c r="Q81" t="s">
        <v>74</v>
      </c>
      <c r="R81" t="s">
        <v>74</v>
      </c>
      <c r="S81" t="s">
        <v>74</v>
      </c>
      <c r="T81" t="s">
        <v>1876</v>
      </c>
      <c r="U81" t="s">
        <v>1877</v>
      </c>
      <c r="V81" t="s">
        <v>1878</v>
      </c>
      <c r="W81" t="s">
        <v>1879</v>
      </c>
      <c r="X81" t="s">
        <v>1880</v>
      </c>
      <c r="Y81" t="s">
        <v>1881</v>
      </c>
      <c r="Z81" t="s">
        <v>1882</v>
      </c>
      <c r="AA81" t="s">
        <v>1883</v>
      </c>
      <c r="AB81" t="s">
        <v>1884</v>
      </c>
      <c r="AC81" t="s">
        <v>1885</v>
      </c>
      <c r="AD81" t="s">
        <v>1886</v>
      </c>
      <c r="AE81" t="s">
        <v>1887</v>
      </c>
      <c r="AF81" t="s">
        <v>74</v>
      </c>
      <c r="AG81">
        <v>143</v>
      </c>
      <c r="AH81">
        <v>36</v>
      </c>
      <c r="AI81">
        <v>40</v>
      </c>
      <c r="AJ81">
        <v>27</v>
      </c>
      <c r="AK81">
        <v>134</v>
      </c>
      <c r="AL81" t="s">
        <v>310</v>
      </c>
      <c r="AM81" t="s">
        <v>311</v>
      </c>
      <c r="AN81" t="s">
        <v>312</v>
      </c>
      <c r="AO81" t="s">
        <v>1843</v>
      </c>
      <c r="AP81" t="s">
        <v>1844</v>
      </c>
      <c r="AQ81" t="s">
        <v>74</v>
      </c>
      <c r="AR81" t="s">
        <v>1845</v>
      </c>
      <c r="AS81" t="s">
        <v>1846</v>
      </c>
      <c r="AT81" t="s">
        <v>99</v>
      </c>
      <c r="AU81">
        <v>2022</v>
      </c>
      <c r="AV81">
        <v>226</v>
      </c>
      <c r="AW81" t="s">
        <v>74</v>
      </c>
      <c r="AX81" t="s">
        <v>74</v>
      </c>
      <c r="AY81" t="s">
        <v>74</v>
      </c>
      <c r="AZ81" t="s">
        <v>74</v>
      </c>
      <c r="BA81" t="s">
        <v>74</v>
      </c>
      <c r="BB81" t="s">
        <v>74</v>
      </c>
      <c r="BC81" t="s">
        <v>74</v>
      </c>
      <c r="BD81">
        <v>103924</v>
      </c>
      <c r="BE81" t="s">
        <v>1888</v>
      </c>
      <c r="BF81" t="str">
        <f>HYPERLINK("http://dx.doi.org/10.1016/j.earscirev.2022.103924","http://dx.doi.org/10.1016/j.earscirev.2022.103924")</f>
        <v>http://dx.doi.org/10.1016/j.earscirev.2022.103924</v>
      </c>
      <c r="BG81" t="s">
        <v>74</v>
      </c>
      <c r="BH81" t="s">
        <v>101</v>
      </c>
      <c r="BI81">
        <v>16</v>
      </c>
      <c r="BJ81" t="s">
        <v>151</v>
      </c>
      <c r="BK81" t="s">
        <v>103</v>
      </c>
      <c r="BL81" t="s">
        <v>152</v>
      </c>
      <c r="BM81" t="s">
        <v>1889</v>
      </c>
      <c r="BN81" t="s">
        <v>74</v>
      </c>
      <c r="BO81" t="s">
        <v>1890</v>
      </c>
      <c r="BP81" t="s">
        <v>74</v>
      </c>
      <c r="BQ81" t="s">
        <v>74</v>
      </c>
      <c r="BR81" t="s">
        <v>106</v>
      </c>
      <c r="BS81" t="s">
        <v>1891</v>
      </c>
      <c r="BT81" t="str">
        <f>HYPERLINK("https%3A%2F%2Fwww.webofscience.com%2Fwos%2Fwoscc%2Ffull-record%2FWOS:000778933500002","View Full Record in Web of Science")</f>
        <v>View Full Record in Web of Science</v>
      </c>
    </row>
    <row r="82" spans="1:72" x14ac:dyDescent="0.15">
      <c r="A82" t="s">
        <v>72</v>
      </c>
      <c r="B82" t="s">
        <v>1892</v>
      </c>
      <c r="C82" t="s">
        <v>74</v>
      </c>
      <c r="D82" t="s">
        <v>74</v>
      </c>
      <c r="E82" t="s">
        <v>74</v>
      </c>
      <c r="F82" t="s">
        <v>1893</v>
      </c>
      <c r="G82" t="s">
        <v>74</v>
      </c>
      <c r="H82" t="s">
        <v>74</v>
      </c>
      <c r="I82" t="s">
        <v>1894</v>
      </c>
      <c r="J82" t="s">
        <v>1895</v>
      </c>
      <c r="K82" t="s">
        <v>74</v>
      </c>
      <c r="L82" t="s">
        <v>74</v>
      </c>
      <c r="M82" t="s">
        <v>78</v>
      </c>
      <c r="N82" t="s">
        <v>79</v>
      </c>
      <c r="O82" t="s">
        <v>74</v>
      </c>
      <c r="P82" t="s">
        <v>74</v>
      </c>
      <c r="Q82" t="s">
        <v>74</v>
      </c>
      <c r="R82" t="s">
        <v>74</v>
      </c>
      <c r="S82" t="s">
        <v>74</v>
      </c>
      <c r="T82" t="s">
        <v>1896</v>
      </c>
      <c r="U82" t="s">
        <v>1897</v>
      </c>
      <c r="V82" t="s">
        <v>1898</v>
      </c>
      <c r="W82" t="s">
        <v>1899</v>
      </c>
      <c r="X82" t="s">
        <v>1900</v>
      </c>
      <c r="Y82" t="s">
        <v>1901</v>
      </c>
      <c r="Z82" t="s">
        <v>1902</v>
      </c>
      <c r="AA82" t="s">
        <v>1903</v>
      </c>
      <c r="AB82" t="s">
        <v>1904</v>
      </c>
      <c r="AC82" t="s">
        <v>1905</v>
      </c>
      <c r="AD82" t="s">
        <v>1906</v>
      </c>
      <c r="AE82" t="s">
        <v>1907</v>
      </c>
      <c r="AF82" t="s">
        <v>74</v>
      </c>
      <c r="AG82">
        <v>48</v>
      </c>
      <c r="AH82">
        <v>9</v>
      </c>
      <c r="AI82">
        <v>9</v>
      </c>
      <c r="AJ82">
        <v>6</v>
      </c>
      <c r="AK82">
        <v>38</v>
      </c>
      <c r="AL82" t="s">
        <v>254</v>
      </c>
      <c r="AM82" t="s">
        <v>255</v>
      </c>
      <c r="AN82" t="s">
        <v>256</v>
      </c>
      <c r="AO82" t="s">
        <v>1908</v>
      </c>
      <c r="AP82" t="s">
        <v>1909</v>
      </c>
      <c r="AQ82" t="s">
        <v>74</v>
      </c>
      <c r="AR82" t="s">
        <v>1910</v>
      </c>
      <c r="AS82" t="s">
        <v>1911</v>
      </c>
      <c r="AT82" t="s">
        <v>583</v>
      </c>
      <c r="AU82">
        <v>2022</v>
      </c>
      <c r="AV82">
        <v>232</v>
      </c>
      <c r="AW82" t="s">
        <v>74</v>
      </c>
      <c r="AX82" t="s">
        <v>74</v>
      </c>
      <c r="AY82" t="s">
        <v>74</v>
      </c>
      <c r="AZ82" t="s">
        <v>74</v>
      </c>
      <c r="BA82" t="s">
        <v>74</v>
      </c>
      <c r="BB82" t="s">
        <v>74</v>
      </c>
      <c r="BC82" t="s">
        <v>74</v>
      </c>
      <c r="BD82">
        <v>113289</v>
      </c>
      <c r="BE82" t="s">
        <v>1912</v>
      </c>
      <c r="BF82" t="str">
        <f>HYPERLINK("http://dx.doi.org/10.1016/j.ecoenv.2022.113289","http://dx.doi.org/10.1016/j.ecoenv.2022.113289")</f>
        <v>http://dx.doi.org/10.1016/j.ecoenv.2022.113289</v>
      </c>
      <c r="BG82" t="s">
        <v>74</v>
      </c>
      <c r="BH82" t="s">
        <v>101</v>
      </c>
      <c r="BI82">
        <v>11</v>
      </c>
      <c r="BJ82" t="s">
        <v>1913</v>
      </c>
      <c r="BK82" t="s">
        <v>103</v>
      </c>
      <c r="BL82" t="s">
        <v>1914</v>
      </c>
      <c r="BM82" t="s">
        <v>1915</v>
      </c>
      <c r="BN82">
        <v>35144128</v>
      </c>
      <c r="BO82" t="s">
        <v>445</v>
      </c>
      <c r="BP82" t="s">
        <v>74</v>
      </c>
      <c r="BQ82" t="s">
        <v>74</v>
      </c>
      <c r="BR82" t="s">
        <v>106</v>
      </c>
      <c r="BS82" t="s">
        <v>1916</v>
      </c>
      <c r="BT82" t="str">
        <f>HYPERLINK("https%3A%2F%2Fwww.webofscience.com%2Fwos%2Fwoscc%2Ffull-record%2FWOS:000781357900006","View Full Record in Web of Science")</f>
        <v>View Full Record in Web of Science</v>
      </c>
    </row>
    <row r="83" spans="1:72" x14ac:dyDescent="0.15">
      <c r="A83" t="s">
        <v>72</v>
      </c>
      <c r="B83" t="s">
        <v>1917</v>
      </c>
      <c r="C83" t="s">
        <v>74</v>
      </c>
      <c r="D83" t="s">
        <v>74</v>
      </c>
      <c r="E83" t="s">
        <v>74</v>
      </c>
      <c r="F83" t="s">
        <v>1918</v>
      </c>
      <c r="G83" t="s">
        <v>74</v>
      </c>
      <c r="H83" t="s">
        <v>74</v>
      </c>
      <c r="I83" t="s">
        <v>1919</v>
      </c>
      <c r="J83" t="s">
        <v>1920</v>
      </c>
      <c r="K83" t="s">
        <v>74</v>
      </c>
      <c r="L83" t="s">
        <v>74</v>
      </c>
      <c r="M83" t="s">
        <v>78</v>
      </c>
      <c r="N83" t="s">
        <v>79</v>
      </c>
      <c r="O83" t="s">
        <v>74</v>
      </c>
      <c r="P83" t="s">
        <v>74</v>
      </c>
      <c r="Q83" t="s">
        <v>74</v>
      </c>
      <c r="R83" t="s">
        <v>74</v>
      </c>
      <c r="S83" t="s">
        <v>74</v>
      </c>
      <c r="T83" t="s">
        <v>1921</v>
      </c>
      <c r="U83" t="s">
        <v>1922</v>
      </c>
      <c r="V83" t="s">
        <v>1923</v>
      </c>
      <c r="W83" t="s">
        <v>1924</v>
      </c>
      <c r="X83" t="s">
        <v>1925</v>
      </c>
      <c r="Y83" t="s">
        <v>1926</v>
      </c>
      <c r="Z83" t="s">
        <v>1927</v>
      </c>
      <c r="AA83" t="s">
        <v>74</v>
      </c>
      <c r="AB83" t="s">
        <v>1928</v>
      </c>
      <c r="AC83" t="s">
        <v>1929</v>
      </c>
      <c r="AD83" t="s">
        <v>1930</v>
      </c>
      <c r="AE83" t="s">
        <v>1931</v>
      </c>
      <c r="AF83" t="s">
        <v>74</v>
      </c>
      <c r="AG83">
        <v>69</v>
      </c>
      <c r="AH83">
        <v>1</v>
      </c>
      <c r="AI83">
        <v>1</v>
      </c>
      <c r="AJ83">
        <v>0</v>
      </c>
      <c r="AK83">
        <v>14</v>
      </c>
      <c r="AL83" t="s">
        <v>1932</v>
      </c>
      <c r="AM83" t="s">
        <v>1933</v>
      </c>
      <c r="AN83" t="s">
        <v>1934</v>
      </c>
      <c r="AO83" t="s">
        <v>1935</v>
      </c>
      <c r="AP83" t="s">
        <v>1936</v>
      </c>
      <c r="AQ83" t="s">
        <v>74</v>
      </c>
      <c r="AR83" t="s">
        <v>1937</v>
      </c>
      <c r="AS83" t="s">
        <v>1938</v>
      </c>
      <c r="AT83" t="s">
        <v>1939</v>
      </c>
      <c r="AU83">
        <v>2022</v>
      </c>
      <c r="AV83">
        <v>53</v>
      </c>
      <c r="AW83">
        <v>1</v>
      </c>
      <c r="AX83" t="s">
        <v>74</v>
      </c>
      <c r="AY83" t="s">
        <v>74</v>
      </c>
      <c r="AZ83" t="s">
        <v>74</v>
      </c>
      <c r="BA83" t="s">
        <v>74</v>
      </c>
      <c r="BB83">
        <v>60</v>
      </c>
      <c r="BC83">
        <v>83</v>
      </c>
      <c r="BD83" t="s">
        <v>74</v>
      </c>
      <c r="BE83" t="s">
        <v>1940</v>
      </c>
      <c r="BF83" t="str">
        <f>HYPERLINK("http://dx.doi.org/10.1080/00908320.2022.2035287","http://dx.doi.org/10.1080/00908320.2022.2035287")</f>
        <v>http://dx.doi.org/10.1080/00908320.2022.2035287</v>
      </c>
      <c r="BG83" t="s">
        <v>74</v>
      </c>
      <c r="BH83" t="s">
        <v>101</v>
      </c>
      <c r="BI83">
        <v>24</v>
      </c>
      <c r="BJ83" t="s">
        <v>1941</v>
      </c>
      <c r="BK83" t="s">
        <v>863</v>
      </c>
      <c r="BL83" t="s">
        <v>1942</v>
      </c>
      <c r="BM83" t="s">
        <v>1943</v>
      </c>
      <c r="BN83" t="s">
        <v>74</v>
      </c>
      <c r="BO83" t="s">
        <v>74</v>
      </c>
      <c r="BP83" t="s">
        <v>74</v>
      </c>
      <c r="BQ83" t="s">
        <v>74</v>
      </c>
      <c r="BR83" t="s">
        <v>106</v>
      </c>
      <c r="BS83" t="s">
        <v>1944</v>
      </c>
      <c r="BT83" t="str">
        <f>HYPERLINK("https%3A%2F%2Fwww.webofscience.com%2Fwos%2Fwoscc%2Ffull-record%2FWOS:000771287100001","View Full Record in Web of Science")</f>
        <v>View Full Record in Web of Science</v>
      </c>
    </row>
    <row r="84" spans="1:72" x14ac:dyDescent="0.15">
      <c r="A84" t="s">
        <v>72</v>
      </c>
      <c r="B84" t="s">
        <v>1945</v>
      </c>
      <c r="C84" t="s">
        <v>74</v>
      </c>
      <c r="D84" t="s">
        <v>74</v>
      </c>
      <c r="E84" t="s">
        <v>74</v>
      </c>
      <c r="F84" t="s">
        <v>1946</v>
      </c>
      <c r="G84" t="s">
        <v>74</v>
      </c>
      <c r="H84" t="s">
        <v>74</v>
      </c>
      <c r="I84" t="s">
        <v>1947</v>
      </c>
      <c r="J84" t="s">
        <v>1635</v>
      </c>
      <c r="K84" t="s">
        <v>74</v>
      </c>
      <c r="L84" t="s">
        <v>74</v>
      </c>
      <c r="M84" t="s">
        <v>78</v>
      </c>
      <c r="N84" t="s">
        <v>1434</v>
      </c>
      <c r="O84" t="s">
        <v>74</v>
      </c>
      <c r="P84" t="s">
        <v>74</v>
      </c>
      <c r="Q84" t="s">
        <v>74</v>
      </c>
      <c r="R84" t="s">
        <v>74</v>
      </c>
      <c r="S84" t="s">
        <v>74</v>
      </c>
      <c r="T84" t="s">
        <v>74</v>
      </c>
      <c r="U84" t="s">
        <v>1948</v>
      </c>
      <c r="V84" t="s">
        <v>1949</v>
      </c>
      <c r="W84" t="s">
        <v>1950</v>
      </c>
      <c r="X84" t="s">
        <v>1951</v>
      </c>
      <c r="Y84" t="s">
        <v>1952</v>
      </c>
      <c r="Z84" t="s">
        <v>1953</v>
      </c>
      <c r="AA84" t="s">
        <v>1954</v>
      </c>
      <c r="AB84" t="s">
        <v>1955</v>
      </c>
      <c r="AC84" t="s">
        <v>1956</v>
      </c>
      <c r="AD84" t="s">
        <v>1957</v>
      </c>
      <c r="AE84" t="s">
        <v>1958</v>
      </c>
      <c r="AF84" t="s">
        <v>74</v>
      </c>
      <c r="AG84">
        <v>131</v>
      </c>
      <c r="AH84">
        <v>28</v>
      </c>
      <c r="AI84">
        <v>31</v>
      </c>
      <c r="AJ84">
        <v>5</v>
      </c>
      <c r="AK84">
        <v>32</v>
      </c>
      <c r="AL84" t="s">
        <v>120</v>
      </c>
      <c r="AM84" t="s">
        <v>121</v>
      </c>
      <c r="AN84" t="s">
        <v>122</v>
      </c>
      <c r="AO84" t="s">
        <v>1646</v>
      </c>
      <c r="AP84" t="s">
        <v>1647</v>
      </c>
      <c r="AQ84" t="s">
        <v>74</v>
      </c>
      <c r="AR84" t="s">
        <v>1648</v>
      </c>
      <c r="AS84" t="s">
        <v>1649</v>
      </c>
      <c r="AT84" t="s">
        <v>1959</v>
      </c>
      <c r="AU84">
        <v>2022</v>
      </c>
      <c r="AV84">
        <v>14</v>
      </c>
      <c r="AW84">
        <v>2</v>
      </c>
      <c r="AX84" t="s">
        <v>74</v>
      </c>
      <c r="AY84" t="s">
        <v>74</v>
      </c>
      <c r="AZ84" t="s">
        <v>74</v>
      </c>
      <c r="BA84" t="s">
        <v>74</v>
      </c>
      <c r="BB84">
        <v>411</v>
      </c>
      <c r="BC84">
        <v>447</v>
      </c>
      <c r="BD84" t="s">
        <v>74</v>
      </c>
      <c r="BE84" t="s">
        <v>1960</v>
      </c>
      <c r="BF84" t="str">
        <f>HYPERLINK("http://dx.doi.org/10.5194/essd-14-411-2022","http://dx.doi.org/10.5194/essd-14-411-2022")</f>
        <v>http://dx.doi.org/10.5194/essd-14-411-2022</v>
      </c>
      <c r="BG84" t="s">
        <v>74</v>
      </c>
      <c r="BH84" t="s">
        <v>74</v>
      </c>
      <c r="BI84">
        <v>37</v>
      </c>
      <c r="BJ84" t="s">
        <v>1201</v>
      </c>
      <c r="BK84" t="s">
        <v>103</v>
      </c>
      <c r="BL84" t="s">
        <v>1202</v>
      </c>
      <c r="BM84" t="s">
        <v>1961</v>
      </c>
      <c r="BN84" t="s">
        <v>74</v>
      </c>
      <c r="BO84" t="s">
        <v>1962</v>
      </c>
      <c r="BP84" t="s">
        <v>74</v>
      </c>
      <c r="BQ84" t="s">
        <v>74</v>
      </c>
      <c r="BR84" t="s">
        <v>106</v>
      </c>
      <c r="BS84" t="s">
        <v>1963</v>
      </c>
      <c r="BT84" t="str">
        <f>HYPERLINK("https%3A%2F%2Fwww.webofscience.com%2Fwos%2Fwoscc%2Ffull-record%2FWOS:000758036300001","View Full Record in Web of Science")</f>
        <v>View Full Record in Web of Science</v>
      </c>
    </row>
    <row r="85" spans="1:72" x14ac:dyDescent="0.15">
      <c r="A85" t="s">
        <v>72</v>
      </c>
      <c r="B85" t="s">
        <v>1964</v>
      </c>
      <c r="C85" t="s">
        <v>74</v>
      </c>
      <c r="D85" t="s">
        <v>74</v>
      </c>
      <c r="E85" t="s">
        <v>74</v>
      </c>
      <c r="F85" t="s">
        <v>1965</v>
      </c>
      <c r="G85" t="s">
        <v>74</v>
      </c>
      <c r="H85" t="s">
        <v>74</v>
      </c>
      <c r="I85" t="s">
        <v>1966</v>
      </c>
      <c r="J85" t="s">
        <v>400</v>
      </c>
      <c r="K85" t="s">
        <v>74</v>
      </c>
      <c r="L85" t="s">
        <v>74</v>
      </c>
      <c r="M85" t="s">
        <v>78</v>
      </c>
      <c r="N85" t="s">
        <v>79</v>
      </c>
      <c r="O85" t="s">
        <v>74</v>
      </c>
      <c r="P85" t="s">
        <v>74</v>
      </c>
      <c r="Q85" t="s">
        <v>74</v>
      </c>
      <c r="R85" t="s">
        <v>74</v>
      </c>
      <c r="S85" t="s">
        <v>74</v>
      </c>
      <c r="T85" t="s">
        <v>74</v>
      </c>
      <c r="U85" t="s">
        <v>1967</v>
      </c>
      <c r="V85" t="s">
        <v>1968</v>
      </c>
      <c r="W85" t="s">
        <v>1969</v>
      </c>
      <c r="X85" t="s">
        <v>1970</v>
      </c>
      <c r="Y85" t="s">
        <v>1971</v>
      </c>
      <c r="Z85" t="s">
        <v>1972</v>
      </c>
      <c r="AA85" t="s">
        <v>1973</v>
      </c>
      <c r="AB85" t="s">
        <v>1974</v>
      </c>
      <c r="AC85" t="s">
        <v>1975</v>
      </c>
      <c r="AD85" t="s">
        <v>1976</v>
      </c>
      <c r="AE85" t="s">
        <v>1977</v>
      </c>
      <c r="AF85" t="s">
        <v>74</v>
      </c>
      <c r="AG85">
        <v>215</v>
      </c>
      <c r="AH85">
        <v>8</v>
      </c>
      <c r="AI85">
        <v>8</v>
      </c>
      <c r="AJ85">
        <v>3</v>
      </c>
      <c r="AK85">
        <v>23</v>
      </c>
      <c r="AL85" t="s">
        <v>120</v>
      </c>
      <c r="AM85" t="s">
        <v>121</v>
      </c>
      <c r="AN85" t="s">
        <v>122</v>
      </c>
      <c r="AO85" t="s">
        <v>412</v>
      </c>
      <c r="AP85" t="s">
        <v>413</v>
      </c>
      <c r="AQ85" t="s">
        <v>74</v>
      </c>
      <c r="AR85" t="s">
        <v>400</v>
      </c>
      <c r="AS85" t="s">
        <v>414</v>
      </c>
      <c r="AT85" t="s">
        <v>1959</v>
      </c>
      <c r="AU85">
        <v>2022</v>
      </c>
      <c r="AV85">
        <v>19</v>
      </c>
      <c r="AW85">
        <v>3</v>
      </c>
      <c r="AX85" t="s">
        <v>74</v>
      </c>
      <c r="AY85" t="s">
        <v>74</v>
      </c>
      <c r="AZ85" t="s">
        <v>74</v>
      </c>
      <c r="BA85" t="s">
        <v>74</v>
      </c>
      <c r="BB85">
        <v>715</v>
      </c>
      <c r="BC85">
        <v>741</v>
      </c>
      <c r="BD85" t="s">
        <v>74</v>
      </c>
      <c r="BE85" t="s">
        <v>1978</v>
      </c>
      <c r="BF85" t="str">
        <f>HYPERLINK("http://dx.doi.org/10.5194/bg-19-715-2022","http://dx.doi.org/10.5194/bg-19-715-2022")</f>
        <v>http://dx.doi.org/10.5194/bg-19-715-2022</v>
      </c>
      <c r="BG85" t="s">
        <v>74</v>
      </c>
      <c r="BH85" t="s">
        <v>74</v>
      </c>
      <c r="BI85">
        <v>27</v>
      </c>
      <c r="BJ85" t="s">
        <v>416</v>
      </c>
      <c r="BK85" t="s">
        <v>103</v>
      </c>
      <c r="BL85" t="s">
        <v>417</v>
      </c>
      <c r="BM85" t="s">
        <v>1979</v>
      </c>
      <c r="BN85" t="s">
        <v>74</v>
      </c>
      <c r="BO85" t="s">
        <v>132</v>
      </c>
      <c r="BP85" t="s">
        <v>74</v>
      </c>
      <c r="BQ85" t="s">
        <v>74</v>
      </c>
      <c r="BR85" t="s">
        <v>106</v>
      </c>
      <c r="BS85" t="s">
        <v>1980</v>
      </c>
      <c r="BT85" t="str">
        <f>HYPERLINK("https%3A%2F%2Fwww.webofscience.com%2Fwos%2Fwoscc%2Ffull-record%2FWOS:000758106300001","View Full Record in Web of Science")</f>
        <v>View Full Record in Web of Science</v>
      </c>
    </row>
    <row r="86" spans="1:72" x14ac:dyDescent="0.15">
      <c r="A86" t="s">
        <v>72</v>
      </c>
      <c r="B86" t="s">
        <v>1981</v>
      </c>
      <c r="C86" t="s">
        <v>74</v>
      </c>
      <c r="D86" t="s">
        <v>74</v>
      </c>
      <c r="E86" t="s">
        <v>74</v>
      </c>
      <c r="F86" t="s">
        <v>1982</v>
      </c>
      <c r="G86" t="s">
        <v>74</v>
      </c>
      <c r="H86" t="s">
        <v>1983</v>
      </c>
      <c r="I86" t="s">
        <v>1984</v>
      </c>
      <c r="J86" t="s">
        <v>1985</v>
      </c>
      <c r="K86" t="s">
        <v>74</v>
      </c>
      <c r="L86" t="s">
        <v>74</v>
      </c>
      <c r="M86" t="s">
        <v>78</v>
      </c>
      <c r="N86" t="s">
        <v>79</v>
      </c>
      <c r="O86" t="s">
        <v>74</v>
      </c>
      <c r="P86" t="s">
        <v>74</v>
      </c>
      <c r="Q86" t="s">
        <v>74</v>
      </c>
      <c r="R86" t="s">
        <v>74</v>
      </c>
      <c r="S86" t="s">
        <v>74</v>
      </c>
      <c r="T86" t="s">
        <v>74</v>
      </c>
      <c r="U86" t="s">
        <v>1986</v>
      </c>
      <c r="V86" t="s">
        <v>1987</v>
      </c>
      <c r="W86" t="s">
        <v>1988</v>
      </c>
      <c r="X86" t="s">
        <v>1989</v>
      </c>
      <c r="Y86" t="s">
        <v>1990</v>
      </c>
      <c r="Z86" t="s">
        <v>74</v>
      </c>
      <c r="AA86" t="s">
        <v>1991</v>
      </c>
      <c r="AB86" t="s">
        <v>1992</v>
      </c>
      <c r="AC86" t="s">
        <v>1993</v>
      </c>
      <c r="AD86" t="s">
        <v>1994</v>
      </c>
      <c r="AE86" t="s">
        <v>1995</v>
      </c>
      <c r="AF86" t="s">
        <v>74</v>
      </c>
      <c r="AG86">
        <v>59</v>
      </c>
      <c r="AH86">
        <v>7</v>
      </c>
      <c r="AI86">
        <v>9</v>
      </c>
      <c r="AJ86">
        <v>0</v>
      </c>
      <c r="AK86">
        <v>0</v>
      </c>
      <c r="AL86" t="s">
        <v>1996</v>
      </c>
      <c r="AM86" t="s">
        <v>1997</v>
      </c>
      <c r="AN86" t="s">
        <v>1998</v>
      </c>
      <c r="AO86" t="s">
        <v>1999</v>
      </c>
      <c r="AP86" t="s">
        <v>2000</v>
      </c>
      <c r="AQ86" t="s">
        <v>74</v>
      </c>
      <c r="AR86" t="s">
        <v>2001</v>
      </c>
      <c r="AS86" t="s">
        <v>2002</v>
      </c>
      <c r="AT86" t="s">
        <v>1959</v>
      </c>
      <c r="AU86">
        <v>2022</v>
      </c>
      <c r="AV86">
        <v>105</v>
      </c>
      <c r="AW86">
        <v>4</v>
      </c>
      <c r="AX86" t="s">
        <v>74</v>
      </c>
      <c r="AY86" t="s">
        <v>74</v>
      </c>
      <c r="AZ86" t="s">
        <v>74</v>
      </c>
      <c r="BA86" t="s">
        <v>74</v>
      </c>
      <c r="BB86" t="s">
        <v>74</v>
      </c>
      <c r="BC86" t="s">
        <v>74</v>
      </c>
      <c r="BD86">
        <v>42001</v>
      </c>
      <c r="BE86" t="s">
        <v>2003</v>
      </c>
      <c r="BF86" t="str">
        <f>HYPERLINK("http://dx.doi.org/10.1103/PhysRevD.105.042001","http://dx.doi.org/10.1103/PhysRevD.105.042001")</f>
        <v>http://dx.doi.org/10.1103/PhysRevD.105.042001</v>
      </c>
      <c r="BG86" t="s">
        <v>74</v>
      </c>
      <c r="BH86" t="s">
        <v>74</v>
      </c>
      <c r="BI86">
        <v>20</v>
      </c>
      <c r="BJ86" t="s">
        <v>2004</v>
      </c>
      <c r="BK86" t="s">
        <v>103</v>
      </c>
      <c r="BL86" t="s">
        <v>2005</v>
      </c>
      <c r="BM86" t="s">
        <v>2006</v>
      </c>
      <c r="BN86" t="s">
        <v>74</v>
      </c>
      <c r="BO86" t="s">
        <v>2007</v>
      </c>
      <c r="BP86" t="s">
        <v>74</v>
      </c>
      <c r="BQ86" t="s">
        <v>74</v>
      </c>
      <c r="BR86" t="s">
        <v>106</v>
      </c>
      <c r="BS86" t="s">
        <v>2008</v>
      </c>
      <c r="BT86" t="str">
        <f>HYPERLINK("https%3A%2F%2Fwww.webofscience.com%2Fwos%2Fwoscc%2Ffull-record%2FWOS:000753381900005","View Full Record in Web of Science")</f>
        <v>View Full Record in Web of Science</v>
      </c>
    </row>
    <row r="87" spans="1:72" x14ac:dyDescent="0.15">
      <c r="A87" t="s">
        <v>72</v>
      </c>
      <c r="B87" t="s">
        <v>2009</v>
      </c>
      <c r="C87" t="s">
        <v>74</v>
      </c>
      <c r="D87" t="s">
        <v>74</v>
      </c>
      <c r="E87" t="s">
        <v>74</v>
      </c>
      <c r="F87" t="s">
        <v>2010</v>
      </c>
      <c r="G87" t="s">
        <v>74</v>
      </c>
      <c r="H87" t="s">
        <v>74</v>
      </c>
      <c r="I87" t="s">
        <v>2011</v>
      </c>
      <c r="J87" t="s">
        <v>2012</v>
      </c>
      <c r="K87" t="s">
        <v>74</v>
      </c>
      <c r="L87" t="s">
        <v>74</v>
      </c>
      <c r="M87" t="s">
        <v>78</v>
      </c>
      <c r="N87" t="s">
        <v>79</v>
      </c>
      <c r="O87" t="s">
        <v>74</v>
      </c>
      <c r="P87" t="s">
        <v>74</v>
      </c>
      <c r="Q87" t="s">
        <v>74</v>
      </c>
      <c r="R87" t="s">
        <v>74</v>
      </c>
      <c r="S87" t="s">
        <v>74</v>
      </c>
      <c r="T87" t="s">
        <v>2013</v>
      </c>
      <c r="U87" t="s">
        <v>2014</v>
      </c>
      <c r="V87" t="s">
        <v>2015</v>
      </c>
      <c r="W87" t="s">
        <v>2016</v>
      </c>
      <c r="X87" t="s">
        <v>2017</v>
      </c>
      <c r="Y87" t="s">
        <v>2018</v>
      </c>
      <c r="Z87" t="s">
        <v>2019</v>
      </c>
      <c r="AA87" t="s">
        <v>2020</v>
      </c>
      <c r="AB87" t="s">
        <v>2021</v>
      </c>
      <c r="AC87" t="s">
        <v>2022</v>
      </c>
      <c r="AD87" t="s">
        <v>2023</v>
      </c>
      <c r="AE87" t="s">
        <v>2024</v>
      </c>
      <c r="AF87" t="s">
        <v>74</v>
      </c>
      <c r="AG87">
        <v>164</v>
      </c>
      <c r="AH87">
        <v>58</v>
      </c>
      <c r="AI87">
        <v>58</v>
      </c>
      <c r="AJ87">
        <v>9</v>
      </c>
      <c r="AK87">
        <v>53</v>
      </c>
      <c r="AL87" t="s">
        <v>2025</v>
      </c>
      <c r="AM87" t="s">
        <v>2026</v>
      </c>
      <c r="AN87" t="s">
        <v>2027</v>
      </c>
      <c r="AO87" t="s">
        <v>2028</v>
      </c>
      <c r="AP87" t="s">
        <v>74</v>
      </c>
      <c r="AQ87" t="s">
        <v>74</v>
      </c>
      <c r="AR87" t="s">
        <v>2029</v>
      </c>
      <c r="AS87" t="s">
        <v>2030</v>
      </c>
      <c r="AT87" t="s">
        <v>1959</v>
      </c>
      <c r="AU87">
        <v>2022</v>
      </c>
      <c r="AV87">
        <v>10</v>
      </c>
      <c r="AW87">
        <v>1</v>
      </c>
      <c r="AX87" t="s">
        <v>74</v>
      </c>
      <c r="AY87" t="s">
        <v>74</v>
      </c>
      <c r="AZ87" t="s">
        <v>74</v>
      </c>
      <c r="BA87" t="s">
        <v>74</v>
      </c>
      <c r="BB87" t="s">
        <v>74</v>
      </c>
      <c r="BC87" t="s">
        <v>74</v>
      </c>
      <c r="BD87">
        <v>1</v>
      </c>
      <c r="BE87" t="s">
        <v>2031</v>
      </c>
      <c r="BF87" t="str">
        <f>HYPERLINK("http://dx.doi.org/10.1525/elementa.2021.00062","http://dx.doi.org/10.1525/elementa.2021.00062")</f>
        <v>http://dx.doi.org/10.1525/elementa.2021.00062</v>
      </c>
      <c r="BG87" t="s">
        <v>74</v>
      </c>
      <c r="BH87" t="s">
        <v>74</v>
      </c>
      <c r="BI87">
        <v>31</v>
      </c>
      <c r="BJ87" t="s">
        <v>129</v>
      </c>
      <c r="BK87" t="s">
        <v>103</v>
      </c>
      <c r="BL87" t="s">
        <v>130</v>
      </c>
      <c r="BM87" t="s">
        <v>2032</v>
      </c>
      <c r="BN87" t="s">
        <v>74</v>
      </c>
      <c r="BO87" t="s">
        <v>419</v>
      </c>
      <c r="BP87" t="s">
        <v>1286</v>
      </c>
      <c r="BQ87" t="s">
        <v>1287</v>
      </c>
      <c r="BR87" t="s">
        <v>106</v>
      </c>
      <c r="BS87" t="s">
        <v>2033</v>
      </c>
      <c r="BT87" t="str">
        <f>HYPERLINK("https%3A%2F%2Fwww.webofscience.com%2Fwos%2Fwoscc%2Ffull-record%2FWOS:000751892500001","View Full Record in Web of Science")</f>
        <v>View Full Record in Web of Science</v>
      </c>
    </row>
    <row r="88" spans="1:72" x14ac:dyDescent="0.15">
      <c r="A88" t="s">
        <v>72</v>
      </c>
      <c r="B88" t="s">
        <v>2034</v>
      </c>
      <c r="C88" t="s">
        <v>74</v>
      </c>
      <c r="D88" t="s">
        <v>74</v>
      </c>
      <c r="E88" t="s">
        <v>74</v>
      </c>
      <c r="F88" t="s">
        <v>2035</v>
      </c>
      <c r="G88" t="s">
        <v>74</v>
      </c>
      <c r="H88" t="s">
        <v>74</v>
      </c>
      <c r="I88" t="s">
        <v>2036</v>
      </c>
      <c r="J88" t="s">
        <v>2012</v>
      </c>
      <c r="K88" t="s">
        <v>74</v>
      </c>
      <c r="L88" t="s">
        <v>74</v>
      </c>
      <c r="M88" t="s">
        <v>78</v>
      </c>
      <c r="N88" t="s">
        <v>79</v>
      </c>
      <c r="O88" t="s">
        <v>74</v>
      </c>
      <c r="P88" t="s">
        <v>74</v>
      </c>
      <c r="Q88" t="s">
        <v>74</v>
      </c>
      <c r="R88" t="s">
        <v>74</v>
      </c>
      <c r="S88" t="s">
        <v>74</v>
      </c>
      <c r="T88" t="s">
        <v>2037</v>
      </c>
      <c r="U88" t="s">
        <v>2038</v>
      </c>
      <c r="V88" t="s">
        <v>2039</v>
      </c>
      <c r="W88" t="s">
        <v>2040</v>
      </c>
      <c r="X88" t="s">
        <v>2041</v>
      </c>
      <c r="Y88" t="s">
        <v>2042</v>
      </c>
      <c r="Z88" t="s">
        <v>2043</v>
      </c>
      <c r="AA88" t="s">
        <v>2044</v>
      </c>
      <c r="AB88" t="s">
        <v>2045</v>
      </c>
      <c r="AC88" t="s">
        <v>2046</v>
      </c>
      <c r="AD88" t="s">
        <v>2047</v>
      </c>
      <c r="AE88" t="s">
        <v>2048</v>
      </c>
      <c r="AF88" t="s">
        <v>74</v>
      </c>
      <c r="AG88">
        <v>96</v>
      </c>
      <c r="AH88">
        <v>87</v>
      </c>
      <c r="AI88">
        <v>87</v>
      </c>
      <c r="AJ88">
        <v>14</v>
      </c>
      <c r="AK88">
        <v>87</v>
      </c>
      <c r="AL88" t="s">
        <v>2025</v>
      </c>
      <c r="AM88" t="s">
        <v>2026</v>
      </c>
      <c r="AN88" t="s">
        <v>2027</v>
      </c>
      <c r="AO88" t="s">
        <v>2028</v>
      </c>
      <c r="AP88" t="s">
        <v>74</v>
      </c>
      <c r="AQ88" t="s">
        <v>74</v>
      </c>
      <c r="AR88" t="s">
        <v>2029</v>
      </c>
      <c r="AS88" t="s">
        <v>2030</v>
      </c>
      <c r="AT88" t="s">
        <v>1959</v>
      </c>
      <c r="AU88">
        <v>2022</v>
      </c>
      <c r="AV88">
        <v>10</v>
      </c>
      <c r="AW88">
        <v>1</v>
      </c>
      <c r="AX88" t="s">
        <v>74</v>
      </c>
      <c r="AY88" t="s">
        <v>74</v>
      </c>
      <c r="AZ88" t="s">
        <v>74</v>
      </c>
      <c r="BA88" t="s">
        <v>74</v>
      </c>
      <c r="BB88" t="s">
        <v>74</v>
      </c>
      <c r="BC88" t="s">
        <v>74</v>
      </c>
      <c r="BD88">
        <v>1</v>
      </c>
      <c r="BE88" t="s">
        <v>2049</v>
      </c>
      <c r="BF88" t="str">
        <f>HYPERLINK("http://dx.doi.org/10.1525/elementa.2021.000046","http://dx.doi.org/10.1525/elementa.2021.000046")</f>
        <v>http://dx.doi.org/10.1525/elementa.2021.000046</v>
      </c>
      <c r="BG88" t="s">
        <v>74</v>
      </c>
      <c r="BH88" t="s">
        <v>74</v>
      </c>
      <c r="BI88">
        <v>42</v>
      </c>
      <c r="BJ88" t="s">
        <v>129</v>
      </c>
      <c r="BK88" t="s">
        <v>103</v>
      </c>
      <c r="BL88" t="s">
        <v>130</v>
      </c>
      <c r="BM88" t="s">
        <v>2050</v>
      </c>
      <c r="BN88" t="s">
        <v>74</v>
      </c>
      <c r="BO88" t="s">
        <v>419</v>
      </c>
      <c r="BP88" t="s">
        <v>1286</v>
      </c>
      <c r="BQ88" t="s">
        <v>1287</v>
      </c>
      <c r="BR88" t="s">
        <v>106</v>
      </c>
      <c r="BS88" t="s">
        <v>2051</v>
      </c>
      <c r="BT88" t="str">
        <f>HYPERLINK("https%3A%2F%2Fwww.webofscience.com%2Fwos%2Fwoscc%2Ffull-record%2FWOS:000751892100001","View Full Record in Web of Science")</f>
        <v>View Full Record in Web of Science</v>
      </c>
    </row>
    <row r="89" spans="1:72" x14ac:dyDescent="0.15">
      <c r="A89" t="s">
        <v>72</v>
      </c>
      <c r="B89" t="s">
        <v>2052</v>
      </c>
      <c r="C89" t="s">
        <v>74</v>
      </c>
      <c r="D89" t="s">
        <v>74</v>
      </c>
      <c r="E89" t="s">
        <v>74</v>
      </c>
      <c r="F89" t="s">
        <v>2053</v>
      </c>
      <c r="G89" t="s">
        <v>74</v>
      </c>
      <c r="H89" t="s">
        <v>74</v>
      </c>
      <c r="I89" t="s">
        <v>2054</v>
      </c>
      <c r="J89" t="s">
        <v>2012</v>
      </c>
      <c r="K89" t="s">
        <v>74</v>
      </c>
      <c r="L89" t="s">
        <v>74</v>
      </c>
      <c r="M89" t="s">
        <v>78</v>
      </c>
      <c r="N89" t="s">
        <v>79</v>
      </c>
      <c r="O89" t="s">
        <v>74</v>
      </c>
      <c r="P89" t="s">
        <v>74</v>
      </c>
      <c r="Q89" t="s">
        <v>74</v>
      </c>
      <c r="R89" t="s">
        <v>74</v>
      </c>
      <c r="S89" t="s">
        <v>74</v>
      </c>
      <c r="T89" t="s">
        <v>2055</v>
      </c>
      <c r="U89" t="s">
        <v>2056</v>
      </c>
      <c r="V89" t="s">
        <v>2057</v>
      </c>
      <c r="W89" t="s">
        <v>2058</v>
      </c>
      <c r="X89" t="s">
        <v>2059</v>
      </c>
      <c r="Y89" t="s">
        <v>2060</v>
      </c>
      <c r="Z89" t="s">
        <v>2061</v>
      </c>
      <c r="AA89" t="s">
        <v>2062</v>
      </c>
      <c r="AB89" t="s">
        <v>2063</v>
      </c>
      <c r="AC89" t="s">
        <v>2064</v>
      </c>
      <c r="AD89" t="s">
        <v>2065</v>
      </c>
      <c r="AE89" t="s">
        <v>2066</v>
      </c>
      <c r="AF89" t="s">
        <v>74</v>
      </c>
      <c r="AG89">
        <v>115</v>
      </c>
      <c r="AH89">
        <v>118</v>
      </c>
      <c r="AI89">
        <v>119</v>
      </c>
      <c r="AJ89">
        <v>10</v>
      </c>
      <c r="AK89">
        <v>55</v>
      </c>
      <c r="AL89" t="s">
        <v>2025</v>
      </c>
      <c r="AM89" t="s">
        <v>2026</v>
      </c>
      <c r="AN89" t="s">
        <v>2027</v>
      </c>
      <c r="AO89" t="s">
        <v>2028</v>
      </c>
      <c r="AP89" t="s">
        <v>74</v>
      </c>
      <c r="AQ89" t="s">
        <v>74</v>
      </c>
      <c r="AR89" t="s">
        <v>2029</v>
      </c>
      <c r="AS89" t="s">
        <v>2030</v>
      </c>
      <c r="AT89" t="s">
        <v>1959</v>
      </c>
      <c r="AU89">
        <v>2022</v>
      </c>
      <c r="AV89">
        <v>10</v>
      </c>
      <c r="AW89">
        <v>1</v>
      </c>
      <c r="AX89" t="s">
        <v>74</v>
      </c>
      <c r="AY89" t="s">
        <v>74</v>
      </c>
      <c r="AZ89" t="s">
        <v>74</v>
      </c>
      <c r="BA89" t="s">
        <v>74</v>
      </c>
      <c r="BB89" t="s">
        <v>74</v>
      </c>
      <c r="BC89" t="s">
        <v>74</v>
      </c>
      <c r="BD89">
        <v>1</v>
      </c>
      <c r="BE89" t="s">
        <v>2067</v>
      </c>
      <c r="BF89" t="str">
        <f>HYPERLINK("http://dx.doi.org/10.1525/elementa.2021.00060","http://dx.doi.org/10.1525/elementa.2021.00060")</f>
        <v>http://dx.doi.org/10.1525/elementa.2021.00060</v>
      </c>
      <c r="BG89" t="s">
        <v>74</v>
      </c>
      <c r="BH89" t="s">
        <v>74</v>
      </c>
      <c r="BI89">
        <v>54</v>
      </c>
      <c r="BJ89" t="s">
        <v>129</v>
      </c>
      <c r="BK89" t="s">
        <v>103</v>
      </c>
      <c r="BL89" t="s">
        <v>130</v>
      </c>
      <c r="BM89" t="s">
        <v>2068</v>
      </c>
      <c r="BN89" t="s">
        <v>74</v>
      </c>
      <c r="BO89" t="s">
        <v>2069</v>
      </c>
      <c r="BP89" t="s">
        <v>1286</v>
      </c>
      <c r="BQ89" t="s">
        <v>1287</v>
      </c>
      <c r="BR89" t="s">
        <v>106</v>
      </c>
      <c r="BS89" t="s">
        <v>2070</v>
      </c>
      <c r="BT89" t="str">
        <f>HYPERLINK("https%3A%2F%2Fwww.webofscience.com%2Fwos%2Fwoscc%2Ffull-record%2FWOS:000751892300001","View Full Record in Web of Science")</f>
        <v>View Full Record in Web of Science</v>
      </c>
    </row>
    <row r="90" spans="1:72" x14ac:dyDescent="0.15">
      <c r="A90" t="s">
        <v>72</v>
      </c>
      <c r="B90" t="s">
        <v>2071</v>
      </c>
      <c r="C90" t="s">
        <v>74</v>
      </c>
      <c r="D90" t="s">
        <v>74</v>
      </c>
      <c r="E90" t="s">
        <v>74</v>
      </c>
      <c r="F90" t="s">
        <v>2072</v>
      </c>
      <c r="G90" t="s">
        <v>74</v>
      </c>
      <c r="H90" t="s">
        <v>74</v>
      </c>
      <c r="I90" t="s">
        <v>2073</v>
      </c>
      <c r="J90" t="s">
        <v>730</v>
      </c>
      <c r="K90" t="s">
        <v>74</v>
      </c>
      <c r="L90" t="s">
        <v>74</v>
      </c>
      <c r="M90" t="s">
        <v>78</v>
      </c>
      <c r="N90" t="s">
        <v>1113</v>
      </c>
      <c r="O90" t="s">
        <v>74</v>
      </c>
      <c r="P90" t="s">
        <v>74</v>
      </c>
      <c r="Q90" t="s">
        <v>74</v>
      </c>
      <c r="R90" t="s">
        <v>74</v>
      </c>
      <c r="S90" t="s">
        <v>74</v>
      </c>
      <c r="T90" t="s">
        <v>74</v>
      </c>
      <c r="U90" t="s">
        <v>2074</v>
      </c>
      <c r="V90" t="s">
        <v>2075</v>
      </c>
      <c r="W90" t="s">
        <v>2076</v>
      </c>
      <c r="X90" t="s">
        <v>2077</v>
      </c>
      <c r="Y90" t="s">
        <v>2078</v>
      </c>
      <c r="Z90" t="s">
        <v>2079</v>
      </c>
      <c r="AA90" t="s">
        <v>2080</v>
      </c>
      <c r="AB90" t="s">
        <v>2081</v>
      </c>
      <c r="AC90" t="s">
        <v>2082</v>
      </c>
      <c r="AD90" t="s">
        <v>2083</v>
      </c>
      <c r="AE90" t="s">
        <v>2084</v>
      </c>
      <c r="AF90" t="s">
        <v>74</v>
      </c>
      <c r="AG90">
        <v>66</v>
      </c>
      <c r="AH90">
        <v>20</v>
      </c>
      <c r="AI90">
        <v>23</v>
      </c>
      <c r="AJ90">
        <v>14</v>
      </c>
      <c r="AK90">
        <v>58</v>
      </c>
      <c r="AL90" t="s">
        <v>171</v>
      </c>
      <c r="AM90" t="s">
        <v>172</v>
      </c>
      <c r="AN90" t="s">
        <v>173</v>
      </c>
      <c r="AO90" t="s">
        <v>742</v>
      </c>
      <c r="AP90" t="s">
        <v>743</v>
      </c>
      <c r="AQ90" t="s">
        <v>74</v>
      </c>
      <c r="AR90" t="s">
        <v>744</v>
      </c>
      <c r="AS90" t="s">
        <v>745</v>
      </c>
      <c r="AT90" t="s">
        <v>178</v>
      </c>
      <c r="AU90">
        <v>2022</v>
      </c>
      <c r="AV90">
        <v>24</v>
      </c>
      <c r="AW90">
        <v>5</v>
      </c>
      <c r="AX90" t="s">
        <v>74</v>
      </c>
      <c r="AY90" t="s">
        <v>74</v>
      </c>
      <c r="AZ90" t="s">
        <v>233</v>
      </c>
      <c r="BA90" t="s">
        <v>74</v>
      </c>
      <c r="BB90">
        <v>2201</v>
      </c>
      <c r="BC90">
        <v>2209</v>
      </c>
      <c r="BD90" t="s">
        <v>74</v>
      </c>
      <c r="BE90" t="s">
        <v>2085</v>
      </c>
      <c r="BF90" t="str">
        <f>HYPERLINK("http://dx.doi.org/10.1111/1462-2920.15913","http://dx.doi.org/10.1111/1462-2920.15913")</f>
        <v>http://dx.doi.org/10.1111/1462-2920.15913</v>
      </c>
      <c r="BG90" t="s">
        <v>74</v>
      </c>
      <c r="BH90" t="s">
        <v>101</v>
      </c>
      <c r="BI90">
        <v>9</v>
      </c>
      <c r="BJ90" t="s">
        <v>747</v>
      </c>
      <c r="BK90" t="s">
        <v>103</v>
      </c>
      <c r="BL90" t="s">
        <v>747</v>
      </c>
      <c r="BM90" t="s">
        <v>748</v>
      </c>
      <c r="BN90">
        <v>35049133</v>
      </c>
      <c r="BO90" t="s">
        <v>749</v>
      </c>
      <c r="BP90" t="s">
        <v>74</v>
      </c>
      <c r="BQ90" t="s">
        <v>74</v>
      </c>
      <c r="BR90" t="s">
        <v>106</v>
      </c>
      <c r="BS90" t="s">
        <v>2086</v>
      </c>
      <c r="BT90" t="str">
        <f>HYPERLINK("https%3A%2F%2Fwww.webofscience.com%2Fwos%2Fwoscc%2Ffull-record%2FWOS:000751985800001","View Full Record in Web of Science")</f>
        <v>View Full Record in Web of Science</v>
      </c>
    </row>
    <row r="91" spans="1:72" x14ac:dyDescent="0.15">
      <c r="A91" t="s">
        <v>72</v>
      </c>
      <c r="B91" t="s">
        <v>2087</v>
      </c>
      <c r="C91" t="s">
        <v>74</v>
      </c>
      <c r="D91" t="s">
        <v>74</v>
      </c>
      <c r="E91" t="s">
        <v>74</v>
      </c>
      <c r="F91" t="s">
        <v>2088</v>
      </c>
      <c r="G91" t="s">
        <v>74</v>
      </c>
      <c r="H91" t="s">
        <v>74</v>
      </c>
      <c r="I91" t="s">
        <v>2089</v>
      </c>
      <c r="J91" t="s">
        <v>2090</v>
      </c>
      <c r="K91" t="s">
        <v>74</v>
      </c>
      <c r="L91" t="s">
        <v>74</v>
      </c>
      <c r="M91" t="s">
        <v>78</v>
      </c>
      <c r="N91" t="s">
        <v>79</v>
      </c>
      <c r="O91" t="s">
        <v>74</v>
      </c>
      <c r="P91" t="s">
        <v>74</v>
      </c>
      <c r="Q91" t="s">
        <v>74</v>
      </c>
      <c r="R91" t="s">
        <v>74</v>
      </c>
      <c r="S91" t="s">
        <v>74</v>
      </c>
      <c r="T91" t="s">
        <v>74</v>
      </c>
      <c r="U91" t="s">
        <v>2091</v>
      </c>
      <c r="V91" t="s">
        <v>2092</v>
      </c>
      <c r="W91" t="s">
        <v>2093</v>
      </c>
      <c r="X91" t="s">
        <v>2094</v>
      </c>
      <c r="Y91" t="s">
        <v>2095</v>
      </c>
      <c r="Z91" t="s">
        <v>2096</v>
      </c>
      <c r="AA91" t="s">
        <v>2097</v>
      </c>
      <c r="AB91" t="s">
        <v>2098</v>
      </c>
      <c r="AC91" t="s">
        <v>2099</v>
      </c>
      <c r="AD91" t="s">
        <v>2100</v>
      </c>
      <c r="AE91" t="s">
        <v>2101</v>
      </c>
      <c r="AF91" t="s">
        <v>74</v>
      </c>
      <c r="AG91">
        <v>50</v>
      </c>
      <c r="AH91">
        <v>4</v>
      </c>
      <c r="AI91">
        <v>4</v>
      </c>
      <c r="AJ91">
        <v>0</v>
      </c>
      <c r="AK91">
        <v>2</v>
      </c>
      <c r="AL91" t="s">
        <v>171</v>
      </c>
      <c r="AM91" t="s">
        <v>172</v>
      </c>
      <c r="AN91" t="s">
        <v>173</v>
      </c>
      <c r="AO91" t="s">
        <v>2102</v>
      </c>
      <c r="AP91" t="s">
        <v>2103</v>
      </c>
      <c r="AQ91" t="s">
        <v>74</v>
      </c>
      <c r="AR91" t="s">
        <v>2090</v>
      </c>
      <c r="AS91" t="s">
        <v>2104</v>
      </c>
      <c r="AT91" t="s">
        <v>537</v>
      </c>
      <c r="AU91">
        <v>2022</v>
      </c>
      <c r="AV91">
        <v>34</v>
      </c>
      <c r="AW91">
        <v>2</v>
      </c>
      <c r="AX91" t="s">
        <v>74</v>
      </c>
      <c r="AY91" t="s">
        <v>74</v>
      </c>
      <c r="AZ91" t="s">
        <v>74</v>
      </c>
      <c r="BA91" t="s">
        <v>74</v>
      </c>
      <c r="BB91">
        <v>146</v>
      </c>
      <c r="BC91">
        <v>154</v>
      </c>
      <c r="BD91" t="s">
        <v>74</v>
      </c>
      <c r="BE91" t="s">
        <v>2105</v>
      </c>
      <c r="BF91" t="str">
        <f>HYPERLINK("http://dx.doi.org/10.1111/ter.12578","http://dx.doi.org/10.1111/ter.12578")</f>
        <v>http://dx.doi.org/10.1111/ter.12578</v>
      </c>
      <c r="BG91" t="s">
        <v>74</v>
      </c>
      <c r="BH91" t="s">
        <v>101</v>
      </c>
      <c r="BI91">
        <v>9</v>
      </c>
      <c r="BJ91" t="s">
        <v>151</v>
      </c>
      <c r="BK91" t="s">
        <v>103</v>
      </c>
      <c r="BL91" t="s">
        <v>152</v>
      </c>
      <c r="BM91" t="s">
        <v>2106</v>
      </c>
      <c r="BN91" t="s">
        <v>74</v>
      </c>
      <c r="BO91" t="s">
        <v>1613</v>
      </c>
      <c r="BP91" t="s">
        <v>74</v>
      </c>
      <c r="BQ91" t="s">
        <v>74</v>
      </c>
      <c r="BR91" t="s">
        <v>106</v>
      </c>
      <c r="BS91" t="s">
        <v>2107</v>
      </c>
      <c r="BT91" t="str">
        <f>HYPERLINK("https%3A%2F%2Fwww.webofscience.com%2Fwos%2Fwoscc%2Ffull-record%2FWOS:000761797200001","View Full Record in Web of Science")</f>
        <v>View Full Record in Web of Science</v>
      </c>
    </row>
    <row r="92" spans="1:72" x14ac:dyDescent="0.15">
      <c r="A92" t="s">
        <v>72</v>
      </c>
      <c r="B92" t="s">
        <v>2108</v>
      </c>
      <c r="C92" t="s">
        <v>74</v>
      </c>
      <c r="D92" t="s">
        <v>74</v>
      </c>
      <c r="E92" t="s">
        <v>74</v>
      </c>
      <c r="F92" t="s">
        <v>2109</v>
      </c>
      <c r="G92" t="s">
        <v>74</v>
      </c>
      <c r="H92" t="s">
        <v>74</v>
      </c>
      <c r="I92" t="s">
        <v>2110</v>
      </c>
      <c r="J92" t="s">
        <v>2111</v>
      </c>
      <c r="K92" t="s">
        <v>74</v>
      </c>
      <c r="L92" t="s">
        <v>74</v>
      </c>
      <c r="M92" t="s">
        <v>78</v>
      </c>
      <c r="N92" t="s">
        <v>779</v>
      </c>
      <c r="O92" t="s">
        <v>74</v>
      </c>
      <c r="P92" t="s">
        <v>74</v>
      </c>
      <c r="Q92" t="s">
        <v>74</v>
      </c>
      <c r="R92" t="s">
        <v>74</v>
      </c>
      <c r="S92" t="s">
        <v>74</v>
      </c>
      <c r="T92" t="s">
        <v>2112</v>
      </c>
      <c r="U92" t="s">
        <v>74</v>
      </c>
      <c r="V92" t="s">
        <v>2113</v>
      </c>
      <c r="W92" t="s">
        <v>2114</v>
      </c>
      <c r="X92" t="s">
        <v>2115</v>
      </c>
      <c r="Y92" t="s">
        <v>2116</v>
      </c>
      <c r="Z92" t="s">
        <v>2117</v>
      </c>
      <c r="AA92" t="s">
        <v>2118</v>
      </c>
      <c r="AB92" t="s">
        <v>2119</v>
      </c>
      <c r="AC92" t="s">
        <v>74</v>
      </c>
      <c r="AD92" t="s">
        <v>74</v>
      </c>
      <c r="AE92" t="s">
        <v>74</v>
      </c>
      <c r="AF92" t="s">
        <v>74</v>
      </c>
      <c r="AG92">
        <v>20</v>
      </c>
      <c r="AH92">
        <v>1</v>
      </c>
      <c r="AI92">
        <v>1</v>
      </c>
      <c r="AJ92">
        <v>0</v>
      </c>
      <c r="AK92">
        <v>3</v>
      </c>
      <c r="AL92" t="s">
        <v>2120</v>
      </c>
      <c r="AM92" t="s">
        <v>436</v>
      </c>
      <c r="AN92" t="s">
        <v>2121</v>
      </c>
      <c r="AO92" t="s">
        <v>2122</v>
      </c>
      <c r="AP92" t="s">
        <v>2123</v>
      </c>
      <c r="AQ92" t="s">
        <v>74</v>
      </c>
      <c r="AR92" t="s">
        <v>2111</v>
      </c>
      <c r="AS92" t="s">
        <v>2124</v>
      </c>
      <c r="AT92" t="s">
        <v>2125</v>
      </c>
      <c r="AU92">
        <v>2023</v>
      </c>
      <c r="AV92">
        <v>169</v>
      </c>
      <c r="AW92">
        <v>6</v>
      </c>
      <c r="AX92" t="s">
        <v>74</v>
      </c>
      <c r="AY92" t="s">
        <v>74</v>
      </c>
      <c r="AZ92" t="s">
        <v>74</v>
      </c>
      <c r="BA92" t="s">
        <v>74</v>
      </c>
      <c r="BB92">
        <v>570</v>
      </c>
      <c r="BC92">
        <v>572</v>
      </c>
      <c r="BD92">
        <v>2009</v>
      </c>
      <c r="BE92" t="s">
        <v>2126</v>
      </c>
      <c r="BF92" t="str">
        <f>HYPERLINK("http://dx.doi.org/10.1136/bmjmilitary-2021-002009","http://dx.doi.org/10.1136/bmjmilitary-2021-002009")</f>
        <v>http://dx.doi.org/10.1136/bmjmilitary-2021-002009</v>
      </c>
      <c r="BG92" t="s">
        <v>74</v>
      </c>
      <c r="BH92" t="s">
        <v>101</v>
      </c>
      <c r="BI92">
        <v>3</v>
      </c>
      <c r="BJ92" t="s">
        <v>2127</v>
      </c>
      <c r="BK92" t="s">
        <v>103</v>
      </c>
      <c r="BL92" t="s">
        <v>2128</v>
      </c>
      <c r="BM92" t="s">
        <v>2129</v>
      </c>
      <c r="BN92">
        <v>35131886</v>
      </c>
      <c r="BO92" t="s">
        <v>74</v>
      </c>
      <c r="BP92" t="s">
        <v>74</v>
      </c>
      <c r="BQ92" t="s">
        <v>74</v>
      </c>
      <c r="BR92" t="s">
        <v>106</v>
      </c>
      <c r="BS92" t="s">
        <v>2130</v>
      </c>
      <c r="BT92" t="str">
        <f>HYPERLINK("https%3A%2F%2Fwww.webofscience.com%2Fwos%2Fwoscc%2Ffull-record%2FWOS:000754015200001","View Full Record in Web of Science")</f>
        <v>View Full Record in Web of Science</v>
      </c>
    </row>
    <row r="93" spans="1:72" x14ac:dyDescent="0.15">
      <c r="A93" t="s">
        <v>72</v>
      </c>
      <c r="B93" t="s">
        <v>2131</v>
      </c>
      <c r="C93" t="s">
        <v>74</v>
      </c>
      <c r="D93" t="s">
        <v>74</v>
      </c>
      <c r="E93" t="s">
        <v>74</v>
      </c>
      <c r="F93" t="s">
        <v>2132</v>
      </c>
      <c r="G93" t="s">
        <v>74</v>
      </c>
      <c r="H93" t="s">
        <v>74</v>
      </c>
      <c r="I93" t="s">
        <v>2133</v>
      </c>
      <c r="J93" t="s">
        <v>2134</v>
      </c>
      <c r="K93" t="s">
        <v>74</v>
      </c>
      <c r="L93" t="s">
        <v>74</v>
      </c>
      <c r="M93" t="s">
        <v>78</v>
      </c>
      <c r="N93" t="s">
        <v>79</v>
      </c>
      <c r="O93" t="s">
        <v>74</v>
      </c>
      <c r="P93" t="s">
        <v>74</v>
      </c>
      <c r="Q93" t="s">
        <v>74</v>
      </c>
      <c r="R93" t="s">
        <v>74</v>
      </c>
      <c r="S93" t="s">
        <v>74</v>
      </c>
      <c r="T93" t="s">
        <v>2135</v>
      </c>
      <c r="U93" t="s">
        <v>2136</v>
      </c>
      <c r="V93" t="s">
        <v>2137</v>
      </c>
      <c r="W93" t="s">
        <v>2138</v>
      </c>
      <c r="X93" t="s">
        <v>2139</v>
      </c>
      <c r="Y93" t="s">
        <v>2140</v>
      </c>
      <c r="Z93" t="s">
        <v>2141</v>
      </c>
      <c r="AA93" t="s">
        <v>74</v>
      </c>
      <c r="AB93" t="s">
        <v>2142</v>
      </c>
      <c r="AC93" t="s">
        <v>2143</v>
      </c>
      <c r="AD93" t="s">
        <v>2144</v>
      </c>
      <c r="AE93" t="s">
        <v>2145</v>
      </c>
      <c r="AF93" t="s">
        <v>74</v>
      </c>
      <c r="AG93">
        <v>57</v>
      </c>
      <c r="AH93">
        <v>10</v>
      </c>
      <c r="AI93">
        <v>10</v>
      </c>
      <c r="AJ93">
        <v>5</v>
      </c>
      <c r="AK93">
        <v>21</v>
      </c>
      <c r="AL93" t="s">
        <v>1552</v>
      </c>
      <c r="AM93" t="s">
        <v>436</v>
      </c>
      <c r="AN93" t="s">
        <v>1553</v>
      </c>
      <c r="AO93" t="s">
        <v>2146</v>
      </c>
      <c r="AP93" t="s">
        <v>2147</v>
      </c>
      <c r="AQ93" t="s">
        <v>74</v>
      </c>
      <c r="AR93" t="s">
        <v>2148</v>
      </c>
      <c r="AS93" t="s">
        <v>2149</v>
      </c>
      <c r="AT93" t="s">
        <v>2150</v>
      </c>
      <c r="AU93">
        <v>2022</v>
      </c>
      <c r="AV93">
        <v>265</v>
      </c>
      <c r="AW93" t="s">
        <v>74</v>
      </c>
      <c r="AX93" t="s">
        <v>74</v>
      </c>
      <c r="AY93" t="s">
        <v>74</v>
      </c>
      <c r="AZ93" t="s">
        <v>74</v>
      </c>
      <c r="BA93" t="s">
        <v>74</v>
      </c>
      <c r="BB93" t="s">
        <v>74</v>
      </c>
      <c r="BC93" t="s">
        <v>74</v>
      </c>
      <c r="BD93">
        <v>107713</v>
      </c>
      <c r="BE93" t="s">
        <v>2151</v>
      </c>
      <c r="BF93" t="str">
        <f>HYPERLINK("http://dx.doi.org/10.1016/j.ecss.2021.107713","http://dx.doi.org/10.1016/j.ecss.2021.107713")</f>
        <v>http://dx.doi.org/10.1016/j.ecss.2021.107713</v>
      </c>
      <c r="BG93" t="s">
        <v>74</v>
      </c>
      <c r="BH93" t="s">
        <v>74</v>
      </c>
      <c r="BI93">
        <v>12</v>
      </c>
      <c r="BJ93" t="s">
        <v>772</v>
      </c>
      <c r="BK93" t="s">
        <v>103</v>
      </c>
      <c r="BL93" t="s">
        <v>772</v>
      </c>
      <c r="BM93" t="s">
        <v>2152</v>
      </c>
      <c r="BN93" t="s">
        <v>74</v>
      </c>
      <c r="BO93" t="s">
        <v>2069</v>
      </c>
      <c r="BP93" t="s">
        <v>74</v>
      </c>
      <c r="BQ93" t="s">
        <v>74</v>
      </c>
      <c r="BR93" t="s">
        <v>106</v>
      </c>
      <c r="BS93" t="s">
        <v>2153</v>
      </c>
      <c r="BT93" t="str">
        <f>HYPERLINK("https%3A%2F%2Fwww.webofscience.com%2Fwos%2Fwoscc%2Ffull-record%2FWOS:000789705000005","View Full Record in Web of Science")</f>
        <v>View Full Record in Web of Science</v>
      </c>
    </row>
    <row r="94" spans="1:72" x14ac:dyDescent="0.15">
      <c r="A94" t="s">
        <v>72</v>
      </c>
      <c r="B94" t="s">
        <v>2154</v>
      </c>
      <c r="C94" t="s">
        <v>74</v>
      </c>
      <c r="D94" t="s">
        <v>74</v>
      </c>
      <c r="E94" t="s">
        <v>74</v>
      </c>
      <c r="F94" t="s">
        <v>2155</v>
      </c>
      <c r="G94" t="s">
        <v>74</v>
      </c>
      <c r="H94" t="s">
        <v>74</v>
      </c>
      <c r="I94" t="s">
        <v>2156</v>
      </c>
      <c r="J94" t="s">
        <v>1853</v>
      </c>
      <c r="K94" t="s">
        <v>74</v>
      </c>
      <c r="L94" t="s">
        <v>74</v>
      </c>
      <c r="M94" t="s">
        <v>78</v>
      </c>
      <c r="N94" t="s">
        <v>79</v>
      </c>
      <c r="O94" t="s">
        <v>74</v>
      </c>
      <c r="P94" t="s">
        <v>74</v>
      </c>
      <c r="Q94" t="s">
        <v>74</v>
      </c>
      <c r="R94" t="s">
        <v>74</v>
      </c>
      <c r="S94" t="s">
        <v>74</v>
      </c>
      <c r="T94" t="s">
        <v>2157</v>
      </c>
      <c r="U94" t="s">
        <v>2158</v>
      </c>
      <c r="V94" t="s">
        <v>2159</v>
      </c>
      <c r="W94" t="s">
        <v>2160</v>
      </c>
      <c r="X94" t="s">
        <v>2161</v>
      </c>
      <c r="Y94" t="s">
        <v>2162</v>
      </c>
      <c r="Z94" t="s">
        <v>2163</v>
      </c>
      <c r="AA94" t="s">
        <v>2164</v>
      </c>
      <c r="AB94" t="s">
        <v>2165</v>
      </c>
      <c r="AC94" t="s">
        <v>2166</v>
      </c>
      <c r="AD94" t="s">
        <v>2167</v>
      </c>
      <c r="AE94" t="s">
        <v>2168</v>
      </c>
      <c r="AF94" t="s">
        <v>74</v>
      </c>
      <c r="AG94">
        <v>48</v>
      </c>
      <c r="AH94">
        <v>6</v>
      </c>
      <c r="AI94">
        <v>6</v>
      </c>
      <c r="AJ94">
        <v>4</v>
      </c>
      <c r="AK94">
        <v>15</v>
      </c>
      <c r="AL94" t="s">
        <v>505</v>
      </c>
      <c r="AM94" t="s">
        <v>506</v>
      </c>
      <c r="AN94" t="s">
        <v>507</v>
      </c>
      <c r="AO94" t="s">
        <v>1865</v>
      </c>
      <c r="AP94" t="s">
        <v>1866</v>
      </c>
      <c r="AQ94" t="s">
        <v>74</v>
      </c>
      <c r="AR94" t="s">
        <v>1867</v>
      </c>
      <c r="AS94" t="s">
        <v>1868</v>
      </c>
      <c r="AT94" t="s">
        <v>537</v>
      </c>
      <c r="AU94">
        <v>2022</v>
      </c>
      <c r="AV94">
        <v>266</v>
      </c>
      <c r="AW94" t="s">
        <v>74</v>
      </c>
      <c r="AX94" t="s">
        <v>74</v>
      </c>
      <c r="AY94" t="s">
        <v>74</v>
      </c>
      <c r="AZ94" t="s">
        <v>74</v>
      </c>
      <c r="BA94" t="s">
        <v>74</v>
      </c>
      <c r="BB94" t="s">
        <v>74</v>
      </c>
      <c r="BC94" t="s">
        <v>74</v>
      </c>
      <c r="BD94">
        <v>111159</v>
      </c>
      <c r="BE94" t="s">
        <v>2169</v>
      </c>
      <c r="BF94" t="str">
        <f>HYPERLINK("http://dx.doi.org/10.1016/j.cbpa.2022.111159","http://dx.doi.org/10.1016/j.cbpa.2022.111159")</f>
        <v>http://dx.doi.org/10.1016/j.cbpa.2022.111159</v>
      </c>
      <c r="BG94" t="s">
        <v>74</v>
      </c>
      <c r="BH94" t="s">
        <v>101</v>
      </c>
      <c r="BI94">
        <v>10</v>
      </c>
      <c r="BJ94" t="s">
        <v>1870</v>
      </c>
      <c r="BK94" t="s">
        <v>103</v>
      </c>
      <c r="BL94" t="s">
        <v>1870</v>
      </c>
      <c r="BM94" t="s">
        <v>2170</v>
      </c>
      <c r="BN94">
        <v>35114387</v>
      </c>
      <c r="BO94" t="s">
        <v>74</v>
      </c>
      <c r="BP94" t="s">
        <v>74</v>
      </c>
      <c r="BQ94" t="s">
        <v>74</v>
      </c>
      <c r="BR94" t="s">
        <v>106</v>
      </c>
      <c r="BS94" t="s">
        <v>2171</v>
      </c>
      <c r="BT94" t="str">
        <f>HYPERLINK("https%3A%2F%2Fwww.webofscience.com%2Fwos%2Fwoscc%2Ffull-record%2FWOS:000793738200002","View Full Record in Web of Science")</f>
        <v>View Full Record in Web of Science</v>
      </c>
    </row>
    <row r="95" spans="1:72" x14ac:dyDescent="0.15">
      <c r="A95" t="s">
        <v>72</v>
      </c>
      <c r="B95" t="s">
        <v>2172</v>
      </c>
      <c r="C95" t="s">
        <v>74</v>
      </c>
      <c r="D95" t="s">
        <v>74</v>
      </c>
      <c r="E95" t="s">
        <v>74</v>
      </c>
      <c r="F95" t="s">
        <v>2173</v>
      </c>
      <c r="G95" t="s">
        <v>74</v>
      </c>
      <c r="H95" t="s">
        <v>74</v>
      </c>
      <c r="I95" t="s">
        <v>2174</v>
      </c>
      <c r="J95" t="s">
        <v>2175</v>
      </c>
      <c r="K95" t="s">
        <v>74</v>
      </c>
      <c r="L95" t="s">
        <v>74</v>
      </c>
      <c r="M95" t="s">
        <v>78</v>
      </c>
      <c r="N95" t="s">
        <v>79</v>
      </c>
      <c r="O95" t="s">
        <v>74</v>
      </c>
      <c r="P95" t="s">
        <v>74</v>
      </c>
      <c r="Q95" t="s">
        <v>74</v>
      </c>
      <c r="R95" t="s">
        <v>74</v>
      </c>
      <c r="S95" t="s">
        <v>74</v>
      </c>
      <c r="T95" t="s">
        <v>2176</v>
      </c>
      <c r="U95" t="s">
        <v>2177</v>
      </c>
      <c r="V95" t="s">
        <v>2178</v>
      </c>
      <c r="W95" t="s">
        <v>2179</v>
      </c>
      <c r="X95" t="s">
        <v>2180</v>
      </c>
      <c r="Y95" t="s">
        <v>2181</v>
      </c>
      <c r="Z95" t="s">
        <v>2182</v>
      </c>
      <c r="AA95" t="s">
        <v>2183</v>
      </c>
      <c r="AB95" t="s">
        <v>2184</v>
      </c>
      <c r="AC95" t="s">
        <v>2185</v>
      </c>
      <c r="AD95" t="s">
        <v>2186</v>
      </c>
      <c r="AE95" t="s">
        <v>2187</v>
      </c>
      <c r="AF95" t="s">
        <v>74</v>
      </c>
      <c r="AG95">
        <v>206</v>
      </c>
      <c r="AH95">
        <v>5</v>
      </c>
      <c r="AI95">
        <v>5</v>
      </c>
      <c r="AJ95">
        <v>3</v>
      </c>
      <c r="AK95">
        <v>18</v>
      </c>
      <c r="AL95" t="s">
        <v>1603</v>
      </c>
      <c r="AM95" t="s">
        <v>93</v>
      </c>
      <c r="AN95" t="s">
        <v>1604</v>
      </c>
      <c r="AO95" t="s">
        <v>2188</v>
      </c>
      <c r="AP95" t="s">
        <v>74</v>
      </c>
      <c r="AQ95" t="s">
        <v>74</v>
      </c>
      <c r="AR95" t="s">
        <v>2189</v>
      </c>
      <c r="AS95" t="s">
        <v>2190</v>
      </c>
      <c r="AT95" t="s">
        <v>2191</v>
      </c>
      <c r="AU95">
        <v>2022</v>
      </c>
      <c r="AV95">
        <v>14</v>
      </c>
      <c r="AW95">
        <v>2</v>
      </c>
      <c r="AX95" t="s">
        <v>74</v>
      </c>
      <c r="AY95" t="s">
        <v>74</v>
      </c>
      <c r="AZ95" t="s">
        <v>74</v>
      </c>
      <c r="BA95" t="s">
        <v>74</v>
      </c>
      <c r="BB95" t="s">
        <v>74</v>
      </c>
      <c r="BC95" t="s">
        <v>74</v>
      </c>
      <c r="BD95" t="s">
        <v>2192</v>
      </c>
      <c r="BE95" t="s">
        <v>2193</v>
      </c>
      <c r="BF95" t="str">
        <f>HYPERLINK("http://dx.doi.org/10.1093/gbe/evac009","http://dx.doi.org/10.1093/gbe/evac009")</f>
        <v>http://dx.doi.org/10.1093/gbe/evac009</v>
      </c>
      <c r="BG95" t="s">
        <v>74</v>
      </c>
      <c r="BH95" t="s">
        <v>74</v>
      </c>
      <c r="BI95">
        <v>23</v>
      </c>
      <c r="BJ95" t="s">
        <v>2194</v>
      </c>
      <c r="BK95" t="s">
        <v>103</v>
      </c>
      <c r="BL95" t="s">
        <v>2194</v>
      </c>
      <c r="BM95" t="s">
        <v>2195</v>
      </c>
      <c r="BN95">
        <v>35106545</v>
      </c>
      <c r="BO95" t="s">
        <v>211</v>
      </c>
      <c r="BP95" t="s">
        <v>74</v>
      </c>
      <c r="BQ95" t="s">
        <v>74</v>
      </c>
      <c r="BR95" t="s">
        <v>106</v>
      </c>
      <c r="BS95" t="s">
        <v>2196</v>
      </c>
      <c r="BT95" t="str">
        <f>HYPERLINK("https%3A%2F%2Fwww.webofscience.com%2Fwos%2Fwoscc%2Ffull-record%2FWOS:000767748100002","View Full Record in Web of Science")</f>
        <v>View Full Record in Web of Science</v>
      </c>
    </row>
    <row r="96" spans="1:72" x14ac:dyDescent="0.15">
      <c r="A96" t="s">
        <v>72</v>
      </c>
      <c r="B96" t="s">
        <v>2197</v>
      </c>
      <c r="C96" t="s">
        <v>74</v>
      </c>
      <c r="D96" t="s">
        <v>74</v>
      </c>
      <c r="E96" t="s">
        <v>74</v>
      </c>
      <c r="F96" t="s">
        <v>2198</v>
      </c>
      <c r="G96" t="s">
        <v>74</v>
      </c>
      <c r="H96" t="s">
        <v>74</v>
      </c>
      <c r="I96" t="s">
        <v>2199</v>
      </c>
      <c r="J96" t="s">
        <v>2200</v>
      </c>
      <c r="K96" t="s">
        <v>74</v>
      </c>
      <c r="L96" t="s">
        <v>74</v>
      </c>
      <c r="M96" t="s">
        <v>78</v>
      </c>
      <c r="N96" t="s">
        <v>79</v>
      </c>
      <c r="O96" t="s">
        <v>74</v>
      </c>
      <c r="P96" t="s">
        <v>74</v>
      </c>
      <c r="Q96" t="s">
        <v>74</v>
      </c>
      <c r="R96" t="s">
        <v>74</v>
      </c>
      <c r="S96" t="s">
        <v>74</v>
      </c>
      <c r="T96" t="s">
        <v>2201</v>
      </c>
      <c r="U96" t="s">
        <v>2202</v>
      </c>
      <c r="V96" t="s">
        <v>2203</v>
      </c>
      <c r="W96" t="s">
        <v>2204</v>
      </c>
      <c r="X96" t="s">
        <v>2205</v>
      </c>
      <c r="Y96" t="s">
        <v>2206</v>
      </c>
      <c r="Z96" t="s">
        <v>2207</v>
      </c>
      <c r="AA96" t="s">
        <v>2208</v>
      </c>
      <c r="AB96" t="s">
        <v>2209</v>
      </c>
      <c r="AC96" t="s">
        <v>2210</v>
      </c>
      <c r="AD96" t="s">
        <v>2211</v>
      </c>
      <c r="AE96" t="s">
        <v>2212</v>
      </c>
      <c r="AF96" t="s">
        <v>74</v>
      </c>
      <c r="AG96">
        <v>108</v>
      </c>
      <c r="AH96">
        <v>3</v>
      </c>
      <c r="AI96">
        <v>3</v>
      </c>
      <c r="AJ96">
        <v>1</v>
      </c>
      <c r="AK96">
        <v>14</v>
      </c>
      <c r="AL96" t="s">
        <v>92</v>
      </c>
      <c r="AM96" t="s">
        <v>93</v>
      </c>
      <c r="AN96" t="s">
        <v>94</v>
      </c>
      <c r="AO96" t="s">
        <v>2213</v>
      </c>
      <c r="AP96" t="s">
        <v>2214</v>
      </c>
      <c r="AQ96" t="s">
        <v>74</v>
      </c>
      <c r="AR96" t="s">
        <v>2215</v>
      </c>
      <c r="AS96" t="s">
        <v>2216</v>
      </c>
      <c r="AT96" t="s">
        <v>99</v>
      </c>
      <c r="AU96">
        <v>2022</v>
      </c>
      <c r="AV96">
        <v>166</v>
      </c>
      <c r="AW96" t="s">
        <v>74</v>
      </c>
      <c r="AX96" t="s">
        <v>74</v>
      </c>
      <c r="AY96" t="s">
        <v>74</v>
      </c>
      <c r="AZ96" t="s">
        <v>74</v>
      </c>
      <c r="BA96" t="s">
        <v>74</v>
      </c>
      <c r="BB96" t="s">
        <v>74</v>
      </c>
      <c r="BC96" t="s">
        <v>74</v>
      </c>
      <c r="BD96">
        <v>108579</v>
      </c>
      <c r="BE96" t="s">
        <v>2217</v>
      </c>
      <c r="BF96" t="str">
        <f>HYPERLINK("http://dx.doi.org/10.1016/j.soilbio.2022.108579","http://dx.doi.org/10.1016/j.soilbio.2022.108579")</f>
        <v>http://dx.doi.org/10.1016/j.soilbio.2022.108579</v>
      </c>
      <c r="BG96" t="s">
        <v>74</v>
      </c>
      <c r="BH96" t="s">
        <v>101</v>
      </c>
      <c r="BI96">
        <v>10</v>
      </c>
      <c r="BJ96" t="s">
        <v>2218</v>
      </c>
      <c r="BK96" t="s">
        <v>103</v>
      </c>
      <c r="BL96" t="s">
        <v>2219</v>
      </c>
      <c r="BM96" t="s">
        <v>2220</v>
      </c>
      <c r="BN96" t="s">
        <v>74</v>
      </c>
      <c r="BO96" t="s">
        <v>74</v>
      </c>
      <c r="BP96" t="s">
        <v>74</v>
      </c>
      <c r="BQ96" t="s">
        <v>74</v>
      </c>
      <c r="BR96" t="s">
        <v>106</v>
      </c>
      <c r="BS96" t="s">
        <v>2221</v>
      </c>
      <c r="BT96" t="str">
        <f>HYPERLINK("https%3A%2F%2Fwww.webofscience.com%2Fwos%2Fwoscc%2Ffull-record%2FWOS:000776080900011","View Full Record in Web of Science")</f>
        <v>View Full Record in Web of Science</v>
      </c>
    </row>
    <row r="97" spans="1:72" x14ac:dyDescent="0.15">
      <c r="A97" t="s">
        <v>72</v>
      </c>
      <c r="B97" t="s">
        <v>2222</v>
      </c>
      <c r="C97" t="s">
        <v>74</v>
      </c>
      <c r="D97" t="s">
        <v>74</v>
      </c>
      <c r="E97" t="s">
        <v>74</v>
      </c>
      <c r="F97" t="s">
        <v>2223</v>
      </c>
      <c r="G97" t="s">
        <v>74</v>
      </c>
      <c r="H97" t="s">
        <v>74</v>
      </c>
      <c r="I97" t="s">
        <v>2224</v>
      </c>
      <c r="J97" t="s">
        <v>2225</v>
      </c>
      <c r="K97" t="s">
        <v>74</v>
      </c>
      <c r="L97" t="s">
        <v>74</v>
      </c>
      <c r="M97" t="s">
        <v>78</v>
      </c>
      <c r="N97" t="s">
        <v>79</v>
      </c>
      <c r="O97" t="s">
        <v>74</v>
      </c>
      <c r="P97" t="s">
        <v>74</v>
      </c>
      <c r="Q97" t="s">
        <v>74</v>
      </c>
      <c r="R97" t="s">
        <v>74</v>
      </c>
      <c r="S97" t="s">
        <v>74</v>
      </c>
      <c r="T97" t="s">
        <v>2226</v>
      </c>
      <c r="U97" t="s">
        <v>2227</v>
      </c>
      <c r="V97" t="s">
        <v>2228</v>
      </c>
      <c r="W97" t="s">
        <v>2229</v>
      </c>
      <c r="X97" t="s">
        <v>2230</v>
      </c>
      <c r="Y97" t="s">
        <v>2231</v>
      </c>
      <c r="Z97" t="s">
        <v>2232</v>
      </c>
      <c r="AA97" t="s">
        <v>74</v>
      </c>
      <c r="AB97" t="s">
        <v>74</v>
      </c>
      <c r="AC97" t="s">
        <v>2233</v>
      </c>
      <c r="AD97" t="s">
        <v>2233</v>
      </c>
      <c r="AE97" t="s">
        <v>2234</v>
      </c>
      <c r="AF97" t="s">
        <v>74</v>
      </c>
      <c r="AG97">
        <v>33</v>
      </c>
      <c r="AH97">
        <v>4</v>
      </c>
      <c r="AI97">
        <v>4</v>
      </c>
      <c r="AJ97">
        <v>3</v>
      </c>
      <c r="AK97">
        <v>16</v>
      </c>
      <c r="AL97" t="s">
        <v>310</v>
      </c>
      <c r="AM97" t="s">
        <v>311</v>
      </c>
      <c r="AN97" t="s">
        <v>312</v>
      </c>
      <c r="AO97" t="s">
        <v>2235</v>
      </c>
      <c r="AP97" t="s">
        <v>2236</v>
      </c>
      <c r="AQ97" t="s">
        <v>74</v>
      </c>
      <c r="AR97" t="s">
        <v>2237</v>
      </c>
      <c r="AS97" t="s">
        <v>2238</v>
      </c>
      <c r="AT97" t="s">
        <v>583</v>
      </c>
      <c r="AU97">
        <v>2022</v>
      </c>
      <c r="AV97">
        <v>349</v>
      </c>
      <c r="AW97" t="s">
        <v>74</v>
      </c>
      <c r="AX97" t="s">
        <v>74</v>
      </c>
      <c r="AY97" t="s">
        <v>74</v>
      </c>
      <c r="AZ97" t="s">
        <v>74</v>
      </c>
      <c r="BA97" t="s">
        <v>74</v>
      </c>
      <c r="BB97" t="s">
        <v>74</v>
      </c>
      <c r="BC97" t="s">
        <v>74</v>
      </c>
      <c r="BD97">
        <v>118185</v>
      </c>
      <c r="BE97" t="s">
        <v>2239</v>
      </c>
      <c r="BF97" t="str">
        <f>HYPERLINK("http://dx.doi.org/10.1016/j.molliq.2021.118185","http://dx.doi.org/10.1016/j.molliq.2021.118185")</f>
        <v>http://dx.doi.org/10.1016/j.molliq.2021.118185</v>
      </c>
      <c r="BG97" t="s">
        <v>74</v>
      </c>
      <c r="BH97" t="s">
        <v>101</v>
      </c>
      <c r="BI97">
        <v>9</v>
      </c>
      <c r="BJ97" t="s">
        <v>2240</v>
      </c>
      <c r="BK97" t="s">
        <v>103</v>
      </c>
      <c r="BL97" t="s">
        <v>2241</v>
      </c>
      <c r="BM97" t="s">
        <v>2242</v>
      </c>
      <c r="BN97" t="s">
        <v>74</v>
      </c>
      <c r="BO97" t="s">
        <v>74</v>
      </c>
      <c r="BP97" t="s">
        <v>74</v>
      </c>
      <c r="BQ97" t="s">
        <v>74</v>
      </c>
      <c r="BR97" t="s">
        <v>106</v>
      </c>
      <c r="BS97" t="s">
        <v>2243</v>
      </c>
      <c r="BT97" t="str">
        <f>HYPERLINK("https%3A%2F%2Fwww.webofscience.com%2Fwos%2Fwoscc%2Ffull-record%2FWOS:000754637300011","View Full Record in Web of Science")</f>
        <v>View Full Record in Web of Science</v>
      </c>
    </row>
    <row r="98" spans="1:72" x14ac:dyDescent="0.15">
      <c r="A98" t="s">
        <v>72</v>
      </c>
      <c r="B98" t="s">
        <v>2244</v>
      </c>
      <c r="C98" t="s">
        <v>74</v>
      </c>
      <c r="D98" t="s">
        <v>74</v>
      </c>
      <c r="E98" t="s">
        <v>74</v>
      </c>
      <c r="F98" t="s">
        <v>2245</v>
      </c>
      <c r="G98" t="s">
        <v>74</v>
      </c>
      <c r="H98" t="s">
        <v>74</v>
      </c>
      <c r="I98" t="s">
        <v>2246</v>
      </c>
      <c r="J98" t="s">
        <v>1635</v>
      </c>
      <c r="K98" t="s">
        <v>74</v>
      </c>
      <c r="L98" t="s">
        <v>74</v>
      </c>
      <c r="M98" t="s">
        <v>78</v>
      </c>
      <c r="N98" t="s">
        <v>1434</v>
      </c>
      <c r="O98" t="s">
        <v>74</v>
      </c>
      <c r="P98" t="s">
        <v>74</v>
      </c>
      <c r="Q98" t="s">
        <v>74</v>
      </c>
      <c r="R98" t="s">
        <v>74</v>
      </c>
      <c r="S98" t="s">
        <v>74</v>
      </c>
      <c r="T98" t="s">
        <v>74</v>
      </c>
      <c r="U98" t="s">
        <v>2247</v>
      </c>
      <c r="V98" t="s">
        <v>2248</v>
      </c>
      <c r="W98" t="s">
        <v>2249</v>
      </c>
      <c r="X98" t="s">
        <v>2250</v>
      </c>
      <c r="Y98" t="s">
        <v>2251</v>
      </c>
      <c r="Z98" t="s">
        <v>2252</v>
      </c>
      <c r="AA98" t="s">
        <v>2253</v>
      </c>
      <c r="AB98" t="s">
        <v>2254</v>
      </c>
      <c r="AC98" t="s">
        <v>2255</v>
      </c>
      <c r="AD98" t="s">
        <v>2256</v>
      </c>
      <c r="AE98" t="s">
        <v>2257</v>
      </c>
      <c r="AF98" t="s">
        <v>74</v>
      </c>
      <c r="AG98">
        <v>39</v>
      </c>
      <c r="AH98">
        <v>1</v>
      </c>
      <c r="AI98">
        <v>2</v>
      </c>
      <c r="AJ98">
        <v>1</v>
      </c>
      <c r="AK98">
        <v>2</v>
      </c>
      <c r="AL98" t="s">
        <v>120</v>
      </c>
      <c r="AM98" t="s">
        <v>121</v>
      </c>
      <c r="AN98" t="s">
        <v>122</v>
      </c>
      <c r="AO98" t="s">
        <v>1646</v>
      </c>
      <c r="AP98" t="s">
        <v>1647</v>
      </c>
      <c r="AQ98" t="s">
        <v>74</v>
      </c>
      <c r="AR98" t="s">
        <v>1648</v>
      </c>
      <c r="AS98" t="s">
        <v>1649</v>
      </c>
      <c r="AT98" t="s">
        <v>2191</v>
      </c>
      <c r="AU98">
        <v>2022</v>
      </c>
      <c r="AV98">
        <v>14</v>
      </c>
      <c r="AW98">
        <v>2</v>
      </c>
      <c r="AX98" t="s">
        <v>74</v>
      </c>
      <c r="AY98" t="s">
        <v>74</v>
      </c>
      <c r="AZ98" t="s">
        <v>74</v>
      </c>
      <c r="BA98" t="s">
        <v>74</v>
      </c>
      <c r="BB98">
        <v>479</v>
      </c>
      <c r="BC98">
        <v>490</v>
      </c>
      <c r="BD98" t="s">
        <v>74</v>
      </c>
      <c r="BE98" t="s">
        <v>2258</v>
      </c>
      <c r="BF98" t="str">
        <f>HYPERLINK("http://dx.doi.org/10.5194/essd-14-479-2022","http://dx.doi.org/10.5194/essd-14-479-2022")</f>
        <v>http://dx.doi.org/10.5194/essd-14-479-2022</v>
      </c>
      <c r="BG98" t="s">
        <v>74</v>
      </c>
      <c r="BH98" t="s">
        <v>74</v>
      </c>
      <c r="BI98">
        <v>12</v>
      </c>
      <c r="BJ98" t="s">
        <v>1201</v>
      </c>
      <c r="BK98" t="s">
        <v>103</v>
      </c>
      <c r="BL98" t="s">
        <v>1202</v>
      </c>
      <c r="BM98" t="s">
        <v>2259</v>
      </c>
      <c r="BN98" t="s">
        <v>74</v>
      </c>
      <c r="BO98" t="s">
        <v>419</v>
      </c>
      <c r="BP98" t="s">
        <v>74</v>
      </c>
      <c r="BQ98" t="s">
        <v>74</v>
      </c>
      <c r="BR98" t="s">
        <v>106</v>
      </c>
      <c r="BS98" t="s">
        <v>2260</v>
      </c>
      <c r="BT98" t="str">
        <f>HYPERLINK("https%3A%2F%2Fwww.webofscience.com%2Fwos%2Fwoscc%2Ffull-record%2FWOS:000758090400001","View Full Record in Web of Science")</f>
        <v>View Full Record in Web of Science</v>
      </c>
    </row>
    <row r="99" spans="1:72" x14ac:dyDescent="0.15">
      <c r="A99" t="s">
        <v>72</v>
      </c>
      <c r="B99" t="s">
        <v>2261</v>
      </c>
      <c r="C99" t="s">
        <v>74</v>
      </c>
      <c r="D99" t="s">
        <v>74</v>
      </c>
      <c r="E99" t="s">
        <v>74</v>
      </c>
      <c r="F99" t="s">
        <v>2262</v>
      </c>
      <c r="G99" t="s">
        <v>74</v>
      </c>
      <c r="H99" t="s">
        <v>74</v>
      </c>
      <c r="I99" t="s">
        <v>2263</v>
      </c>
      <c r="J99" t="s">
        <v>1184</v>
      </c>
      <c r="K99" t="s">
        <v>74</v>
      </c>
      <c r="L99" t="s">
        <v>74</v>
      </c>
      <c r="M99" t="s">
        <v>78</v>
      </c>
      <c r="N99" t="s">
        <v>79</v>
      </c>
      <c r="O99" t="s">
        <v>74</v>
      </c>
      <c r="P99" t="s">
        <v>74</v>
      </c>
      <c r="Q99" t="s">
        <v>74</v>
      </c>
      <c r="R99" t="s">
        <v>74</v>
      </c>
      <c r="S99" t="s">
        <v>74</v>
      </c>
      <c r="T99" t="s">
        <v>74</v>
      </c>
      <c r="U99" t="s">
        <v>2264</v>
      </c>
      <c r="V99" t="s">
        <v>2265</v>
      </c>
      <c r="W99" t="s">
        <v>2266</v>
      </c>
      <c r="X99" t="s">
        <v>2267</v>
      </c>
      <c r="Y99" t="s">
        <v>2268</v>
      </c>
      <c r="Z99" t="s">
        <v>2269</v>
      </c>
      <c r="AA99" t="s">
        <v>2270</v>
      </c>
      <c r="AB99" t="s">
        <v>2271</v>
      </c>
      <c r="AC99" t="s">
        <v>2272</v>
      </c>
      <c r="AD99" t="s">
        <v>2273</v>
      </c>
      <c r="AE99" t="s">
        <v>2274</v>
      </c>
      <c r="AF99" t="s">
        <v>74</v>
      </c>
      <c r="AG99">
        <v>178</v>
      </c>
      <c r="AH99">
        <v>10</v>
      </c>
      <c r="AI99">
        <v>10</v>
      </c>
      <c r="AJ99">
        <v>2</v>
      </c>
      <c r="AK99">
        <v>15</v>
      </c>
      <c r="AL99" t="s">
        <v>120</v>
      </c>
      <c r="AM99" t="s">
        <v>121</v>
      </c>
      <c r="AN99" t="s">
        <v>122</v>
      </c>
      <c r="AO99" t="s">
        <v>1196</v>
      </c>
      <c r="AP99" t="s">
        <v>1197</v>
      </c>
      <c r="AQ99" t="s">
        <v>74</v>
      </c>
      <c r="AR99" t="s">
        <v>1198</v>
      </c>
      <c r="AS99" t="s">
        <v>1199</v>
      </c>
      <c r="AT99" t="s">
        <v>2191</v>
      </c>
      <c r="AU99">
        <v>2022</v>
      </c>
      <c r="AV99">
        <v>18</v>
      </c>
      <c r="AW99">
        <v>2</v>
      </c>
      <c r="AX99" t="s">
        <v>74</v>
      </c>
      <c r="AY99" t="s">
        <v>74</v>
      </c>
      <c r="AZ99" t="s">
        <v>74</v>
      </c>
      <c r="BA99" t="s">
        <v>74</v>
      </c>
      <c r="BB99">
        <v>209</v>
      </c>
      <c r="BC99">
        <v>232</v>
      </c>
      <c r="BD99" t="s">
        <v>74</v>
      </c>
      <c r="BE99" t="s">
        <v>2275</v>
      </c>
      <c r="BF99" t="str">
        <f>HYPERLINK("http://dx.doi.org/10.5194/cp-18-209-2022","http://dx.doi.org/10.5194/cp-18-209-2022")</f>
        <v>http://dx.doi.org/10.5194/cp-18-209-2022</v>
      </c>
      <c r="BG99" t="s">
        <v>74</v>
      </c>
      <c r="BH99" t="s">
        <v>74</v>
      </c>
      <c r="BI99">
        <v>24</v>
      </c>
      <c r="BJ99" t="s">
        <v>1201</v>
      </c>
      <c r="BK99" t="s">
        <v>103</v>
      </c>
      <c r="BL99" t="s">
        <v>1202</v>
      </c>
      <c r="BM99" t="s">
        <v>2276</v>
      </c>
      <c r="BN99" t="s">
        <v>74</v>
      </c>
      <c r="BO99" t="s">
        <v>2277</v>
      </c>
      <c r="BP99" t="s">
        <v>74</v>
      </c>
      <c r="BQ99" t="s">
        <v>74</v>
      </c>
      <c r="BR99" t="s">
        <v>106</v>
      </c>
      <c r="BS99" t="s">
        <v>2278</v>
      </c>
      <c r="BT99" t="str">
        <f>HYPERLINK("https%3A%2F%2Fwww.webofscience.com%2Fwos%2Fwoscc%2Ffull-record%2FWOS:000758080800001","View Full Record in Web of Science")</f>
        <v>View Full Record in Web of Science</v>
      </c>
    </row>
    <row r="100" spans="1:72" x14ac:dyDescent="0.15">
      <c r="A100" t="s">
        <v>72</v>
      </c>
      <c r="B100" t="s">
        <v>2279</v>
      </c>
      <c r="C100" t="s">
        <v>74</v>
      </c>
      <c r="D100" t="s">
        <v>74</v>
      </c>
      <c r="E100" t="s">
        <v>74</v>
      </c>
      <c r="F100" t="s">
        <v>2280</v>
      </c>
      <c r="G100" t="s">
        <v>74</v>
      </c>
      <c r="H100" t="s">
        <v>74</v>
      </c>
      <c r="I100" t="s">
        <v>2281</v>
      </c>
      <c r="J100" t="s">
        <v>2282</v>
      </c>
      <c r="K100" t="s">
        <v>74</v>
      </c>
      <c r="L100" t="s">
        <v>74</v>
      </c>
      <c r="M100" t="s">
        <v>78</v>
      </c>
      <c r="N100" t="s">
        <v>79</v>
      </c>
      <c r="O100" t="s">
        <v>74</v>
      </c>
      <c r="P100" t="s">
        <v>74</v>
      </c>
      <c r="Q100" t="s">
        <v>74</v>
      </c>
      <c r="R100" t="s">
        <v>74</v>
      </c>
      <c r="S100" t="s">
        <v>74</v>
      </c>
      <c r="T100" t="s">
        <v>2283</v>
      </c>
      <c r="U100" t="s">
        <v>2284</v>
      </c>
      <c r="V100" t="s">
        <v>2285</v>
      </c>
      <c r="W100" t="s">
        <v>2286</v>
      </c>
      <c r="X100" t="s">
        <v>2287</v>
      </c>
      <c r="Y100" t="s">
        <v>2288</v>
      </c>
      <c r="Z100" t="s">
        <v>2289</v>
      </c>
      <c r="AA100" t="s">
        <v>2290</v>
      </c>
      <c r="AB100" t="s">
        <v>2291</v>
      </c>
      <c r="AC100" t="s">
        <v>2292</v>
      </c>
      <c r="AD100" t="s">
        <v>2293</v>
      </c>
      <c r="AE100" t="s">
        <v>2294</v>
      </c>
      <c r="AF100" t="s">
        <v>74</v>
      </c>
      <c r="AG100">
        <v>100</v>
      </c>
      <c r="AH100">
        <v>17</v>
      </c>
      <c r="AI100">
        <v>17</v>
      </c>
      <c r="AJ100">
        <v>7</v>
      </c>
      <c r="AK100">
        <v>37</v>
      </c>
      <c r="AL100" t="s">
        <v>1074</v>
      </c>
      <c r="AM100" t="s">
        <v>1098</v>
      </c>
      <c r="AN100" t="s">
        <v>1099</v>
      </c>
      <c r="AO100" t="s">
        <v>2295</v>
      </c>
      <c r="AP100" t="s">
        <v>2296</v>
      </c>
      <c r="AQ100" t="s">
        <v>74</v>
      </c>
      <c r="AR100" t="s">
        <v>2297</v>
      </c>
      <c r="AS100" t="s">
        <v>2298</v>
      </c>
      <c r="AT100" t="s">
        <v>483</v>
      </c>
      <c r="AU100">
        <v>2022</v>
      </c>
      <c r="AV100">
        <v>24</v>
      </c>
      <c r="AW100">
        <v>7</v>
      </c>
      <c r="AX100" t="s">
        <v>74</v>
      </c>
      <c r="AY100" t="s">
        <v>74</v>
      </c>
      <c r="AZ100" t="s">
        <v>233</v>
      </c>
      <c r="BA100" t="s">
        <v>74</v>
      </c>
      <c r="BB100">
        <v>1995</v>
      </c>
      <c r="BC100">
        <v>2016</v>
      </c>
      <c r="BD100" t="s">
        <v>74</v>
      </c>
      <c r="BE100" t="s">
        <v>2299</v>
      </c>
      <c r="BF100" t="str">
        <f>HYPERLINK("http://dx.doi.org/10.1007/s10530-022-02732-7","http://dx.doi.org/10.1007/s10530-022-02732-7")</f>
        <v>http://dx.doi.org/10.1007/s10530-022-02732-7</v>
      </c>
      <c r="BG100" t="s">
        <v>74</v>
      </c>
      <c r="BH100" t="s">
        <v>101</v>
      </c>
      <c r="BI100">
        <v>22</v>
      </c>
      <c r="BJ100" t="s">
        <v>1081</v>
      </c>
      <c r="BK100" t="s">
        <v>103</v>
      </c>
      <c r="BL100" t="s">
        <v>1082</v>
      </c>
      <c r="BM100" t="s">
        <v>2300</v>
      </c>
      <c r="BN100" t="s">
        <v>74</v>
      </c>
      <c r="BO100" t="s">
        <v>487</v>
      </c>
      <c r="BP100" t="s">
        <v>74</v>
      </c>
      <c r="BQ100" t="s">
        <v>74</v>
      </c>
      <c r="BR100" t="s">
        <v>106</v>
      </c>
      <c r="BS100" t="s">
        <v>2301</v>
      </c>
      <c r="BT100" t="str">
        <f>HYPERLINK("https%3A%2F%2Fwww.webofscience.com%2Fwos%2Fwoscc%2Ffull-record%2FWOS:000751228800001","View Full Record in Web of Science")</f>
        <v>View Full Record in Web of Science</v>
      </c>
    </row>
    <row r="101" spans="1:72" x14ac:dyDescent="0.15">
      <c r="A101" t="s">
        <v>72</v>
      </c>
      <c r="B101" t="s">
        <v>2302</v>
      </c>
      <c r="C101" t="s">
        <v>74</v>
      </c>
      <c r="D101" t="s">
        <v>74</v>
      </c>
      <c r="E101" t="s">
        <v>74</v>
      </c>
      <c r="F101" t="s">
        <v>2303</v>
      </c>
      <c r="G101" t="s">
        <v>74</v>
      </c>
      <c r="H101" t="s">
        <v>74</v>
      </c>
      <c r="I101" t="s">
        <v>2304</v>
      </c>
      <c r="J101" t="s">
        <v>2305</v>
      </c>
      <c r="K101" t="s">
        <v>74</v>
      </c>
      <c r="L101" t="s">
        <v>74</v>
      </c>
      <c r="M101" t="s">
        <v>78</v>
      </c>
      <c r="N101" t="s">
        <v>79</v>
      </c>
      <c r="O101" t="s">
        <v>74</v>
      </c>
      <c r="P101" t="s">
        <v>74</v>
      </c>
      <c r="Q101" t="s">
        <v>74</v>
      </c>
      <c r="R101" t="s">
        <v>74</v>
      </c>
      <c r="S101" t="s">
        <v>74</v>
      </c>
      <c r="T101" t="s">
        <v>74</v>
      </c>
      <c r="U101" t="s">
        <v>2306</v>
      </c>
      <c r="V101" t="s">
        <v>2307</v>
      </c>
      <c r="W101" t="s">
        <v>2308</v>
      </c>
      <c r="X101" t="s">
        <v>2309</v>
      </c>
      <c r="Y101" t="s">
        <v>2310</v>
      </c>
      <c r="Z101" t="s">
        <v>2311</v>
      </c>
      <c r="AA101" t="s">
        <v>74</v>
      </c>
      <c r="AB101" t="s">
        <v>2312</v>
      </c>
      <c r="AC101" t="s">
        <v>2313</v>
      </c>
      <c r="AD101" t="s">
        <v>2314</v>
      </c>
      <c r="AE101" t="s">
        <v>2315</v>
      </c>
      <c r="AF101" t="s">
        <v>74</v>
      </c>
      <c r="AG101">
        <v>155</v>
      </c>
      <c r="AH101">
        <v>17</v>
      </c>
      <c r="AI101">
        <v>17</v>
      </c>
      <c r="AJ101">
        <v>2</v>
      </c>
      <c r="AK101">
        <v>16</v>
      </c>
      <c r="AL101" t="s">
        <v>337</v>
      </c>
      <c r="AM101" t="s">
        <v>338</v>
      </c>
      <c r="AN101" t="s">
        <v>339</v>
      </c>
      <c r="AO101" t="s">
        <v>74</v>
      </c>
      <c r="AP101" t="s">
        <v>2316</v>
      </c>
      <c r="AQ101" t="s">
        <v>74</v>
      </c>
      <c r="AR101" t="s">
        <v>2317</v>
      </c>
      <c r="AS101" t="s">
        <v>2318</v>
      </c>
      <c r="AT101" t="s">
        <v>2191</v>
      </c>
      <c r="AU101">
        <v>2022</v>
      </c>
      <c r="AV101">
        <v>13</v>
      </c>
      <c r="AW101">
        <v>1</v>
      </c>
      <c r="AX101" t="s">
        <v>74</v>
      </c>
      <c r="AY101" t="s">
        <v>74</v>
      </c>
      <c r="AZ101" t="s">
        <v>74</v>
      </c>
      <c r="BA101" t="s">
        <v>74</v>
      </c>
      <c r="BB101" t="s">
        <v>74</v>
      </c>
      <c r="BC101" t="s">
        <v>74</v>
      </c>
      <c r="BD101">
        <v>698</v>
      </c>
      <c r="BE101" t="s">
        <v>2319</v>
      </c>
      <c r="BF101" t="str">
        <f>HYPERLINK("http://dx.doi.org/10.1038/s41467-022-28290-z","http://dx.doi.org/10.1038/s41467-022-28290-z")</f>
        <v>http://dx.doi.org/10.1038/s41467-022-28290-z</v>
      </c>
      <c r="BG101" t="s">
        <v>74</v>
      </c>
      <c r="BH101" t="s">
        <v>74</v>
      </c>
      <c r="BI101">
        <v>15</v>
      </c>
      <c r="BJ101" t="s">
        <v>289</v>
      </c>
      <c r="BK101" t="s">
        <v>103</v>
      </c>
      <c r="BL101" t="s">
        <v>290</v>
      </c>
      <c r="BM101" t="s">
        <v>2320</v>
      </c>
      <c r="BN101">
        <v>35121740</v>
      </c>
      <c r="BO101" t="s">
        <v>211</v>
      </c>
      <c r="BP101" t="s">
        <v>74</v>
      </c>
      <c r="BQ101" t="s">
        <v>74</v>
      </c>
      <c r="BR101" t="s">
        <v>106</v>
      </c>
      <c r="BS101" t="s">
        <v>2321</v>
      </c>
      <c r="BT101" t="str">
        <f>HYPERLINK("https%3A%2F%2Fwww.webofscience.com%2Fwos%2Fwoscc%2Ffull-record%2FWOS:000751464000018","View Full Record in Web of Science")</f>
        <v>View Full Record in Web of Science</v>
      </c>
    </row>
    <row r="102" spans="1:72" x14ac:dyDescent="0.15">
      <c r="A102" t="s">
        <v>72</v>
      </c>
      <c r="B102" t="s">
        <v>2322</v>
      </c>
      <c r="C102" t="s">
        <v>74</v>
      </c>
      <c r="D102" t="s">
        <v>74</v>
      </c>
      <c r="E102" t="s">
        <v>74</v>
      </c>
      <c r="F102" t="s">
        <v>2323</v>
      </c>
      <c r="G102" t="s">
        <v>74</v>
      </c>
      <c r="H102" t="s">
        <v>74</v>
      </c>
      <c r="I102" t="s">
        <v>2324</v>
      </c>
      <c r="J102" t="s">
        <v>2325</v>
      </c>
      <c r="K102" t="s">
        <v>74</v>
      </c>
      <c r="L102" t="s">
        <v>74</v>
      </c>
      <c r="M102" t="s">
        <v>78</v>
      </c>
      <c r="N102" t="s">
        <v>79</v>
      </c>
      <c r="O102" t="s">
        <v>74</v>
      </c>
      <c r="P102" t="s">
        <v>74</v>
      </c>
      <c r="Q102" t="s">
        <v>74</v>
      </c>
      <c r="R102" t="s">
        <v>74</v>
      </c>
      <c r="S102" t="s">
        <v>74</v>
      </c>
      <c r="T102" t="s">
        <v>2326</v>
      </c>
      <c r="U102" t="s">
        <v>2327</v>
      </c>
      <c r="V102" t="s">
        <v>2328</v>
      </c>
      <c r="W102" t="s">
        <v>2329</v>
      </c>
      <c r="X102" t="s">
        <v>2330</v>
      </c>
      <c r="Y102" t="s">
        <v>2331</v>
      </c>
      <c r="Z102" t="s">
        <v>74</v>
      </c>
      <c r="AA102" t="s">
        <v>2332</v>
      </c>
      <c r="AB102" t="s">
        <v>2333</v>
      </c>
      <c r="AC102" t="s">
        <v>2334</v>
      </c>
      <c r="AD102" t="s">
        <v>2335</v>
      </c>
      <c r="AE102" t="s">
        <v>2336</v>
      </c>
      <c r="AF102" t="s">
        <v>74</v>
      </c>
      <c r="AG102">
        <v>39</v>
      </c>
      <c r="AH102">
        <v>4</v>
      </c>
      <c r="AI102">
        <v>4</v>
      </c>
      <c r="AJ102">
        <v>0</v>
      </c>
      <c r="AK102">
        <v>4</v>
      </c>
      <c r="AL102" t="s">
        <v>92</v>
      </c>
      <c r="AM102" t="s">
        <v>93</v>
      </c>
      <c r="AN102" t="s">
        <v>94</v>
      </c>
      <c r="AO102" t="s">
        <v>2337</v>
      </c>
      <c r="AP102" t="s">
        <v>2338</v>
      </c>
      <c r="AQ102" t="s">
        <v>74</v>
      </c>
      <c r="AR102" t="s">
        <v>2339</v>
      </c>
      <c r="AS102" t="s">
        <v>2340</v>
      </c>
      <c r="AT102" t="s">
        <v>537</v>
      </c>
      <c r="AU102">
        <v>2022</v>
      </c>
      <c r="AV102">
        <v>193</v>
      </c>
      <c r="AW102" t="s">
        <v>74</v>
      </c>
      <c r="AX102" t="s">
        <v>74</v>
      </c>
      <c r="AY102" t="s">
        <v>74</v>
      </c>
      <c r="AZ102" t="s">
        <v>74</v>
      </c>
      <c r="BA102" t="s">
        <v>74</v>
      </c>
      <c r="BB102" t="s">
        <v>74</v>
      </c>
      <c r="BC102" t="s">
        <v>74</v>
      </c>
      <c r="BD102">
        <v>109972</v>
      </c>
      <c r="BE102" t="s">
        <v>2341</v>
      </c>
      <c r="BF102" t="str">
        <f>HYPERLINK("http://dx.doi.org/10.1016/j.radphyschem.2022.109972","http://dx.doi.org/10.1016/j.radphyschem.2022.109972")</f>
        <v>http://dx.doi.org/10.1016/j.radphyschem.2022.109972</v>
      </c>
      <c r="BG102" t="s">
        <v>74</v>
      </c>
      <c r="BH102" t="s">
        <v>101</v>
      </c>
      <c r="BI102">
        <v>10</v>
      </c>
      <c r="BJ102" t="s">
        <v>2342</v>
      </c>
      <c r="BK102" t="s">
        <v>103</v>
      </c>
      <c r="BL102" t="s">
        <v>2343</v>
      </c>
      <c r="BM102" t="s">
        <v>2344</v>
      </c>
      <c r="BN102" t="s">
        <v>74</v>
      </c>
      <c r="BO102" t="s">
        <v>74</v>
      </c>
      <c r="BP102" t="s">
        <v>74</v>
      </c>
      <c r="BQ102" t="s">
        <v>74</v>
      </c>
      <c r="BR102" t="s">
        <v>106</v>
      </c>
      <c r="BS102" t="s">
        <v>2345</v>
      </c>
      <c r="BT102" t="str">
        <f>HYPERLINK("https%3A%2F%2Fwww.webofscience.com%2Fwos%2Fwoscc%2Ffull-record%2FWOS:000789651500001","View Full Record in Web of Science")</f>
        <v>View Full Record in Web of Science</v>
      </c>
    </row>
    <row r="103" spans="1:72" x14ac:dyDescent="0.15">
      <c r="A103" t="s">
        <v>72</v>
      </c>
      <c r="B103" t="s">
        <v>2346</v>
      </c>
      <c r="C103" t="s">
        <v>74</v>
      </c>
      <c r="D103" t="s">
        <v>74</v>
      </c>
      <c r="E103" t="s">
        <v>74</v>
      </c>
      <c r="F103" t="s">
        <v>2347</v>
      </c>
      <c r="G103" t="s">
        <v>74</v>
      </c>
      <c r="H103" t="s">
        <v>74</v>
      </c>
      <c r="I103" t="s">
        <v>2348</v>
      </c>
      <c r="J103" t="s">
        <v>2349</v>
      </c>
      <c r="K103" t="s">
        <v>74</v>
      </c>
      <c r="L103" t="s">
        <v>74</v>
      </c>
      <c r="M103" t="s">
        <v>78</v>
      </c>
      <c r="N103" t="s">
        <v>79</v>
      </c>
      <c r="O103" t="s">
        <v>74</v>
      </c>
      <c r="P103" t="s">
        <v>74</v>
      </c>
      <c r="Q103" t="s">
        <v>74</v>
      </c>
      <c r="R103" t="s">
        <v>74</v>
      </c>
      <c r="S103" t="s">
        <v>74</v>
      </c>
      <c r="T103" t="s">
        <v>2350</v>
      </c>
      <c r="U103" t="s">
        <v>2351</v>
      </c>
      <c r="V103" t="s">
        <v>2352</v>
      </c>
      <c r="W103" t="s">
        <v>2353</v>
      </c>
      <c r="X103" t="s">
        <v>2354</v>
      </c>
      <c r="Y103" t="s">
        <v>2355</v>
      </c>
      <c r="Z103" t="s">
        <v>2356</v>
      </c>
      <c r="AA103" t="s">
        <v>2357</v>
      </c>
      <c r="AB103" t="s">
        <v>2358</v>
      </c>
      <c r="AC103" t="s">
        <v>2359</v>
      </c>
      <c r="AD103" t="s">
        <v>2360</v>
      </c>
      <c r="AE103" t="s">
        <v>2361</v>
      </c>
      <c r="AF103" t="s">
        <v>74</v>
      </c>
      <c r="AG103">
        <v>180</v>
      </c>
      <c r="AH103">
        <v>27</v>
      </c>
      <c r="AI103">
        <v>30</v>
      </c>
      <c r="AJ103">
        <v>13</v>
      </c>
      <c r="AK103">
        <v>51</v>
      </c>
      <c r="AL103" t="s">
        <v>1603</v>
      </c>
      <c r="AM103" t="s">
        <v>93</v>
      </c>
      <c r="AN103" t="s">
        <v>1604</v>
      </c>
      <c r="AO103" t="s">
        <v>2362</v>
      </c>
      <c r="AP103" t="s">
        <v>2363</v>
      </c>
      <c r="AQ103" t="s">
        <v>74</v>
      </c>
      <c r="AR103" t="s">
        <v>2364</v>
      </c>
      <c r="AS103" t="s">
        <v>2365</v>
      </c>
      <c r="AT103" t="s">
        <v>2366</v>
      </c>
      <c r="AU103">
        <v>2022</v>
      </c>
      <c r="AV103">
        <v>39</v>
      </c>
      <c r="AW103">
        <v>2</v>
      </c>
      <c r="AX103" t="s">
        <v>74</v>
      </c>
      <c r="AY103" t="s">
        <v>74</v>
      </c>
      <c r="AZ103" t="s">
        <v>74</v>
      </c>
      <c r="BA103" t="s">
        <v>74</v>
      </c>
      <c r="BB103" t="s">
        <v>74</v>
      </c>
      <c r="BC103" t="s">
        <v>74</v>
      </c>
      <c r="BD103" t="s">
        <v>2367</v>
      </c>
      <c r="BE103" t="s">
        <v>2368</v>
      </c>
      <c r="BF103" t="str">
        <f>HYPERLINK("http://dx.doi.org/10.1093/molbev/msac026","http://dx.doi.org/10.1093/molbev/msac026")</f>
        <v>http://dx.doi.org/10.1093/molbev/msac026</v>
      </c>
      <c r="BG103" t="s">
        <v>74</v>
      </c>
      <c r="BH103" t="s">
        <v>74</v>
      </c>
      <c r="BI103">
        <v>24</v>
      </c>
      <c r="BJ103" t="s">
        <v>2369</v>
      </c>
      <c r="BK103" t="s">
        <v>103</v>
      </c>
      <c r="BL103" t="s">
        <v>2369</v>
      </c>
      <c r="BM103" t="s">
        <v>2370</v>
      </c>
      <c r="BN103">
        <v>35134207</v>
      </c>
      <c r="BO103" t="s">
        <v>292</v>
      </c>
      <c r="BP103" t="s">
        <v>74</v>
      </c>
      <c r="BQ103" t="s">
        <v>74</v>
      </c>
      <c r="BR103" t="s">
        <v>106</v>
      </c>
      <c r="BS103" t="s">
        <v>2371</v>
      </c>
      <c r="BT103" t="str">
        <f>HYPERLINK("https%3A%2F%2Fwww.webofscience.com%2Fwos%2Fwoscc%2Ffull-record%2FWOS:000767848900034","View Full Record in Web of Science")</f>
        <v>View Full Record in Web of Science</v>
      </c>
    </row>
    <row r="104" spans="1:72" x14ac:dyDescent="0.15">
      <c r="A104" t="s">
        <v>72</v>
      </c>
      <c r="B104" t="s">
        <v>2372</v>
      </c>
      <c r="C104" t="s">
        <v>74</v>
      </c>
      <c r="D104" t="s">
        <v>74</v>
      </c>
      <c r="E104" t="s">
        <v>74</v>
      </c>
      <c r="F104" t="s">
        <v>2373</v>
      </c>
      <c r="G104" t="s">
        <v>74</v>
      </c>
      <c r="H104" t="s">
        <v>74</v>
      </c>
      <c r="I104" t="s">
        <v>2374</v>
      </c>
      <c r="J104" t="s">
        <v>2375</v>
      </c>
      <c r="K104" t="s">
        <v>74</v>
      </c>
      <c r="L104" t="s">
        <v>74</v>
      </c>
      <c r="M104" t="s">
        <v>78</v>
      </c>
      <c r="N104" t="s">
        <v>79</v>
      </c>
      <c r="O104" t="s">
        <v>74</v>
      </c>
      <c r="P104" t="s">
        <v>74</v>
      </c>
      <c r="Q104" t="s">
        <v>74</v>
      </c>
      <c r="R104" t="s">
        <v>74</v>
      </c>
      <c r="S104" t="s">
        <v>74</v>
      </c>
      <c r="T104" t="s">
        <v>2376</v>
      </c>
      <c r="U104" t="s">
        <v>2377</v>
      </c>
      <c r="V104" t="s">
        <v>2378</v>
      </c>
      <c r="W104" t="s">
        <v>2379</v>
      </c>
      <c r="X104" t="s">
        <v>2380</v>
      </c>
      <c r="Y104" t="s">
        <v>2381</v>
      </c>
      <c r="Z104" t="s">
        <v>2382</v>
      </c>
      <c r="AA104" t="s">
        <v>2383</v>
      </c>
      <c r="AB104" t="s">
        <v>2384</v>
      </c>
      <c r="AC104" t="s">
        <v>2385</v>
      </c>
      <c r="AD104" t="s">
        <v>2386</v>
      </c>
      <c r="AE104" t="s">
        <v>2387</v>
      </c>
      <c r="AF104" t="s">
        <v>74</v>
      </c>
      <c r="AG104">
        <v>74</v>
      </c>
      <c r="AH104">
        <v>0</v>
      </c>
      <c r="AI104">
        <v>1</v>
      </c>
      <c r="AJ104">
        <v>0</v>
      </c>
      <c r="AK104">
        <v>16</v>
      </c>
      <c r="AL104" t="s">
        <v>92</v>
      </c>
      <c r="AM104" t="s">
        <v>93</v>
      </c>
      <c r="AN104" t="s">
        <v>94</v>
      </c>
      <c r="AO104" t="s">
        <v>2388</v>
      </c>
      <c r="AP104" t="s">
        <v>2389</v>
      </c>
      <c r="AQ104" t="s">
        <v>74</v>
      </c>
      <c r="AR104" t="s">
        <v>2390</v>
      </c>
      <c r="AS104" t="s">
        <v>2391</v>
      </c>
      <c r="AT104" t="s">
        <v>840</v>
      </c>
      <c r="AU104">
        <v>2022</v>
      </c>
      <c r="AV104">
        <v>196</v>
      </c>
      <c r="AW104" t="s">
        <v>74</v>
      </c>
      <c r="AX104" t="s">
        <v>74</v>
      </c>
      <c r="AY104" t="s">
        <v>74</v>
      </c>
      <c r="AZ104" t="s">
        <v>74</v>
      </c>
      <c r="BA104" t="s">
        <v>74</v>
      </c>
      <c r="BB104" t="s">
        <v>74</v>
      </c>
      <c r="BC104" t="s">
        <v>74</v>
      </c>
      <c r="BD104">
        <v>105023</v>
      </c>
      <c r="BE104" t="s">
        <v>2392</v>
      </c>
      <c r="BF104" t="str">
        <f>HYPERLINK("http://dx.doi.org/10.1016/j.dsr2.2022.105023","http://dx.doi.org/10.1016/j.dsr2.2022.105023")</f>
        <v>http://dx.doi.org/10.1016/j.dsr2.2022.105023</v>
      </c>
      <c r="BG104" t="s">
        <v>74</v>
      </c>
      <c r="BH104" t="s">
        <v>101</v>
      </c>
      <c r="BI104">
        <v>12</v>
      </c>
      <c r="BJ104" t="s">
        <v>1131</v>
      </c>
      <c r="BK104" t="s">
        <v>103</v>
      </c>
      <c r="BL104" t="s">
        <v>1131</v>
      </c>
      <c r="BM104" t="s">
        <v>2393</v>
      </c>
      <c r="BN104" t="s">
        <v>74</v>
      </c>
      <c r="BO104" t="s">
        <v>74</v>
      </c>
      <c r="BP104" t="s">
        <v>74</v>
      </c>
      <c r="BQ104" t="s">
        <v>74</v>
      </c>
      <c r="BR104" t="s">
        <v>106</v>
      </c>
      <c r="BS104" t="s">
        <v>2394</v>
      </c>
      <c r="BT104" t="str">
        <f>HYPERLINK("https%3A%2F%2Fwww.webofscience.com%2Fwos%2Fwoscc%2Ffull-record%2FWOS:000767199700001","View Full Record in Web of Science")</f>
        <v>View Full Record in Web of Science</v>
      </c>
    </row>
    <row r="105" spans="1:72" x14ac:dyDescent="0.15">
      <c r="A105" t="s">
        <v>72</v>
      </c>
      <c r="B105" t="s">
        <v>2395</v>
      </c>
      <c r="C105" t="s">
        <v>74</v>
      </c>
      <c r="D105" t="s">
        <v>74</v>
      </c>
      <c r="E105" t="s">
        <v>74</v>
      </c>
      <c r="F105" t="s">
        <v>2396</v>
      </c>
      <c r="G105" t="s">
        <v>74</v>
      </c>
      <c r="H105" t="s">
        <v>74</v>
      </c>
      <c r="I105" t="s">
        <v>2397</v>
      </c>
      <c r="J105" t="s">
        <v>2398</v>
      </c>
      <c r="K105" t="s">
        <v>74</v>
      </c>
      <c r="L105" t="s">
        <v>74</v>
      </c>
      <c r="M105" t="s">
        <v>78</v>
      </c>
      <c r="N105" t="s">
        <v>79</v>
      </c>
      <c r="O105" t="s">
        <v>74</v>
      </c>
      <c r="P105" t="s">
        <v>74</v>
      </c>
      <c r="Q105" t="s">
        <v>74</v>
      </c>
      <c r="R105" t="s">
        <v>74</v>
      </c>
      <c r="S105" t="s">
        <v>74</v>
      </c>
      <c r="T105" t="s">
        <v>2399</v>
      </c>
      <c r="U105" t="s">
        <v>2400</v>
      </c>
      <c r="V105" t="s">
        <v>2401</v>
      </c>
      <c r="W105" t="s">
        <v>2402</v>
      </c>
      <c r="X105" t="s">
        <v>2403</v>
      </c>
      <c r="Y105" t="s">
        <v>2404</v>
      </c>
      <c r="Z105" t="s">
        <v>2405</v>
      </c>
      <c r="AA105" t="s">
        <v>74</v>
      </c>
      <c r="AB105" t="s">
        <v>74</v>
      </c>
      <c r="AC105" t="s">
        <v>2406</v>
      </c>
      <c r="AD105" t="s">
        <v>1577</v>
      </c>
      <c r="AE105" t="s">
        <v>2407</v>
      </c>
      <c r="AF105" t="s">
        <v>74</v>
      </c>
      <c r="AG105">
        <v>46</v>
      </c>
      <c r="AH105">
        <v>5</v>
      </c>
      <c r="AI105">
        <v>5</v>
      </c>
      <c r="AJ105">
        <v>10</v>
      </c>
      <c r="AK105">
        <v>53</v>
      </c>
      <c r="AL105" t="s">
        <v>1074</v>
      </c>
      <c r="AM105" t="s">
        <v>506</v>
      </c>
      <c r="AN105" t="s">
        <v>1075</v>
      </c>
      <c r="AO105" t="s">
        <v>2408</v>
      </c>
      <c r="AP105" t="s">
        <v>2409</v>
      </c>
      <c r="AQ105" t="s">
        <v>74</v>
      </c>
      <c r="AR105" t="s">
        <v>2410</v>
      </c>
      <c r="AS105" t="s">
        <v>2411</v>
      </c>
      <c r="AT105" t="s">
        <v>537</v>
      </c>
      <c r="AU105">
        <v>2022</v>
      </c>
      <c r="AV105">
        <v>45</v>
      </c>
      <c r="AW105">
        <v>4</v>
      </c>
      <c r="AX105" t="s">
        <v>74</v>
      </c>
      <c r="AY105" t="s">
        <v>74</v>
      </c>
      <c r="AZ105" t="s">
        <v>74</v>
      </c>
      <c r="BA105" t="s">
        <v>74</v>
      </c>
      <c r="BB105">
        <v>749</v>
      </c>
      <c r="BC105">
        <v>759</v>
      </c>
      <c r="BD105" t="s">
        <v>74</v>
      </c>
      <c r="BE105" t="s">
        <v>2412</v>
      </c>
      <c r="BF105" t="str">
        <f>HYPERLINK("http://dx.doi.org/10.1007/s00449-022-02696-x","http://dx.doi.org/10.1007/s00449-022-02696-x")</f>
        <v>http://dx.doi.org/10.1007/s00449-022-02696-x</v>
      </c>
      <c r="BG105" t="s">
        <v>74</v>
      </c>
      <c r="BH105" t="s">
        <v>101</v>
      </c>
      <c r="BI105">
        <v>11</v>
      </c>
      <c r="BJ105" t="s">
        <v>2413</v>
      </c>
      <c r="BK105" t="s">
        <v>103</v>
      </c>
      <c r="BL105" t="s">
        <v>2414</v>
      </c>
      <c r="BM105" t="s">
        <v>2415</v>
      </c>
      <c r="BN105">
        <v>35113231</v>
      </c>
      <c r="BO105" t="s">
        <v>74</v>
      </c>
      <c r="BP105" t="s">
        <v>74</v>
      </c>
      <c r="BQ105" t="s">
        <v>74</v>
      </c>
      <c r="BR105" t="s">
        <v>106</v>
      </c>
      <c r="BS105" t="s">
        <v>2416</v>
      </c>
      <c r="BT105" t="str">
        <f>HYPERLINK("https%3A%2F%2Fwww.webofscience.com%2Fwos%2Fwoscc%2Ffull-record%2FWOS:000751676700001","View Full Record in Web of Science")</f>
        <v>View Full Record in Web of Science</v>
      </c>
    </row>
    <row r="106" spans="1:72" x14ac:dyDescent="0.15">
      <c r="A106" t="s">
        <v>72</v>
      </c>
      <c r="B106" t="s">
        <v>2417</v>
      </c>
      <c r="C106" t="s">
        <v>74</v>
      </c>
      <c r="D106" t="s">
        <v>74</v>
      </c>
      <c r="E106" t="s">
        <v>74</v>
      </c>
      <c r="F106" t="s">
        <v>2418</v>
      </c>
      <c r="G106" t="s">
        <v>74</v>
      </c>
      <c r="H106" t="s">
        <v>74</v>
      </c>
      <c r="I106" t="s">
        <v>2419</v>
      </c>
      <c r="J106" t="s">
        <v>1682</v>
      </c>
      <c r="K106" t="s">
        <v>74</v>
      </c>
      <c r="L106" t="s">
        <v>74</v>
      </c>
      <c r="M106" t="s">
        <v>78</v>
      </c>
      <c r="N106" t="s">
        <v>79</v>
      </c>
      <c r="O106" t="s">
        <v>74</v>
      </c>
      <c r="P106" t="s">
        <v>74</v>
      </c>
      <c r="Q106" t="s">
        <v>74</v>
      </c>
      <c r="R106" t="s">
        <v>74</v>
      </c>
      <c r="S106" t="s">
        <v>74</v>
      </c>
      <c r="T106" t="s">
        <v>2420</v>
      </c>
      <c r="U106" t="s">
        <v>2421</v>
      </c>
      <c r="V106" t="s">
        <v>2422</v>
      </c>
      <c r="W106" t="s">
        <v>2423</v>
      </c>
      <c r="X106" t="s">
        <v>2424</v>
      </c>
      <c r="Y106" t="s">
        <v>2425</v>
      </c>
      <c r="Z106" t="s">
        <v>2426</v>
      </c>
      <c r="AA106" t="s">
        <v>74</v>
      </c>
      <c r="AB106" t="s">
        <v>2427</v>
      </c>
      <c r="AC106" t="s">
        <v>2428</v>
      </c>
      <c r="AD106" t="s">
        <v>2429</v>
      </c>
      <c r="AE106" t="s">
        <v>2430</v>
      </c>
      <c r="AF106" t="s">
        <v>74</v>
      </c>
      <c r="AG106">
        <v>27</v>
      </c>
      <c r="AH106">
        <v>3</v>
      </c>
      <c r="AI106">
        <v>3</v>
      </c>
      <c r="AJ106">
        <v>1</v>
      </c>
      <c r="AK106">
        <v>5</v>
      </c>
      <c r="AL106" t="s">
        <v>198</v>
      </c>
      <c r="AM106" t="s">
        <v>506</v>
      </c>
      <c r="AN106" t="s">
        <v>1695</v>
      </c>
      <c r="AO106" t="s">
        <v>1696</v>
      </c>
      <c r="AP106" t="s">
        <v>1697</v>
      </c>
      <c r="AQ106" t="s">
        <v>74</v>
      </c>
      <c r="AR106" t="s">
        <v>1698</v>
      </c>
      <c r="AS106" t="s">
        <v>1699</v>
      </c>
      <c r="AT106" t="s">
        <v>840</v>
      </c>
      <c r="AU106">
        <v>2022</v>
      </c>
      <c r="AV106">
        <v>34</v>
      </c>
      <c r="AW106">
        <v>1</v>
      </c>
      <c r="AX106" t="s">
        <v>74</v>
      </c>
      <c r="AY106" t="s">
        <v>74</v>
      </c>
      <c r="AZ106" t="s">
        <v>74</v>
      </c>
      <c r="BA106" t="s">
        <v>74</v>
      </c>
      <c r="BB106">
        <v>97</v>
      </c>
      <c r="BC106">
        <v>104</v>
      </c>
      <c r="BD106" t="s">
        <v>2431</v>
      </c>
      <c r="BE106" t="s">
        <v>2432</v>
      </c>
      <c r="BF106" t="str">
        <f>HYPERLINK("http://dx.doi.org/10.1017/S0954102021000523","http://dx.doi.org/10.1017/S0954102021000523")</f>
        <v>http://dx.doi.org/10.1017/S0954102021000523</v>
      </c>
      <c r="BG106" t="s">
        <v>74</v>
      </c>
      <c r="BH106" t="s">
        <v>101</v>
      </c>
      <c r="BI106">
        <v>8</v>
      </c>
      <c r="BJ106" t="s">
        <v>1702</v>
      </c>
      <c r="BK106" t="s">
        <v>103</v>
      </c>
      <c r="BL106" t="s">
        <v>1703</v>
      </c>
      <c r="BM106" t="s">
        <v>1704</v>
      </c>
      <c r="BN106" t="s">
        <v>74</v>
      </c>
      <c r="BO106" t="s">
        <v>749</v>
      </c>
      <c r="BP106" t="s">
        <v>74</v>
      </c>
      <c r="BQ106" t="s">
        <v>74</v>
      </c>
      <c r="BR106" t="s">
        <v>106</v>
      </c>
      <c r="BS106" t="s">
        <v>2433</v>
      </c>
      <c r="BT106" t="str">
        <f>HYPERLINK("https%3A%2F%2Fwww.webofscience.com%2Fwos%2Fwoscc%2Ffull-record%2FWOS:000750648000001","View Full Record in Web of Science")</f>
        <v>View Full Record in Web of Science</v>
      </c>
    </row>
    <row r="107" spans="1:72" x14ac:dyDescent="0.15">
      <c r="A107" t="s">
        <v>72</v>
      </c>
      <c r="B107" t="s">
        <v>2434</v>
      </c>
      <c r="C107" t="s">
        <v>74</v>
      </c>
      <c r="D107" t="s">
        <v>74</v>
      </c>
      <c r="E107" t="s">
        <v>74</v>
      </c>
      <c r="F107" t="s">
        <v>2435</v>
      </c>
      <c r="G107" t="s">
        <v>74</v>
      </c>
      <c r="H107" t="s">
        <v>74</v>
      </c>
      <c r="I107" t="s">
        <v>2436</v>
      </c>
      <c r="J107" t="s">
        <v>1682</v>
      </c>
      <c r="K107" t="s">
        <v>74</v>
      </c>
      <c r="L107" t="s">
        <v>74</v>
      </c>
      <c r="M107" t="s">
        <v>78</v>
      </c>
      <c r="N107" t="s">
        <v>79</v>
      </c>
      <c r="O107" t="s">
        <v>74</v>
      </c>
      <c r="P107" t="s">
        <v>74</v>
      </c>
      <c r="Q107" t="s">
        <v>74</v>
      </c>
      <c r="R107" t="s">
        <v>74</v>
      </c>
      <c r="S107" t="s">
        <v>74</v>
      </c>
      <c r="T107" t="s">
        <v>2437</v>
      </c>
      <c r="U107" t="s">
        <v>2438</v>
      </c>
      <c r="V107" t="s">
        <v>2439</v>
      </c>
      <c r="W107" t="s">
        <v>2440</v>
      </c>
      <c r="X107" t="s">
        <v>2441</v>
      </c>
      <c r="Y107" t="s">
        <v>2442</v>
      </c>
      <c r="Z107" t="s">
        <v>2443</v>
      </c>
      <c r="AA107" t="s">
        <v>2444</v>
      </c>
      <c r="AB107" t="s">
        <v>2445</v>
      </c>
      <c r="AC107" t="s">
        <v>2446</v>
      </c>
      <c r="AD107" t="s">
        <v>2447</v>
      </c>
      <c r="AE107" t="s">
        <v>2448</v>
      </c>
      <c r="AF107" t="s">
        <v>74</v>
      </c>
      <c r="AG107">
        <v>43</v>
      </c>
      <c r="AH107">
        <v>2</v>
      </c>
      <c r="AI107">
        <v>2</v>
      </c>
      <c r="AJ107">
        <v>4</v>
      </c>
      <c r="AK107">
        <v>14</v>
      </c>
      <c r="AL107" t="s">
        <v>198</v>
      </c>
      <c r="AM107" t="s">
        <v>506</v>
      </c>
      <c r="AN107" t="s">
        <v>1695</v>
      </c>
      <c r="AO107" t="s">
        <v>1696</v>
      </c>
      <c r="AP107" t="s">
        <v>1697</v>
      </c>
      <c r="AQ107" t="s">
        <v>74</v>
      </c>
      <c r="AR107" t="s">
        <v>1698</v>
      </c>
      <c r="AS107" t="s">
        <v>1699</v>
      </c>
      <c r="AT107" t="s">
        <v>537</v>
      </c>
      <c r="AU107">
        <v>2022</v>
      </c>
      <c r="AV107">
        <v>34</v>
      </c>
      <c r="AW107">
        <v>2</v>
      </c>
      <c r="AX107" t="s">
        <v>74</v>
      </c>
      <c r="AY107" t="s">
        <v>74</v>
      </c>
      <c r="AZ107" t="s">
        <v>74</v>
      </c>
      <c r="BA107" t="s">
        <v>74</v>
      </c>
      <c r="BB107">
        <v>107</v>
      </c>
      <c r="BC107">
        <v>119</v>
      </c>
      <c r="BD107" t="s">
        <v>2449</v>
      </c>
      <c r="BE107" t="s">
        <v>2450</v>
      </c>
      <c r="BF107" t="str">
        <f>HYPERLINK("http://dx.doi.org/10.1017/S0954102021000559","http://dx.doi.org/10.1017/S0954102021000559")</f>
        <v>http://dx.doi.org/10.1017/S0954102021000559</v>
      </c>
      <c r="BG107" t="s">
        <v>74</v>
      </c>
      <c r="BH107" t="s">
        <v>101</v>
      </c>
      <c r="BI107">
        <v>13</v>
      </c>
      <c r="BJ107" t="s">
        <v>1702</v>
      </c>
      <c r="BK107" t="s">
        <v>103</v>
      </c>
      <c r="BL107" t="s">
        <v>1703</v>
      </c>
      <c r="BM107" t="s">
        <v>2451</v>
      </c>
      <c r="BN107" t="s">
        <v>74</v>
      </c>
      <c r="BO107" t="s">
        <v>1613</v>
      </c>
      <c r="BP107" t="s">
        <v>74</v>
      </c>
      <c r="BQ107" t="s">
        <v>74</v>
      </c>
      <c r="BR107" t="s">
        <v>106</v>
      </c>
      <c r="BS107" t="s">
        <v>2452</v>
      </c>
      <c r="BT107" t="str">
        <f>HYPERLINK("https%3A%2F%2Fwww.webofscience.com%2Fwos%2Fwoscc%2Ffull-record%2FWOS:000750644100001","View Full Record in Web of Science")</f>
        <v>View Full Record in Web of Science</v>
      </c>
    </row>
    <row r="108" spans="1:72" x14ac:dyDescent="0.15">
      <c r="A108" t="s">
        <v>72</v>
      </c>
      <c r="B108" t="s">
        <v>2453</v>
      </c>
      <c r="C108" t="s">
        <v>74</v>
      </c>
      <c r="D108" t="s">
        <v>74</v>
      </c>
      <c r="E108" t="s">
        <v>74</v>
      </c>
      <c r="F108" t="s">
        <v>2454</v>
      </c>
      <c r="G108" t="s">
        <v>74</v>
      </c>
      <c r="H108" t="s">
        <v>74</v>
      </c>
      <c r="I108" t="s">
        <v>2455</v>
      </c>
      <c r="J108" t="s">
        <v>325</v>
      </c>
      <c r="K108" t="s">
        <v>74</v>
      </c>
      <c r="L108" t="s">
        <v>74</v>
      </c>
      <c r="M108" t="s">
        <v>78</v>
      </c>
      <c r="N108" t="s">
        <v>79</v>
      </c>
      <c r="O108" t="s">
        <v>74</v>
      </c>
      <c r="P108" t="s">
        <v>74</v>
      </c>
      <c r="Q108" t="s">
        <v>74</v>
      </c>
      <c r="R108" t="s">
        <v>74</v>
      </c>
      <c r="S108" t="s">
        <v>74</v>
      </c>
      <c r="T108" t="s">
        <v>74</v>
      </c>
      <c r="U108" t="s">
        <v>2456</v>
      </c>
      <c r="V108" t="s">
        <v>2457</v>
      </c>
      <c r="W108" t="s">
        <v>2458</v>
      </c>
      <c r="X108" t="s">
        <v>2459</v>
      </c>
      <c r="Y108" t="s">
        <v>2460</v>
      </c>
      <c r="Z108" t="s">
        <v>2461</v>
      </c>
      <c r="AA108" t="s">
        <v>74</v>
      </c>
      <c r="AB108" t="s">
        <v>2462</v>
      </c>
      <c r="AC108" t="s">
        <v>2463</v>
      </c>
      <c r="AD108" t="s">
        <v>2464</v>
      </c>
      <c r="AE108" t="s">
        <v>2465</v>
      </c>
      <c r="AF108" t="s">
        <v>74</v>
      </c>
      <c r="AG108">
        <v>118</v>
      </c>
      <c r="AH108">
        <v>11</v>
      </c>
      <c r="AI108">
        <v>11</v>
      </c>
      <c r="AJ108">
        <v>3</v>
      </c>
      <c r="AK108">
        <v>28</v>
      </c>
      <c r="AL108" t="s">
        <v>337</v>
      </c>
      <c r="AM108" t="s">
        <v>338</v>
      </c>
      <c r="AN108" t="s">
        <v>339</v>
      </c>
      <c r="AO108" t="s">
        <v>74</v>
      </c>
      <c r="AP108" t="s">
        <v>340</v>
      </c>
      <c r="AQ108" t="s">
        <v>74</v>
      </c>
      <c r="AR108" t="s">
        <v>341</v>
      </c>
      <c r="AS108" t="s">
        <v>342</v>
      </c>
      <c r="AT108" t="s">
        <v>2366</v>
      </c>
      <c r="AU108">
        <v>2022</v>
      </c>
      <c r="AV108">
        <v>5</v>
      </c>
      <c r="AW108">
        <v>1</v>
      </c>
      <c r="AX108" t="s">
        <v>74</v>
      </c>
      <c r="AY108" t="s">
        <v>74</v>
      </c>
      <c r="AZ108" t="s">
        <v>74</v>
      </c>
      <c r="BA108" t="s">
        <v>74</v>
      </c>
      <c r="BB108" t="s">
        <v>74</v>
      </c>
      <c r="BC108" t="s">
        <v>74</v>
      </c>
      <c r="BD108">
        <v>104</v>
      </c>
      <c r="BE108" t="s">
        <v>2466</v>
      </c>
      <c r="BF108" t="str">
        <f>HYPERLINK("http://dx.doi.org/10.1038/s42003-022-03042-3","http://dx.doi.org/10.1038/s42003-022-03042-3")</f>
        <v>http://dx.doi.org/10.1038/s42003-022-03042-3</v>
      </c>
      <c r="BG108" t="s">
        <v>74</v>
      </c>
      <c r="BH108" t="s">
        <v>74</v>
      </c>
      <c r="BI108">
        <v>10</v>
      </c>
      <c r="BJ108" t="s">
        <v>344</v>
      </c>
      <c r="BK108" t="s">
        <v>103</v>
      </c>
      <c r="BL108" t="s">
        <v>345</v>
      </c>
      <c r="BM108" t="s">
        <v>2467</v>
      </c>
      <c r="BN108">
        <v>35115634</v>
      </c>
      <c r="BO108" t="s">
        <v>2468</v>
      </c>
      <c r="BP108" t="s">
        <v>74</v>
      </c>
      <c r="BQ108" t="s">
        <v>74</v>
      </c>
      <c r="BR108" t="s">
        <v>106</v>
      </c>
      <c r="BS108" t="s">
        <v>2469</v>
      </c>
      <c r="BT108" t="str">
        <f>HYPERLINK("https%3A%2F%2Fwww.webofscience.com%2Fwos%2Fwoscc%2Ffull-record%2FWOS:000750866000003","View Full Record in Web of Science")</f>
        <v>View Full Record in Web of Science</v>
      </c>
    </row>
    <row r="109" spans="1:72" x14ac:dyDescent="0.15">
      <c r="A109" t="s">
        <v>72</v>
      </c>
      <c r="B109" t="s">
        <v>2470</v>
      </c>
      <c r="C109" t="s">
        <v>74</v>
      </c>
      <c r="D109" t="s">
        <v>74</v>
      </c>
      <c r="E109" t="s">
        <v>74</v>
      </c>
      <c r="F109" t="s">
        <v>2471</v>
      </c>
      <c r="G109" t="s">
        <v>74</v>
      </c>
      <c r="H109" t="s">
        <v>2472</v>
      </c>
      <c r="I109" t="s">
        <v>2473</v>
      </c>
      <c r="J109" t="s">
        <v>2474</v>
      </c>
      <c r="K109" t="s">
        <v>74</v>
      </c>
      <c r="L109" t="s">
        <v>74</v>
      </c>
      <c r="M109" t="s">
        <v>78</v>
      </c>
      <c r="N109" t="s">
        <v>79</v>
      </c>
      <c r="O109" t="s">
        <v>74</v>
      </c>
      <c r="P109" t="s">
        <v>74</v>
      </c>
      <c r="Q109" t="s">
        <v>74</v>
      </c>
      <c r="R109" t="s">
        <v>74</v>
      </c>
      <c r="S109" t="s">
        <v>74</v>
      </c>
      <c r="T109" t="s">
        <v>2475</v>
      </c>
      <c r="U109" t="s">
        <v>2476</v>
      </c>
      <c r="V109" t="s">
        <v>2477</v>
      </c>
      <c r="W109" t="s">
        <v>2478</v>
      </c>
      <c r="X109" t="s">
        <v>2479</v>
      </c>
      <c r="Y109" t="s">
        <v>2480</v>
      </c>
      <c r="Z109" t="s">
        <v>2481</v>
      </c>
      <c r="AA109" t="s">
        <v>2482</v>
      </c>
      <c r="AB109" t="s">
        <v>2483</v>
      </c>
      <c r="AC109" t="s">
        <v>2484</v>
      </c>
      <c r="AD109" t="s">
        <v>2485</v>
      </c>
      <c r="AE109" t="s">
        <v>2486</v>
      </c>
      <c r="AF109" t="s">
        <v>74</v>
      </c>
      <c r="AG109">
        <v>107</v>
      </c>
      <c r="AH109">
        <v>7</v>
      </c>
      <c r="AI109">
        <v>7</v>
      </c>
      <c r="AJ109">
        <v>2</v>
      </c>
      <c r="AK109">
        <v>3</v>
      </c>
      <c r="AL109" t="s">
        <v>310</v>
      </c>
      <c r="AM109" t="s">
        <v>311</v>
      </c>
      <c r="AN109" t="s">
        <v>312</v>
      </c>
      <c r="AO109" t="s">
        <v>2487</v>
      </c>
      <c r="AP109" t="s">
        <v>2488</v>
      </c>
      <c r="AQ109" t="s">
        <v>74</v>
      </c>
      <c r="AR109" t="s">
        <v>2474</v>
      </c>
      <c r="AS109" t="s">
        <v>2489</v>
      </c>
      <c r="AT109" t="s">
        <v>1153</v>
      </c>
      <c r="AU109">
        <v>2022</v>
      </c>
      <c r="AV109">
        <v>401</v>
      </c>
      <c r="AW109" t="s">
        <v>74</v>
      </c>
      <c r="AX109" t="s">
        <v>74</v>
      </c>
      <c r="AY109" t="s">
        <v>74</v>
      </c>
      <c r="AZ109" t="s">
        <v>74</v>
      </c>
      <c r="BA109" t="s">
        <v>74</v>
      </c>
      <c r="BB109" t="s">
        <v>74</v>
      </c>
      <c r="BC109" t="s">
        <v>74</v>
      </c>
      <c r="BD109">
        <v>108125</v>
      </c>
      <c r="BE109" t="s">
        <v>2490</v>
      </c>
      <c r="BF109" t="str">
        <f>HYPERLINK("http://dx.doi.org/10.1016/j.geomorph.2022.108125","http://dx.doi.org/10.1016/j.geomorph.2022.108125")</f>
        <v>http://dx.doi.org/10.1016/j.geomorph.2022.108125</v>
      </c>
      <c r="BG109" t="s">
        <v>74</v>
      </c>
      <c r="BH109" t="s">
        <v>101</v>
      </c>
      <c r="BI109">
        <v>21</v>
      </c>
      <c r="BJ109" t="s">
        <v>208</v>
      </c>
      <c r="BK109" t="s">
        <v>103</v>
      </c>
      <c r="BL109" t="s">
        <v>209</v>
      </c>
      <c r="BM109" t="s">
        <v>2491</v>
      </c>
      <c r="BN109" t="s">
        <v>74</v>
      </c>
      <c r="BO109" t="s">
        <v>2492</v>
      </c>
      <c r="BP109" t="s">
        <v>74</v>
      </c>
      <c r="BQ109" t="s">
        <v>74</v>
      </c>
      <c r="BR109" t="s">
        <v>106</v>
      </c>
      <c r="BS109" t="s">
        <v>2493</v>
      </c>
      <c r="BT109" t="str">
        <f>HYPERLINK("https%3A%2F%2Fwww.webofscience.com%2Fwos%2Fwoscc%2Ffull-record%2FWOS:000784307000008","View Full Record in Web of Science")</f>
        <v>View Full Record in Web of Science</v>
      </c>
    </row>
    <row r="110" spans="1:72" x14ac:dyDescent="0.15">
      <c r="A110" t="s">
        <v>72</v>
      </c>
      <c r="B110" t="s">
        <v>2494</v>
      </c>
      <c r="C110" t="s">
        <v>74</v>
      </c>
      <c r="D110" t="s">
        <v>74</v>
      </c>
      <c r="E110" t="s">
        <v>74</v>
      </c>
      <c r="F110" t="s">
        <v>2495</v>
      </c>
      <c r="G110" t="s">
        <v>74</v>
      </c>
      <c r="H110" t="s">
        <v>74</v>
      </c>
      <c r="I110" t="s">
        <v>2496</v>
      </c>
      <c r="J110" t="s">
        <v>351</v>
      </c>
      <c r="K110" t="s">
        <v>74</v>
      </c>
      <c r="L110" t="s">
        <v>74</v>
      </c>
      <c r="M110" t="s">
        <v>78</v>
      </c>
      <c r="N110" t="s">
        <v>79</v>
      </c>
      <c r="O110" t="s">
        <v>74</v>
      </c>
      <c r="P110" t="s">
        <v>74</v>
      </c>
      <c r="Q110" t="s">
        <v>74</v>
      </c>
      <c r="R110" t="s">
        <v>74</v>
      </c>
      <c r="S110" t="s">
        <v>74</v>
      </c>
      <c r="T110" t="s">
        <v>2497</v>
      </c>
      <c r="U110" t="s">
        <v>2498</v>
      </c>
      <c r="V110" t="s">
        <v>2499</v>
      </c>
      <c r="W110" t="s">
        <v>2500</v>
      </c>
      <c r="X110" t="s">
        <v>2501</v>
      </c>
      <c r="Y110" t="s">
        <v>2502</v>
      </c>
      <c r="Z110" t="s">
        <v>2503</v>
      </c>
      <c r="AA110" t="s">
        <v>2504</v>
      </c>
      <c r="AB110" t="s">
        <v>2505</v>
      </c>
      <c r="AC110" t="s">
        <v>2506</v>
      </c>
      <c r="AD110" t="s">
        <v>2507</v>
      </c>
      <c r="AE110" t="s">
        <v>2508</v>
      </c>
      <c r="AF110" t="s">
        <v>74</v>
      </c>
      <c r="AG110">
        <v>80</v>
      </c>
      <c r="AH110">
        <v>12</v>
      </c>
      <c r="AI110">
        <v>12</v>
      </c>
      <c r="AJ110">
        <v>18</v>
      </c>
      <c r="AK110">
        <v>63</v>
      </c>
      <c r="AL110" t="s">
        <v>363</v>
      </c>
      <c r="AM110" t="s">
        <v>364</v>
      </c>
      <c r="AN110" t="s">
        <v>365</v>
      </c>
      <c r="AO110" t="s">
        <v>74</v>
      </c>
      <c r="AP110" t="s">
        <v>366</v>
      </c>
      <c r="AQ110" t="s">
        <v>74</v>
      </c>
      <c r="AR110" t="s">
        <v>367</v>
      </c>
      <c r="AS110" t="s">
        <v>368</v>
      </c>
      <c r="AT110" t="s">
        <v>2509</v>
      </c>
      <c r="AU110">
        <v>2022</v>
      </c>
      <c r="AV110">
        <v>8</v>
      </c>
      <c r="AW110" t="s">
        <v>74</v>
      </c>
      <c r="AX110" t="s">
        <v>74</v>
      </c>
      <c r="AY110" t="s">
        <v>74</v>
      </c>
      <c r="AZ110" t="s">
        <v>74</v>
      </c>
      <c r="BA110" t="s">
        <v>74</v>
      </c>
      <c r="BB110" t="s">
        <v>74</v>
      </c>
      <c r="BC110" t="s">
        <v>74</v>
      </c>
      <c r="BD110">
        <v>774055</v>
      </c>
      <c r="BE110" t="s">
        <v>2510</v>
      </c>
      <c r="BF110" t="str">
        <f>HYPERLINK("http://dx.doi.org/10.3389/fmars.2021.774055","http://dx.doi.org/10.3389/fmars.2021.774055")</f>
        <v>http://dx.doi.org/10.3389/fmars.2021.774055</v>
      </c>
      <c r="BG110" t="s">
        <v>74</v>
      </c>
      <c r="BH110" t="s">
        <v>74</v>
      </c>
      <c r="BI110">
        <v>13</v>
      </c>
      <c r="BJ110" t="s">
        <v>102</v>
      </c>
      <c r="BK110" t="s">
        <v>103</v>
      </c>
      <c r="BL110" t="s">
        <v>104</v>
      </c>
      <c r="BM110" t="s">
        <v>2511</v>
      </c>
      <c r="BN110" t="s">
        <v>74</v>
      </c>
      <c r="BO110" t="s">
        <v>445</v>
      </c>
      <c r="BP110" t="s">
        <v>74</v>
      </c>
      <c r="BQ110" t="s">
        <v>74</v>
      </c>
      <c r="BR110" t="s">
        <v>106</v>
      </c>
      <c r="BS110" t="s">
        <v>2512</v>
      </c>
      <c r="BT110" t="str">
        <f>HYPERLINK("https%3A%2F%2Fwww.webofscience.com%2Fwos%2Fwoscc%2Ffull-record%2FWOS:000759854400001","View Full Record in Web of Science")</f>
        <v>View Full Record in Web of Science</v>
      </c>
    </row>
    <row r="111" spans="1:72" x14ac:dyDescent="0.15">
      <c r="A111" t="s">
        <v>72</v>
      </c>
      <c r="B111" t="s">
        <v>2513</v>
      </c>
      <c r="C111" t="s">
        <v>74</v>
      </c>
      <c r="D111" t="s">
        <v>74</v>
      </c>
      <c r="E111" t="s">
        <v>74</v>
      </c>
      <c r="F111" t="s">
        <v>2514</v>
      </c>
      <c r="G111" t="s">
        <v>74</v>
      </c>
      <c r="H111" t="s">
        <v>74</v>
      </c>
      <c r="I111" t="s">
        <v>2515</v>
      </c>
      <c r="J111" t="s">
        <v>2305</v>
      </c>
      <c r="K111" t="s">
        <v>74</v>
      </c>
      <c r="L111" t="s">
        <v>74</v>
      </c>
      <c r="M111" t="s">
        <v>78</v>
      </c>
      <c r="N111" t="s">
        <v>79</v>
      </c>
      <c r="O111" t="s">
        <v>74</v>
      </c>
      <c r="P111" t="s">
        <v>74</v>
      </c>
      <c r="Q111" t="s">
        <v>74</v>
      </c>
      <c r="R111" t="s">
        <v>74</v>
      </c>
      <c r="S111" t="s">
        <v>74</v>
      </c>
      <c r="T111" t="s">
        <v>74</v>
      </c>
      <c r="U111" t="s">
        <v>2516</v>
      </c>
      <c r="V111" t="s">
        <v>2517</v>
      </c>
      <c r="W111" t="s">
        <v>2518</v>
      </c>
      <c r="X111" t="s">
        <v>2519</v>
      </c>
      <c r="Y111" t="s">
        <v>2520</v>
      </c>
      <c r="Z111" t="s">
        <v>2521</v>
      </c>
      <c r="AA111" t="s">
        <v>2522</v>
      </c>
      <c r="AB111" t="s">
        <v>2523</v>
      </c>
      <c r="AC111" t="s">
        <v>2524</v>
      </c>
      <c r="AD111" t="s">
        <v>2524</v>
      </c>
      <c r="AE111" t="s">
        <v>2525</v>
      </c>
      <c r="AF111" t="s">
        <v>74</v>
      </c>
      <c r="AG111">
        <v>100</v>
      </c>
      <c r="AH111">
        <v>29</v>
      </c>
      <c r="AI111">
        <v>29</v>
      </c>
      <c r="AJ111">
        <v>13</v>
      </c>
      <c r="AK111">
        <v>46</v>
      </c>
      <c r="AL111" t="s">
        <v>337</v>
      </c>
      <c r="AM111" t="s">
        <v>338</v>
      </c>
      <c r="AN111" t="s">
        <v>339</v>
      </c>
      <c r="AO111" t="s">
        <v>74</v>
      </c>
      <c r="AP111" t="s">
        <v>2316</v>
      </c>
      <c r="AQ111" t="s">
        <v>74</v>
      </c>
      <c r="AR111" t="s">
        <v>2317</v>
      </c>
      <c r="AS111" t="s">
        <v>2318</v>
      </c>
      <c r="AT111" t="s">
        <v>2509</v>
      </c>
      <c r="AU111">
        <v>2022</v>
      </c>
      <c r="AV111">
        <v>13</v>
      </c>
      <c r="AW111">
        <v>1</v>
      </c>
      <c r="AX111" t="s">
        <v>74</v>
      </c>
      <c r="AY111" t="s">
        <v>74</v>
      </c>
      <c r="AZ111" t="s">
        <v>74</v>
      </c>
      <c r="BA111" t="s">
        <v>74</v>
      </c>
      <c r="BB111" t="s">
        <v>74</v>
      </c>
      <c r="BC111" t="s">
        <v>74</v>
      </c>
      <c r="BD111">
        <v>637</v>
      </c>
      <c r="BE111" t="s">
        <v>2526</v>
      </c>
      <c r="BF111" t="str">
        <f>HYPERLINK("http://dx.doi.org/10.1038/s41467-022-28259-y","http://dx.doi.org/10.1038/s41467-022-28259-y")</f>
        <v>http://dx.doi.org/10.1038/s41467-022-28259-y</v>
      </c>
      <c r="BG111" t="s">
        <v>74</v>
      </c>
      <c r="BH111" t="s">
        <v>74</v>
      </c>
      <c r="BI111">
        <v>12</v>
      </c>
      <c r="BJ111" t="s">
        <v>289</v>
      </c>
      <c r="BK111" t="s">
        <v>103</v>
      </c>
      <c r="BL111" t="s">
        <v>290</v>
      </c>
      <c r="BM111" t="s">
        <v>2527</v>
      </c>
      <c r="BN111">
        <v>35110565</v>
      </c>
      <c r="BO111" t="s">
        <v>292</v>
      </c>
      <c r="BP111" t="s">
        <v>74</v>
      </c>
      <c r="BQ111" t="s">
        <v>74</v>
      </c>
      <c r="BR111" t="s">
        <v>106</v>
      </c>
      <c r="BS111" t="s">
        <v>2528</v>
      </c>
      <c r="BT111" t="str">
        <f>HYPERLINK("https%3A%2F%2Fwww.webofscience.com%2Fwos%2Fwoscc%2Ffull-record%2FWOS:000752241200017","View Full Record in Web of Science")</f>
        <v>View Full Record in Web of Science</v>
      </c>
    </row>
    <row r="112" spans="1:72" x14ac:dyDescent="0.15">
      <c r="A112" t="s">
        <v>72</v>
      </c>
      <c r="B112" t="s">
        <v>2529</v>
      </c>
      <c r="C112" t="s">
        <v>74</v>
      </c>
      <c r="D112" t="s">
        <v>74</v>
      </c>
      <c r="E112" t="s">
        <v>74</v>
      </c>
      <c r="F112" t="s">
        <v>2530</v>
      </c>
      <c r="G112" t="s">
        <v>74</v>
      </c>
      <c r="H112" t="s">
        <v>74</v>
      </c>
      <c r="I112" t="s">
        <v>2531</v>
      </c>
      <c r="J112" t="s">
        <v>2532</v>
      </c>
      <c r="K112" t="s">
        <v>74</v>
      </c>
      <c r="L112" t="s">
        <v>74</v>
      </c>
      <c r="M112" t="s">
        <v>78</v>
      </c>
      <c r="N112" t="s">
        <v>79</v>
      </c>
      <c r="O112" t="s">
        <v>74</v>
      </c>
      <c r="P112" t="s">
        <v>74</v>
      </c>
      <c r="Q112" t="s">
        <v>74</v>
      </c>
      <c r="R112" t="s">
        <v>74</v>
      </c>
      <c r="S112" t="s">
        <v>74</v>
      </c>
      <c r="T112" t="s">
        <v>74</v>
      </c>
      <c r="U112" t="s">
        <v>2533</v>
      </c>
      <c r="V112" t="s">
        <v>2534</v>
      </c>
      <c r="W112" t="s">
        <v>2535</v>
      </c>
      <c r="X112" t="s">
        <v>2536</v>
      </c>
      <c r="Y112" t="s">
        <v>2537</v>
      </c>
      <c r="Z112" t="s">
        <v>2538</v>
      </c>
      <c r="AA112" t="s">
        <v>74</v>
      </c>
      <c r="AB112" t="s">
        <v>2539</v>
      </c>
      <c r="AC112" t="s">
        <v>2540</v>
      </c>
      <c r="AD112" t="s">
        <v>2541</v>
      </c>
      <c r="AE112" t="s">
        <v>2542</v>
      </c>
      <c r="AF112" t="s">
        <v>74</v>
      </c>
      <c r="AG112">
        <v>46</v>
      </c>
      <c r="AH112">
        <v>5</v>
      </c>
      <c r="AI112">
        <v>5</v>
      </c>
      <c r="AJ112">
        <v>0</v>
      </c>
      <c r="AK112">
        <v>7</v>
      </c>
      <c r="AL112" t="s">
        <v>337</v>
      </c>
      <c r="AM112" t="s">
        <v>338</v>
      </c>
      <c r="AN112" t="s">
        <v>339</v>
      </c>
      <c r="AO112" t="s">
        <v>2543</v>
      </c>
      <c r="AP112" t="s">
        <v>74</v>
      </c>
      <c r="AQ112" t="s">
        <v>74</v>
      </c>
      <c r="AR112" t="s">
        <v>2544</v>
      </c>
      <c r="AS112" t="s">
        <v>2545</v>
      </c>
      <c r="AT112" t="s">
        <v>2509</v>
      </c>
      <c r="AU112">
        <v>2022</v>
      </c>
      <c r="AV112">
        <v>12</v>
      </c>
      <c r="AW112">
        <v>1</v>
      </c>
      <c r="AX112" t="s">
        <v>74</v>
      </c>
      <c r="AY112" t="s">
        <v>74</v>
      </c>
      <c r="AZ112" t="s">
        <v>74</v>
      </c>
      <c r="BA112" t="s">
        <v>74</v>
      </c>
      <c r="BB112" t="s">
        <v>74</v>
      </c>
      <c r="BC112" t="s">
        <v>74</v>
      </c>
      <c r="BD112">
        <v>1781</v>
      </c>
      <c r="BE112" t="s">
        <v>2546</v>
      </c>
      <c r="BF112" t="str">
        <f>HYPERLINK("http://dx.doi.org/10.1038/s41598-022-05928-y","http://dx.doi.org/10.1038/s41598-022-05928-y")</f>
        <v>http://dx.doi.org/10.1038/s41598-022-05928-y</v>
      </c>
      <c r="BG112" t="s">
        <v>74</v>
      </c>
      <c r="BH112" t="s">
        <v>74</v>
      </c>
      <c r="BI112">
        <v>11</v>
      </c>
      <c r="BJ112" t="s">
        <v>289</v>
      </c>
      <c r="BK112" t="s">
        <v>103</v>
      </c>
      <c r="BL112" t="s">
        <v>290</v>
      </c>
      <c r="BM112" t="s">
        <v>2547</v>
      </c>
      <c r="BN112">
        <v>35110672</v>
      </c>
      <c r="BO112" t="s">
        <v>211</v>
      </c>
      <c r="BP112" t="s">
        <v>74</v>
      </c>
      <c r="BQ112" t="s">
        <v>74</v>
      </c>
      <c r="BR112" t="s">
        <v>106</v>
      </c>
      <c r="BS112" t="s">
        <v>2548</v>
      </c>
      <c r="BT112" t="str">
        <f>HYPERLINK("https%3A%2F%2Fwww.webofscience.com%2Fwos%2Fwoscc%2Ffull-record%2FWOS:000750981100105","View Full Record in Web of Science")</f>
        <v>View Full Record in Web of Science</v>
      </c>
    </row>
    <row r="113" spans="1:72" x14ac:dyDescent="0.15">
      <c r="A113" t="s">
        <v>72</v>
      </c>
      <c r="B113" t="s">
        <v>2549</v>
      </c>
      <c r="C113" t="s">
        <v>74</v>
      </c>
      <c r="D113" t="s">
        <v>74</v>
      </c>
      <c r="E113" t="s">
        <v>74</v>
      </c>
      <c r="F113" t="s">
        <v>2550</v>
      </c>
      <c r="G113" t="s">
        <v>74</v>
      </c>
      <c r="H113" t="s">
        <v>74</v>
      </c>
      <c r="I113" t="s">
        <v>2551</v>
      </c>
      <c r="J113" t="s">
        <v>400</v>
      </c>
      <c r="K113" t="s">
        <v>74</v>
      </c>
      <c r="L113" t="s">
        <v>74</v>
      </c>
      <c r="M113" t="s">
        <v>78</v>
      </c>
      <c r="N113" t="s">
        <v>79</v>
      </c>
      <c r="O113" t="s">
        <v>74</v>
      </c>
      <c r="P113" t="s">
        <v>74</v>
      </c>
      <c r="Q113" t="s">
        <v>74</v>
      </c>
      <c r="R113" t="s">
        <v>74</v>
      </c>
      <c r="S113" t="s">
        <v>74</v>
      </c>
      <c r="T113" t="s">
        <v>74</v>
      </c>
      <c r="U113" t="s">
        <v>2552</v>
      </c>
      <c r="V113" t="s">
        <v>2553</v>
      </c>
      <c r="W113" t="s">
        <v>2554</v>
      </c>
      <c r="X113" t="s">
        <v>2555</v>
      </c>
      <c r="Y113" t="s">
        <v>2556</v>
      </c>
      <c r="Z113" t="s">
        <v>2557</v>
      </c>
      <c r="AA113" t="s">
        <v>2558</v>
      </c>
      <c r="AB113" t="s">
        <v>2559</v>
      </c>
      <c r="AC113" t="s">
        <v>2560</v>
      </c>
      <c r="AD113" t="s">
        <v>2561</v>
      </c>
      <c r="AE113" t="s">
        <v>2562</v>
      </c>
      <c r="AF113" t="s">
        <v>74</v>
      </c>
      <c r="AG113">
        <v>151</v>
      </c>
      <c r="AH113">
        <v>3</v>
      </c>
      <c r="AI113">
        <v>3</v>
      </c>
      <c r="AJ113">
        <v>4</v>
      </c>
      <c r="AK113">
        <v>9</v>
      </c>
      <c r="AL113" t="s">
        <v>120</v>
      </c>
      <c r="AM113" t="s">
        <v>121</v>
      </c>
      <c r="AN113" t="s">
        <v>122</v>
      </c>
      <c r="AO113" t="s">
        <v>412</v>
      </c>
      <c r="AP113" t="s">
        <v>413</v>
      </c>
      <c r="AQ113" t="s">
        <v>74</v>
      </c>
      <c r="AR113" t="s">
        <v>400</v>
      </c>
      <c r="AS113" t="s">
        <v>414</v>
      </c>
      <c r="AT113" t="s">
        <v>2509</v>
      </c>
      <c r="AU113">
        <v>2022</v>
      </c>
      <c r="AV113">
        <v>19</v>
      </c>
      <c r="AW113">
        <v>3</v>
      </c>
      <c r="AX113" t="s">
        <v>74</v>
      </c>
      <c r="AY113" t="s">
        <v>74</v>
      </c>
      <c r="AZ113" t="s">
        <v>74</v>
      </c>
      <c r="BA113" t="s">
        <v>74</v>
      </c>
      <c r="BB113">
        <v>585</v>
      </c>
      <c r="BC113">
        <v>612</v>
      </c>
      <c r="BD113" t="s">
        <v>74</v>
      </c>
      <c r="BE113" t="s">
        <v>2563</v>
      </c>
      <c r="BF113" t="str">
        <f>HYPERLINK("http://dx.doi.org/10.5194/bg-19-585-2022","http://dx.doi.org/10.5194/bg-19-585-2022")</f>
        <v>http://dx.doi.org/10.5194/bg-19-585-2022</v>
      </c>
      <c r="BG113" t="s">
        <v>74</v>
      </c>
      <c r="BH113" t="s">
        <v>74</v>
      </c>
      <c r="BI113">
        <v>28</v>
      </c>
      <c r="BJ113" t="s">
        <v>416</v>
      </c>
      <c r="BK113" t="s">
        <v>103</v>
      </c>
      <c r="BL113" t="s">
        <v>417</v>
      </c>
      <c r="BM113" t="s">
        <v>2564</v>
      </c>
      <c r="BN113" t="s">
        <v>74</v>
      </c>
      <c r="BO113" t="s">
        <v>211</v>
      </c>
      <c r="BP113" t="s">
        <v>74</v>
      </c>
      <c r="BQ113" t="s">
        <v>74</v>
      </c>
      <c r="BR113" t="s">
        <v>106</v>
      </c>
      <c r="BS113" t="s">
        <v>2565</v>
      </c>
      <c r="BT113" t="str">
        <f>HYPERLINK("https%3A%2F%2Fwww.webofscience.com%2Fwos%2Fwoscc%2Ffull-record%2FWOS:000751633000001","View Full Record in Web of Science")</f>
        <v>View Full Record in Web of Science</v>
      </c>
    </row>
    <row r="114" spans="1:72" x14ac:dyDescent="0.15">
      <c r="A114" t="s">
        <v>72</v>
      </c>
      <c r="B114" t="s">
        <v>2566</v>
      </c>
      <c r="C114" t="s">
        <v>74</v>
      </c>
      <c r="D114" t="s">
        <v>74</v>
      </c>
      <c r="E114" t="s">
        <v>74</v>
      </c>
      <c r="F114" t="s">
        <v>2567</v>
      </c>
      <c r="G114" t="s">
        <v>74</v>
      </c>
      <c r="H114" t="s">
        <v>74</v>
      </c>
      <c r="I114" t="s">
        <v>2568</v>
      </c>
      <c r="J114" t="s">
        <v>1184</v>
      </c>
      <c r="K114" t="s">
        <v>74</v>
      </c>
      <c r="L114" t="s">
        <v>74</v>
      </c>
      <c r="M114" t="s">
        <v>78</v>
      </c>
      <c r="N114" t="s">
        <v>79</v>
      </c>
      <c r="O114" t="s">
        <v>74</v>
      </c>
      <c r="P114" t="s">
        <v>74</v>
      </c>
      <c r="Q114" t="s">
        <v>74</v>
      </c>
      <c r="R114" t="s">
        <v>74</v>
      </c>
      <c r="S114" t="s">
        <v>74</v>
      </c>
      <c r="T114" t="s">
        <v>74</v>
      </c>
      <c r="U114" t="s">
        <v>2569</v>
      </c>
      <c r="V114" t="s">
        <v>2570</v>
      </c>
      <c r="W114" t="s">
        <v>2571</v>
      </c>
      <c r="X114" t="s">
        <v>2572</v>
      </c>
      <c r="Y114" t="s">
        <v>2573</v>
      </c>
      <c r="Z114" t="s">
        <v>2574</v>
      </c>
      <c r="AA114" t="s">
        <v>2575</v>
      </c>
      <c r="AB114" t="s">
        <v>2576</v>
      </c>
      <c r="AC114" t="s">
        <v>2577</v>
      </c>
      <c r="AD114" t="s">
        <v>2578</v>
      </c>
      <c r="AE114" t="s">
        <v>2579</v>
      </c>
      <c r="AF114" t="s">
        <v>74</v>
      </c>
      <c r="AG114">
        <v>138</v>
      </c>
      <c r="AH114">
        <v>7</v>
      </c>
      <c r="AI114">
        <v>8</v>
      </c>
      <c r="AJ114">
        <v>5</v>
      </c>
      <c r="AK114">
        <v>40</v>
      </c>
      <c r="AL114" t="s">
        <v>120</v>
      </c>
      <c r="AM114" t="s">
        <v>121</v>
      </c>
      <c r="AN114" t="s">
        <v>122</v>
      </c>
      <c r="AO114" t="s">
        <v>1196</v>
      </c>
      <c r="AP114" t="s">
        <v>1197</v>
      </c>
      <c r="AQ114" t="s">
        <v>74</v>
      </c>
      <c r="AR114" t="s">
        <v>1198</v>
      </c>
      <c r="AS114" t="s">
        <v>1199</v>
      </c>
      <c r="AT114" t="s">
        <v>2509</v>
      </c>
      <c r="AU114">
        <v>2022</v>
      </c>
      <c r="AV114">
        <v>18</v>
      </c>
      <c r="AW114">
        <v>2</v>
      </c>
      <c r="AX114" t="s">
        <v>74</v>
      </c>
      <c r="AY114" t="s">
        <v>74</v>
      </c>
      <c r="AZ114" t="s">
        <v>74</v>
      </c>
      <c r="BA114" t="s">
        <v>74</v>
      </c>
      <c r="BB114">
        <v>183</v>
      </c>
      <c r="BC114">
        <v>207</v>
      </c>
      <c r="BD114" t="s">
        <v>74</v>
      </c>
      <c r="BE114" t="s">
        <v>2580</v>
      </c>
      <c r="BF114" t="str">
        <f>HYPERLINK("http://dx.doi.org/10.5194/cp-18-183-2022","http://dx.doi.org/10.5194/cp-18-183-2022")</f>
        <v>http://dx.doi.org/10.5194/cp-18-183-2022</v>
      </c>
      <c r="BG114" t="s">
        <v>74</v>
      </c>
      <c r="BH114" t="s">
        <v>74</v>
      </c>
      <c r="BI114">
        <v>25</v>
      </c>
      <c r="BJ114" t="s">
        <v>1201</v>
      </c>
      <c r="BK114" t="s">
        <v>103</v>
      </c>
      <c r="BL114" t="s">
        <v>1202</v>
      </c>
      <c r="BM114" t="s">
        <v>2581</v>
      </c>
      <c r="BN114" t="s">
        <v>74</v>
      </c>
      <c r="BO114" t="s">
        <v>132</v>
      </c>
      <c r="BP114" t="s">
        <v>74</v>
      </c>
      <c r="BQ114" t="s">
        <v>74</v>
      </c>
      <c r="BR114" t="s">
        <v>106</v>
      </c>
      <c r="BS114" t="s">
        <v>2582</v>
      </c>
      <c r="BT114" t="str">
        <f>HYPERLINK("https%3A%2F%2Fwww.webofscience.com%2Fwos%2Fwoscc%2Ffull-record%2FWOS:000751633500001","View Full Record in Web of Science")</f>
        <v>View Full Record in Web of Science</v>
      </c>
    </row>
    <row r="115" spans="1:72" x14ac:dyDescent="0.15">
      <c r="A115" t="s">
        <v>72</v>
      </c>
      <c r="B115" t="s">
        <v>2583</v>
      </c>
      <c r="C115" t="s">
        <v>74</v>
      </c>
      <c r="D115" t="s">
        <v>74</v>
      </c>
      <c r="E115" t="s">
        <v>74</v>
      </c>
      <c r="F115" t="s">
        <v>2584</v>
      </c>
      <c r="G115" t="s">
        <v>74</v>
      </c>
      <c r="H115" t="s">
        <v>74</v>
      </c>
      <c r="I115" t="s">
        <v>2585</v>
      </c>
      <c r="J115" t="s">
        <v>1265</v>
      </c>
      <c r="K115" t="s">
        <v>74</v>
      </c>
      <c r="L115" t="s">
        <v>74</v>
      </c>
      <c r="M115" t="s">
        <v>78</v>
      </c>
      <c r="N115" t="s">
        <v>79</v>
      </c>
      <c r="O115" t="s">
        <v>74</v>
      </c>
      <c r="P115" t="s">
        <v>74</v>
      </c>
      <c r="Q115" t="s">
        <v>74</v>
      </c>
      <c r="R115" t="s">
        <v>74</v>
      </c>
      <c r="S115" t="s">
        <v>74</v>
      </c>
      <c r="T115" t="s">
        <v>2586</v>
      </c>
      <c r="U115" t="s">
        <v>2587</v>
      </c>
      <c r="V115" t="s">
        <v>2588</v>
      </c>
      <c r="W115" t="s">
        <v>2589</v>
      </c>
      <c r="X115" t="s">
        <v>2590</v>
      </c>
      <c r="Y115" t="s">
        <v>2591</v>
      </c>
      <c r="Z115" t="s">
        <v>2592</v>
      </c>
      <c r="AA115" t="s">
        <v>2593</v>
      </c>
      <c r="AB115" t="s">
        <v>2594</v>
      </c>
      <c r="AC115" t="s">
        <v>2595</v>
      </c>
      <c r="AD115" t="s">
        <v>2596</v>
      </c>
      <c r="AE115" t="s">
        <v>2597</v>
      </c>
      <c r="AF115" t="s">
        <v>74</v>
      </c>
      <c r="AG115">
        <v>125</v>
      </c>
      <c r="AH115">
        <v>11</v>
      </c>
      <c r="AI115">
        <v>11</v>
      </c>
      <c r="AJ115">
        <v>13</v>
      </c>
      <c r="AK115">
        <v>44</v>
      </c>
      <c r="AL115" t="s">
        <v>171</v>
      </c>
      <c r="AM115" t="s">
        <v>172</v>
      </c>
      <c r="AN115" t="s">
        <v>173</v>
      </c>
      <c r="AO115" t="s">
        <v>1278</v>
      </c>
      <c r="AP115" t="s">
        <v>1279</v>
      </c>
      <c r="AQ115" t="s">
        <v>74</v>
      </c>
      <c r="AR115" t="s">
        <v>1280</v>
      </c>
      <c r="AS115" t="s">
        <v>1281</v>
      </c>
      <c r="AT115" t="s">
        <v>537</v>
      </c>
      <c r="AU115">
        <v>2022</v>
      </c>
      <c r="AV115">
        <v>28</v>
      </c>
      <c r="AW115">
        <v>8</v>
      </c>
      <c r="AX115" t="s">
        <v>74</v>
      </c>
      <c r="AY115" t="s">
        <v>74</v>
      </c>
      <c r="AZ115" t="s">
        <v>74</v>
      </c>
      <c r="BA115" t="s">
        <v>74</v>
      </c>
      <c r="BB115">
        <v>2657</v>
      </c>
      <c r="BC115">
        <v>2677</v>
      </c>
      <c r="BD115" t="s">
        <v>74</v>
      </c>
      <c r="BE115" t="s">
        <v>2598</v>
      </c>
      <c r="BF115" t="str">
        <f>HYPERLINK("http://dx.doi.org/10.1111/gcb.16085","http://dx.doi.org/10.1111/gcb.16085")</f>
        <v>http://dx.doi.org/10.1111/gcb.16085</v>
      </c>
      <c r="BG115" t="s">
        <v>74</v>
      </c>
      <c r="BH115" t="s">
        <v>101</v>
      </c>
      <c r="BI115">
        <v>21</v>
      </c>
      <c r="BJ115" t="s">
        <v>1283</v>
      </c>
      <c r="BK115" t="s">
        <v>103</v>
      </c>
      <c r="BL115" t="s">
        <v>1082</v>
      </c>
      <c r="BM115" t="s">
        <v>2599</v>
      </c>
      <c r="BN115">
        <v>35106859</v>
      </c>
      <c r="BO115" t="s">
        <v>2600</v>
      </c>
      <c r="BP115" t="s">
        <v>74</v>
      </c>
      <c r="BQ115" t="s">
        <v>74</v>
      </c>
      <c r="BR115" t="s">
        <v>106</v>
      </c>
      <c r="BS115" t="s">
        <v>2601</v>
      </c>
      <c r="BT115" t="str">
        <f>HYPERLINK("https%3A%2F%2Fwww.webofscience.com%2Fwos%2Fwoscc%2Ffull-record%2FWOS:000749512000001","View Full Record in Web of Science")</f>
        <v>View Full Record in Web of Science</v>
      </c>
    </row>
    <row r="116" spans="1:72" x14ac:dyDescent="0.15">
      <c r="A116" t="s">
        <v>72</v>
      </c>
      <c r="B116" t="s">
        <v>2602</v>
      </c>
      <c r="C116" t="s">
        <v>74</v>
      </c>
      <c r="D116" t="s">
        <v>74</v>
      </c>
      <c r="E116" t="s">
        <v>74</v>
      </c>
      <c r="F116" t="s">
        <v>2603</v>
      </c>
      <c r="G116" t="s">
        <v>74</v>
      </c>
      <c r="H116" t="s">
        <v>74</v>
      </c>
      <c r="I116" t="s">
        <v>2604</v>
      </c>
      <c r="J116" t="s">
        <v>1063</v>
      </c>
      <c r="K116" t="s">
        <v>74</v>
      </c>
      <c r="L116" t="s">
        <v>74</v>
      </c>
      <c r="M116" t="s">
        <v>78</v>
      </c>
      <c r="N116" t="s">
        <v>79</v>
      </c>
      <c r="O116" t="s">
        <v>74</v>
      </c>
      <c r="P116" t="s">
        <v>74</v>
      </c>
      <c r="Q116" t="s">
        <v>74</v>
      </c>
      <c r="R116" t="s">
        <v>74</v>
      </c>
      <c r="S116" t="s">
        <v>74</v>
      </c>
      <c r="T116" t="s">
        <v>2605</v>
      </c>
      <c r="U116" t="s">
        <v>2606</v>
      </c>
      <c r="V116" t="s">
        <v>2607</v>
      </c>
      <c r="W116" t="s">
        <v>2608</v>
      </c>
      <c r="X116" t="s">
        <v>2609</v>
      </c>
      <c r="Y116" t="s">
        <v>2610</v>
      </c>
      <c r="Z116" t="s">
        <v>2611</v>
      </c>
      <c r="AA116" t="s">
        <v>2612</v>
      </c>
      <c r="AB116" t="s">
        <v>2613</v>
      </c>
      <c r="AC116" t="s">
        <v>74</v>
      </c>
      <c r="AD116" t="s">
        <v>74</v>
      </c>
      <c r="AE116" t="s">
        <v>74</v>
      </c>
      <c r="AF116" t="s">
        <v>74</v>
      </c>
      <c r="AG116">
        <v>57</v>
      </c>
      <c r="AH116">
        <v>1</v>
      </c>
      <c r="AI116">
        <v>1</v>
      </c>
      <c r="AJ116">
        <v>1</v>
      </c>
      <c r="AK116">
        <v>8</v>
      </c>
      <c r="AL116" t="s">
        <v>1074</v>
      </c>
      <c r="AM116" t="s">
        <v>506</v>
      </c>
      <c r="AN116" t="s">
        <v>1075</v>
      </c>
      <c r="AO116" t="s">
        <v>1076</v>
      </c>
      <c r="AP116" t="s">
        <v>1077</v>
      </c>
      <c r="AQ116" t="s">
        <v>74</v>
      </c>
      <c r="AR116" t="s">
        <v>1078</v>
      </c>
      <c r="AS116" t="s">
        <v>1079</v>
      </c>
      <c r="AT116" t="s">
        <v>537</v>
      </c>
      <c r="AU116">
        <v>2022</v>
      </c>
      <c r="AV116">
        <v>45</v>
      </c>
      <c r="AW116">
        <v>4</v>
      </c>
      <c r="AX116" t="s">
        <v>74</v>
      </c>
      <c r="AY116" t="s">
        <v>74</v>
      </c>
      <c r="AZ116" t="s">
        <v>74</v>
      </c>
      <c r="BA116" t="s">
        <v>74</v>
      </c>
      <c r="BB116">
        <v>537</v>
      </c>
      <c r="BC116">
        <v>548</v>
      </c>
      <c r="BD116" t="s">
        <v>74</v>
      </c>
      <c r="BE116" t="s">
        <v>2614</v>
      </c>
      <c r="BF116" t="str">
        <f>HYPERLINK("http://dx.doi.org/10.1007/s00300-022-03012-9","http://dx.doi.org/10.1007/s00300-022-03012-9")</f>
        <v>http://dx.doi.org/10.1007/s00300-022-03012-9</v>
      </c>
      <c r="BG116" t="s">
        <v>74</v>
      </c>
      <c r="BH116" t="s">
        <v>101</v>
      </c>
      <c r="BI116">
        <v>12</v>
      </c>
      <c r="BJ116" t="s">
        <v>1081</v>
      </c>
      <c r="BK116" t="s">
        <v>103</v>
      </c>
      <c r="BL116" t="s">
        <v>1082</v>
      </c>
      <c r="BM116" t="s">
        <v>1083</v>
      </c>
      <c r="BN116" t="s">
        <v>74</v>
      </c>
      <c r="BO116" t="s">
        <v>74</v>
      </c>
      <c r="BP116" t="s">
        <v>74</v>
      </c>
      <c r="BQ116" t="s">
        <v>74</v>
      </c>
      <c r="BR116" t="s">
        <v>106</v>
      </c>
      <c r="BS116" t="s">
        <v>2615</v>
      </c>
      <c r="BT116" t="str">
        <f>HYPERLINK("https%3A%2F%2Fwww.webofscience.com%2Fwos%2Fwoscc%2Ffull-record%2FWOS:000749585300001","View Full Record in Web of Science")</f>
        <v>View Full Record in Web of Science</v>
      </c>
    </row>
    <row r="117" spans="1:72" x14ac:dyDescent="0.15">
      <c r="A117" t="s">
        <v>72</v>
      </c>
      <c r="B117" t="s">
        <v>2616</v>
      </c>
      <c r="C117" t="s">
        <v>74</v>
      </c>
      <c r="D117" t="s">
        <v>74</v>
      </c>
      <c r="E117" t="s">
        <v>74</v>
      </c>
      <c r="F117" t="s">
        <v>2617</v>
      </c>
      <c r="G117" t="s">
        <v>74</v>
      </c>
      <c r="H117" t="s">
        <v>74</v>
      </c>
      <c r="I117" t="s">
        <v>2618</v>
      </c>
      <c r="J117" t="s">
        <v>2619</v>
      </c>
      <c r="K117" t="s">
        <v>74</v>
      </c>
      <c r="L117" t="s">
        <v>74</v>
      </c>
      <c r="M117" t="s">
        <v>78</v>
      </c>
      <c r="N117" t="s">
        <v>79</v>
      </c>
      <c r="O117" t="s">
        <v>74</v>
      </c>
      <c r="P117" t="s">
        <v>74</v>
      </c>
      <c r="Q117" t="s">
        <v>74</v>
      </c>
      <c r="R117" t="s">
        <v>74</v>
      </c>
      <c r="S117" t="s">
        <v>74</v>
      </c>
      <c r="T117" t="s">
        <v>2620</v>
      </c>
      <c r="U117" t="s">
        <v>2621</v>
      </c>
      <c r="V117" t="s">
        <v>2622</v>
      </c>
      <c r="W117" t="s">
        <v>2623</v>
      </c>
      <c r="X117" t="s">
        <v>2624</v>
      </c>
      <c r="Y117" t="s">
        <v>2625</v>
      </c>
      <c r="Z117" t="s">
        <v>2626</v>
      </c>
      <c r="AA117" t="s">
        <v>2627</v>
      </c>
      <c r="AB117" t="s">
        <v>2628</v>
      </c>
      <c r="AC117" t="s">
        <v>2629</v>
      </c>
      <c r="AD117" t="s">
        <v>2630</v>
      </c>
      <c r="AE117" t="s">
        <v>2631</v>
      </c>
      <c r="AF117" t="s">
        <v>74</v>
      </c>
      <c r="AG117">
        <v>34</v>
      </c>
      <c r="AH117">
        <v>9</v>
      </c>
      <c r="AI117">
        <v>9</v>
      </c>
      <c r="AJ117">
        <v>1</v>
      </c>
      <c r="AK117">
        <v>3</v>
      </c>
      <c r="AL117" t="s">
        <v>2632</v>
      </c>
      <c r="AM117" t="s">
        <v>2633</v>
      </c>
      <c r="AN117" t="s">
        <v>2634</v>
      </c>
      <c r="AO117" t="s">
        <v>74</v>
      </c>
      <c r="AP117" t="s">
        <v>2635</v>
      </c>
      <c r="AQ117" t="s">
        <v>74</v>
      </c>
      <c r="AR117" t="s">
        <v>2619</v>
      </c>
      <c r="AS117" t="s">
        <v>2636</v>
      </c>
      <c r="AT117" t="s">
        <v>840</v>
      </c>
      <c r="AU117">
        <v>2022</v>
      </c>
      <c r="AV117">
        <v>12</v>
      </c>
      <c r="AW117">
        <v>2</v>
      </c>
      <c r="AX117" t="s">
        <v>74</v>
      </c>
      <c r="AY117" t="s">
        <v>74</v>
      </c>
      <c r="AZ117" t="s">
        <v>74</v>
      </c>
      <c r="BA117" t="s">
        <v>74</v>
      </c>
      <c r="BB117" t="s">
        <v>74</v>
      </c>
      <c r="BC117" t="s">
        <v>74</v>
      </c>
      <c r="BD117">
        <v>87</v>
      </c>
      <c r="BE117" t="s">
        <v>2637</v>
      </c>
      <c r="BF117" t="str">
        <f>HYPERLINK("http://dx.doi.org/10.3390/geosciences12020087","http://dx.doi.org/10.3390/geosciences12020087")</f>
        <v>http://dx.doi.org/10.3390/geosciences12020087</v>
      </c>
      <c r="BG117" t="s">
        <v>74</v>
      </c>
      <c r="BH117" t="s">
        <v>74</v>
      </c>
      <c r="BI117">
        <v>14</v>
      </c>
      <c r="BJ117" t="s">
        <v>151</v>
      </c>
      <c r="BK117" t="s">
        <v>724</v>
      </c>
      <c r="BL117" t="s">
        <v>152</v>
      </c>
      <c r="BM117" t="s">
        <v>2638</v>
      </c>
      <c r="BN117" t="s">
        <v>74</v>
      </c>
      <c r="BO117" t="s">
        <v>2639</v>
      </c>
      <c r="BP117" t="s">
        <v>74</v>
      </c>
      <c r="BQ117" t="s">
        <v>74</v>
      </c>
      <c r="BR117" t="s">
        <v>106</v>
      </c>
      <c r="BS117" t="s">
        <v>2640</v>
      </c>
      <c r="BT117" t="str">
        <f>HYPERLINK("https%3A%2F%2Fwww.webofscience.com%2Fwos%2Fwoscc%2Ffull-record%2FWOS:000885250800001","View Full Record in Web of Science")</f>
        <v>View Full Record in Web of Science</v>
      </c>
    </row>
    <row r="118" spans="1:72" x14ac:dyDescent="0.15">
      <c r="A118" t="s">
        <v>72</v>
      </c>
      <c r="B118" t="s">
        <v>2641</v>
      </c>
      <c r="C118" t="s">
        <v>74</v>
      </c>
      <c r="D118" t="s">
        <v>74</v>
      </c>
      <c r="E118" t="s">
        <v>74</v>
      </c>
      <c r="F118" t="s">
        <v>2642</v>
      </c>
      <c r="G118" t="s">
        <v>74</v>
      </c>
      <c r="H118" t="s">
        <v>74</v>
      </c>
      <c r="I118" t="s">
        <v>2643</v>
      </c>
      <c r="J118" t="s">
        <v>2644</v>
      </c>
      <c r="K118" t="s">
        <v>74</v>
      </c>
      <c r="L118" t="s">
        <v>74</v>
      </c>
      <c r="M118" t="s">
        <v>78</v>
      </c>
      <c r="N118" t="s">
        <v>79</v>
      </c>
      <c r="O118" t="s">
        <v>74</v>
      </c>
      <c r="P118" t="s">
        <v>74</v>
      </c>
      <c r="Q118" t="s">
        <v>74</v>
      </c>
      <c r="R118" t="s">
        <v>74</v>
      </c>
      <c r="S118" t="s">
        <v>74</v>
      </c>
      <c r="T118" t="s">
        <v>2645</v>
      </c>
      <c r="U118" t="s">
        <v>2646</v>
      </c>
      <c r="V118" t="s">
        <v>2647</v>
      </c>
      <c r="W118" t="s">
        <v>2648</v>
      </c>
      <c r="X118" t="s">
        <v>2649</v>
      </c>
      <c r="Y118" t="s">
        <v>2650</v>
      </c>
      <c r="Z118" t="s">
        <v>2651</v>
      </c>
      <c r="AA118" t="s">
        <v>2652</v>
      </c>
      <c r="AB118" t="s">
        <v>2653</v>
      </c>
      <c r="AC118" t="s">
        <v>2654</v>
      </c>
      <c r="AD118" t="s">
        <v>2655</v>
      </c>
      <c r="AE118" t="s">
        <v>2656</v>
      </c>
      <c r="AF118" t="s">
        <v>74</v>
      </c>
      <c r="AG118">
        <v>106</v>
      </c>
      <c r="AH118">
        <v>8</v>
      </c>
      <c r="AI118">
        <v>8</v>
      </c>
      <c r="AJ118">
        <v>9</v>
      </c>
      <c r="AK118">
        <v>27</v>
      </c>
      <c r="AL118" t="s">
        <v>2632</v>
      </c>
      <c r="AM118" t="s">
        <v>2633</v>
      </c>
      <c r="AN118" t="s">
        <v>2634</v>
      </c>
      <c r="AO118" t="s">
        <v>74</v>
      </c>
      <c r="AP118" t="s">
        <v>2657</v>
      </c>
      <c r="AQ118" t="s">
        <v>74</v>
      </c>
      <c r="AR118" t="s">
        <v>2644</v>
      </c>
      <c r="AS118" t="s">
        <v>2658</v>
      </c>
      <c r="AT118" t="s">
        <v>840</v>
      </c>
      <c r="AU118">
        <v>2022</v>
      </c>
      <c r="AV118">
        <v>10</v>
      </c>
      <c r="AW118">
        <v>2</v>
      </c>
      <c r="AX118" t="s">
        <v>74</v>
      </c>
      <c r="AY118" t="s">
        <v>74</v>
      </c>
      <c r="AZ118" t="s">
        <v>74</v>
      </c>
      <c r="BA118" t="s">
        <v>74</v>
      </c>
      <c r="BB118" t="s">
        <v>74</v>
      </c>
      <c r="BC118" t="s">
        <v>74</v>
      </c>
      <c r="BD118">
        <v>233</v>
      </c>
      <c r="BE118" t="s">
        <v>2659</v>
      </c>
      <c r="BF118" t="str">
        <f>HYPERLINK("http://dx.doi.org/10.3390/microorganisms10020233","http://dx.doi.org/10.3390/microorganisms10020233")</f>
        <v>http://dx.doi.org/10.3390/microorganisms10020233</v>
      </c>
      <c r="BG118" t="s">
        <v>74</v>
      </c>
      <c r="BH118" t="s">
        <v>74</v>
      </c>
      <c r="BI118">
        <v>19</v>
      </c>
      <c r="BJ118" t="s">
        <v>747</v>
      </c>
      <c r="BK118" t="s">
        <v>103</v>
      </c>
      <c r="BL118" t="s">
        <v>747</v>
      </c>
      <c r="BM118" t="s">
        <v>2660</v>
      </c>
      <c r="BN118">
        <v>35208688</v>
      </c>
      <c r="BO118" t="s">
        <v>211</v>
      </c>
      <c r="BP118" t="s">
        <v>74</v>
      </c>
      <c r="BQ118" t="s">
        <v>74</v>
      </c>
      <c r="BR118" t="s">
        <v>106</v>
      </c>
      <c r="BS118" t="s">
        <v>2661</v>
      </c>
      <c r="BT118" t="str">
        <f>HYPERLINK("https%3A%2F%2Fwww.webofscience.com%2Fwos%2Fwoscc%2Ffull-record%2FWOS:000824095100001","View Full Record in Web of Science")</f>
        <v>View Full Record in Web of Science</v>
      </c>
    </row>
    <row r="119" spans="1:72" x14ac:dyDescent="0.15">
      <c r="A119" t="s">
        <v>72</v>
      </c>
      <c r="B119" t="s">
        <v>2662</v>
      </c>
      <c r="C119" t="s">
        <v>74</v>
      </c>
      <c r="D119" t="s">
        <v>74</v>
      </c>
      <c r="E119" t="s">
        <v>74</v>
      </c>
      <c r="F119" t="s">
        <v>2663</v>
      </c>
      <c r="G119" t="s">
        <v>74</v>
      </c>
      <c r="H119" t="s">
        <v>74</v>
      </c>
      <c r="I119" t="s">
        <v>2664</v>
      </c>
      <c r="J119" t="s">
        <v>2644</v>
      </c>
      <c r="K119" t="s">
        <v>74</v>
      </c>
      <c r="L119" t="s">
        <v>74</v>
      </c>
      <c r="M119" t="s">
        <v>78</v>
      </c>
      <c r="N119" t="s">
        <v>79</v>
      </c>
      <c r="O119" t="s">
        <v>74</v>
      </c>
      <c r="P119" t="s">
        <v>74</v>
      </c>
      <c r="Q119" t="s">
        <v>74</v>
      </c>
      <c r="R119" t="s">
        <v>74</v>
      </c>
      <c r="S119" t="s">
        <v>74</v>
      </c>
      <c r="T119" t="s">
        <v>2665</v>
      </c>
      <c r="U119" t="s">
        <v>2666</v>
      </c>
      <c r="V119" t="s">
        <v>2667</v>
      </c>
      <c r="W119" t="s">
        <v>2668</v>
      </c>
      <c r="X119" t="s">
        <v>2669</v>
      </c>
      <c r="Y119" t="s">
        <v>2670</v>
      </c>
      <c r="Z119" t="s">
        <v>2671</v>
      </c>
      <c r="AA119" t="s">
        <v>2672</v>
      </c>
      <c r="AB119" t="s">
        <v>2673</v>
      </c>
      <c r="AC119" t="s">
        <v>2674</v>
      </c>
      <c r="AD119" t="s">
        <v>2675</v>
      </c>
      <c r="AE119" t="s">
        <v>2676</v>
      </c>
      <c r="AF119" t="s">
        <v>74</v>
      </c>
      <c r="AG119">
        <v>38</v>
      </c>
      <c r="AH119">
        <v>3</v>
      </c>
      <c r="AI119">
        <v>3</v>
      </c>
      <c r="AJ119">
        <v>0</v>
      </c>
      <c r="AK119">
        <v>7</v>
      </c>
      <c r="AL119" t="s">
        <v>2632</v>
      </c>
      <c r="AM119" t="s">
        <v>2633</v>
      </c>
      <c r="AN119" t="s">
        <v>2634</v>
      </c>
      <c r="AO119" t="s">
        <v>74</v>
      </c>
      <c r="AP119" t="s">
        <v>2657</v>
      </c>
      <c r="AQ119" t="s">
        <v>74</v>
      </c>
      <c r="AR119" t="s">
        <v>2644</v>
      </c>
      <c r="AS119" t="s">
        <v>2658</v>
      </c>
      <c r="AT119" t="s">
        <v>840</v>
      </c>
      <c r="AU119">
        <v>2022</v>
      </c>
      <c r="AV119">
        <v>10</v>
      </c>
      <c r="AW119">
        <v>2</v>
      </c>
      <c r="AX119" t="s">
        <v>74</v>
      </c>
      <c r="AY119" t="s">
        <v>74</v>
      </c>
      <c r="AZ119" t="s">
        <v>74</v>
      </c>
      <c r="BA119" t="s">
        <v>74</v>
      </c>
      <c r="BB119" t="s">
        <v>74</v>
      </c>
      <c r="BC119" t="s">
        <v>74</v>
      </c>
      <c r="BD119">
        <v>202</v>
      </c>
      <c r="BE119" t="s">
        <v>2677</v>
      </c>
      <c r="BF119" t="str">
        <f>HYPERLINK("http://dx.doi.org/10.3390/microorganisms10020202","http://dx.doi.org/10.3390/microorganisms10020202")</f>
        <v>http://dx.doi.org/10.3390/microorganisms10020202</v>
      </c>
      <c r="BG119" t="s">
        <v>74</v>
      </c>
      <c r="BH119" t="s">
        <v>74</v>
      </c>
      <c r="BI119">
        <v>14</v>
      </c>
      <c r="BJ119" t="s">
        <v>747</v>
      </c>
      <c r="BK119" t="s">
        <v>103</v>
      </c>
      <c r="BL119" t="s">
        <v>747</v>
      </c>
      <c r="BM119" t="s">
        <v>2678</v>
      </c>
      <c r="BN119">
        <v>35208657</v>
      </c>
      <c r="BO119" t="s">
        <v>211</v>
      </c>
      <c r="BP119" t="s">
        <v>74</v>
      </c>
      <c r="BQ119" t="s">
        <v>74</v>
      </c>
      <c r="BR119" t="s">
        <v>106</v>
      </c>
      <c r="BS119" t="s">
        <v>2679</v>
      </c>
      <c r="BT119" t="str">
        <f>HYPERLINK("https%3A%2F%2Fwww.webofscience.com%2Fwos%2Fwoscc%2Ffull-record%2FWOS:000824088500001","View Full Record in Web of Science")</f>
        <v>View Full Record in Web of Science</v>
      </c>
    </row>
    <row r="120" spans="1:72" x14ac:dyDescent="0.15">
      <c r="A120" t="s">
        <v>72</v>
      </c>
      <c r="B120" t="s">
        <v>2680</v>
      </c>
      <c r="C120" t="s">
        <v>74</v>
      </c>
      <c r="D120" t="s">
        <v>74</v>
      </c>
      <c r="E120" t="s">
        <v>74</v>
      </c>
      <c r="F120" t="s">
        <v>2681</v>
      </c>
      <c r="G120" t="s">
        <v>74</v>
      </c>
      <c r="H120" t="s">
        <v>74</v>
      </c>
      <c r="I120" t="s">
        <v>2682</v>
      </c>
      <c r="J120" t="s">
        <v>2683</v>
      </c>
      <c r="K120" t="s">
        <v>74</v>
      </c>
      <c r="L120" t="s">
        <v>74</v>
      </c>
      <c r="M120" t="s">
        <v>78</v>
      </c>
      <c r="N120" t="s">
        <v>79</v>
      </c>
      <c r="O120" t="s">
        <v>74</v>
      </c>
      <c r="P120" t="s">
        <v>74</v>
      </c>
      <c r="Q120" t="s">
        <v>74</v>
      </c>
      <c r="R120" t="s">
        <v>74</v>
      </c>
      <c r="S120" t="s">
        <v>74</v>
      </c>
      <c r="T120" t="s">
        <v>2684</v>
      </c>
      <c r="U120" t="s">
        <v>2685</v>
      </c>
      <c r="V120" t="s">
        <v>2686</v>
      </c>
      <c r="W120" t="s">
        <v>2687</v>
      </c>
      <c r="X120" t="s">
        <v>2688</v>
      </c>
      <c r="Y120" t="s">
        <v>2689</v>
      </c>
      <c r="Z120" t="s">
        <v>2690</v>
      </c>
      <c r="AA120" t="s">
        <v>74</v>
      </c>
      <c r="AB120" t="s">
        <v>2691</v>
      </c>
      <c r="AC120" t="s">
        <v>74</v>
      </c>
      <c r="AD120" t="s">
        <v>74</v>
      </c>
      <c r="AE120" t="s">
        <v>74</v>
      </c>
      <c r="AF120" t="s">
        <v>74</v>
      </c>
      <c r="AG120">
        <v>24</v>
      </c>
      <c r="AH120">
        <v>0</v>
      </c>
      <c r="AI120">
        <v>0</v>
      </c>
      <c r="AJ120">
        <v>0</v>
      </c>
      <c r="AK120">
        <v>0</v>
      </c>
      <c r="AL120" t="s">
        <v>2692</v>
      </c>
      <c r="AM120" t="s">
        <v>506</v>
      </c>
      <c r="AN120" t="s">
        <v>2693</v>
      </c>
      <c r="AO120" t="s">
        <v>2694</v>
      </c>
      <c r="AP120" t="s">
        <v>2695</v>
      </c>
      <c r="AQ120" t="s">
        <v>74</v>
      </c>
      <c r="AR120" t="s">
        <v>2696</v>
      </c>
      <c r="AS120" t="s">
        <v>2697</v>
      </c>
      <c r="AT120" t="s">
        <v>840</v>
      </c>
      <c r="AU120">
        <v>2022</v>
      </c>
      <c r="AV120">
        <v>47</v>
      </c>
      <c r="AW120">
        <v>2</v>
      </c>
      <c r="AX120" t="s">
        <v>74</v>
      </c>
      <c r="AY120" t="s">
        <v>74</v>
      </c>
      <c r="AZ120" t="s">
        <v>74</v>
      </c>
      <c r="BA120" t="s">
        <v>74</v>
      </c>
      <c r="BB120">
        <v>141</v>
      </c>
      <c r="BC120">
        <v>147</v>
      </c>
      <c r="BD120" t="s">
        <v>74</v>
      </c>
      <c r="BE120" t="s">
        <v>2698</v>
      </c>
      <c r="BF120" t="str">
        <f>HYPERLINK("http://dx.doi.org/10.3103/S106837392202008X","http://dx.doi.org/10.3103/S106837392202008X")</f>
        <v>http://dx.doi.org/10.3103/S106837392202008X</v>
      </c>
      <c r="BG120" t="s">
        <v>74</v>
      </c>
      <c r="BH120" t="s">
        <v>74</v>
      </c>
      <c r="BI120">
        <v>7</v>
      </c>
      <c r="BJ120" t="s">
        <v>514</v>
      </c>
      <c r="BK120" t="s">
        <v>103</v>
      </c>
      <c r="BL120" t="s">
        <v>514</v>
      </c>
      <c r="BM120" t="s">
        <v>2699</v>
      </c>
      <c r="BN120" t="s">
        <v>74</v>
      </c>
      <c r="BO120" t="s">
        <v>74</v>
      </c>
      <c r="BP120" t="s">
        <v>74</v>
      </c>
      <c r="BQ120" t="s">
        <v>74</v>
      </c>
      <c r="BR120" t="s">
        <v>106</v>
      </c>
      <c r="BS120" t="s">
        <v>2700</v>
      </c>
      <c r="BT120" t="str">
        <f>HYPERLINK("https%3A%2F%2Fwww.webofscience.com%2Fwos%2Fwoscc%2Ffull-record%2FWOS:000814268000008","View Full Record in Web of Science")</f>
        <v>View Full Record in Web of Science</v>
      </c>
    </row>
    <row r="121" spans="1:72" x14ac:dyDescent="0.15">
      <c r="A121" t="s">
        <v>72</v>
      </c>
      <c r="B121" t="s">
        <v>2701</v>
      </c>
      <c r="C121" t="s">
        <v>74</v>
      </c>
      <c r="D121" t="s">
        <v>74</v>
      </c>
      <c r="E121" t="s">
        <v>74</v>
      </c>
      <c r="F121" t="s">
        <v>2702</v>
      </c>
      <c r="G121" t="s">
        <v>74</v>
      </c>
      <c r="H121" t="s">
        <v>74</v>
      </c>
      <c r="I121" t="s">
        <v>2703</v>
      </c>
      <c r="J121" t="s">
        <v>2704</v>
      </c>
      <c r="K121" t="s">
        <v>74</v>
      </c>
      <c r="L121" t="s">
        <v>74</v>
      </c>
      <c r="M121" t="s">
        <v>78</v>
      </c>
      <c r="N121" t="s">
        <v>779</v>
      </c>
      <c r="O121" t="s">
        <v>74</v>
      </c>
      <c r="P121" t="s">
        <v>74</v>
      </c>
      <c r="Q121" t="s">
        <v>74</v>
      </c>
      <c r="R121" t="s">
        <v>74</v>
      </c>
      <c r="S121" t="s">
        <v>74</v>
      </c>
      <c r="T121" t="s">
        <v>74</v>
      </c>
      <c r="U121" t="s">
        <v>74</v>
      </c>
      <c r="V121" t="s">
        <v>2705</v>
      </c>
      <c r="W121" t="s">
        <v>2706</v>
      </c>
      <c r="X121" t="s">
        <v>2707</v>
      </c>
      <c r="Y121" t="s">
        <v>2708</v>
      </c>
      <c r="Z121" t="s">
        <v>2709</v>
      </c>
      <c r="AA121" t="s">
        <v>2710</v>
      </c>
      <c r="AB121" t="s">
        <v>74</v>
      </c>
      <c r="AC121" t="s">
        <v>74</v>
      </c>
      <c r="AD121" t="s">
        <v>74</v>
      </c>
      <c r="AE121" t="s">
        <v>74</v>
      </c>
      <c r="AF121" t="s">
        <v>74</v>
      </c>
      <c r="AG121">
        <v>2</v>
      </c>
      <c r="AH121">
        <v>0</v>
      </c>
      <c r="AI121">
        <v>0</v>
      </c>
      <c r="AJ121">
        <v>2</v>
      </c>
      <c r="AK121">
        <v>4</v>
      </c>
      <c r="AL121" t="s">
        <v>2711</v>
      </c>
      <c r="AM121" t="s">
        <v>2712</v>
      </c>
      <c r="AN121" t="s">
        <v>2713</v>
      </c>
      <c r="AO121" t="s">
        <v>2714</v>
      </c>
      <c r="AP121" t="s">
        <v>2715</v>
      </c>
      <c r="AQ121" t="s">
        <v>74</v>
      </c>
      <c r="AR121" t="s">
        <v>2716</v>
      </c>
      <c r="AS121" t="s">
        <v>2717</v>
      </c>
      <c r="AT121" t="s">
        <v>840</v>
      </c>
      <c r="AU121">
        <v>2022</v>
      </c>
      <c r="AV121">
        <v>7</v>
      </c>
      <c r="AW121">
        <v>1</v>
      </c>
      <c r="AX121" t="s">
        <v>74</v>
      </c>
      <c r="AY121" t="s">
        <v>74</v>
      </c>
      <c r="AZ121" t="s">
        <v>74</v>
      </c>
      <c r="BA121" t="s">
        <v>74</v>
      </c>
      <c r="BB121">
        <v>123</v>
      </c>
      <c r="BC121">
        <v>132</v>
      </c>
      <c r="BD121" t="s">
        <v>74</v>
      </c>
      <c r="BE121" t="s">
        <v>2718</v>
      </c>
      <c r="BF121" t="str">
        <f>HYPERLINK("http://dx.doi.org/10.1163/24519391-07010009","http://dx.doi.org/10.1163/24519391-07010009")</f>
        <v>http://dx.doi.org/10.1163/24519391-07010009</v>
      </c>
      <c r="BG121" t="s">
        <v>74</v>
      </c>
      <c r="BH121" t="s">
        <v>74</v>
      </c>
      <c r="BI121">
        <v>10</v>
      </c>
      <c r="BJ121" t="s">
        <v>1941</v>
      </c>
      <c r="BK121" t="s">
        <v>724</v>
      </c>
      <c r="BL121" t="s">
        <v>1942</v>
      </c>
      <c r="BM121" t="s">
        <v>2719</v>
      </c>
      <c r="BN121" t="s">
        <v>74</v>
      </c>
      <c r="BO121" t="s">
        <v>74</v>
      </c>
      <c r="BP121" t="s">
        <v>74</v>
      </c>
      <c r="BQ121" t="s">
        <v>74</v>
      </c>
      <c r="BR121" t="s">
        <v>106</v>
      </c>
      <c r="BS121" t="s">
        <v>2720</v>
      </c>
      <c r="BT121" t="str">
        <f>HYPERLINK("https%3A%2F%2Fwww.webofscience.com%2Fwos%2Fwoscc%2Ffull-record%2FWOS:000800040800009","View Full Record in Web of Science")</f>
        <v>View Full Record in Web of Science</v>
      </c>
    </row>
    <row r="122" spans="1:72" x14ac:dyDescent="0.15">
      <c r="A122" t="s">
        <v>72</v>
      </c>
      <c r="B122" t="s">
        <v>2721</v>
      </c>
      <c r="C122" t="s">
        <v>74</v>
      </c>
      <c r="D122" t="s">
        <v>74</v>
      </c>
      <c r="E122" t="s">
        <v>74</v>
      </c>
      <c r="F122" t="s">
        <v>2722</v>
      </c>
      <c r="G122" t="s">
        <v>74</v>
      </c>
      <c r="H122" t="s">
        <v>74</v>
      </c>
      <c r="I122" t="s">
        <v>2723</v>
      </c>
      <c r="J122" t="s">
        <v>2724</v>
      </c>
      <c r="K122" t="s">
        <v>74</v>
      </c>
      <c r="L122" t="s">
        <v>74</v>
      </c>
      <c r="M122" t="s">
        <v>78</v>
      </c>
      <c r="N122" t="s">
        <v>79</v>
      </c>
      <c r="O122" t="s">
        <v>74</v>
      </c>
      <c r="P122" t="s">
        <v>74</v>
      </c>
      <c r="Q122" t="s">
        <v>74</v>
      </c>
      <c r="R122" t="s">
        <v>74</v>
      </c>
      <c r="S122" t="s">
        <v>74</v>
      </c>
      <c r="T122" t="s">
        <v>2725</v>
      </c>
      <c r="U122" t="s">
        <v>2726</v>
      </c>
      <c r="V122" t="s">
        <v>2727</v>
      </c>
      <c r="W122" t="s">
        <v>2728</v>
      </c>
      <c r="X122" t="s">
        <v>2729</v>
      </c>
      <c r="Y122" t="s">
        <v>2730</v>
      </c>
      <c r="Z122" t="s">
        <v>2731</v>
      </c>
      <c r="AA122" t="s">
        <v>2732</v>
      </c>
      <c r="AB122" t="s">
        <v>2733</v>
      </c>
      <c r="AC122" t="s">
        <v>2734</v>
      </c>
      <c r="AD122" t="s">
        <v>2735</v>
      </c>
      <c r="AE122" t="s">
        <v>2736</v>
      </c>
      <c r="AF122" t="s">
        <v>74</v>
      </c>
      <c r="AG122">
        <v>33</v>
      </c>
      <c r="AH122">
        <v>2</v>
      </c>
      <c r="AI122">
        <v>2</v>
      </c>
      <c r="AJ122">
        <v>2</v>
      </c>
      <c r="AK122">
        <v>21</v>
      </c>
      <c r="AL122" t="s">
        <v>2632</v>
      </c>
      <c r="AM122" t="s">
        <v>2633</v>
      </c>
      <c r="AN122" t="s">
        <v>2634</v>
      </c>
      <c r="AO122" t="s">
        <v>74</v>
      </c>
      <c r="AP122" t="s">
        <v>2737</v>
      </c>
      <c r="AQ122" t="s">
        <v>74</v>
      </c>
      <c r="AR122" t="s">
        <v>2738</v>
      </c>
      <c r="AS122" t="s">
        <v>2739</v>
      </c>
      <c r="AT122" t="s">
        <v>840</v>
      </c>
      <c r="AU122">
        <v>2022</v>
      </c>
      <c r="AV122">
        <v>14</v>
      </c>
      <c r="AW122">
        <v>3</v>
      </c>
      <c r="AX122" t="s">
        <v>74</v>
      </c>
      <c r="AY122" t="s">
        <v>74</v>
      </c>
      <c r="AZ122" t="s">
        <v>74</v>
      </c>
      <c r="BA122" t="s">
        <v>74</v>
      </c>
      <c r="BB122" t="s">
        <v>74</v>
      </c>
      <c r="BC122" t="s">
        <v>74</v>
      </c>
      <c r="BD122">
        <v>496</v>
      </c>
      <c r="BE122" t="s">
        <v>2740</v>
      </c>
      <c r="BF122" t="str">
        <f>HYPERLINK("http://dx.doi.org/10.3390/rs14030496","http://dx.doi.org/10.3390/rs14030496")</f>
        <v>http://dx.doi.org/10.3390/rs14030496</v>
      </c>
      <c r="BG122" t="s">
        <v>74</v>
      </c>
      <c r="BH122" t="s">
        <v>74</v>
      </c>
      <c r="BI122">
        <v>12</v>
      </c>
      <c r="BJ122" t="s">
        <v>2741</v>
      </c>
      <c r="BK122" t="s">
        <v>103</v>
      </c>
      <c r="BL122" t="s">
        <v>2742</v>
      </c>
      <c r="BM122" t="s">
        <v>2743</v>
      </c>
      <c r="BN122" t="s">
        <v>74</v>
      </c>
      <c r="BO122" t="s">
        <v>445</v>
      </c>
      <c r="BP122" t="s">
        <v>74</v>
      </c>
      <c r="BQ122" t="s">
        <v>74</v>
      </c>
      <c r="BR122" t="s">
        <v>106</v>
      </c>
      <c r="BS122" t="s">
        <v>2744</v>
      </c>
      <c r="BT122" t="str">
        <f>HYPERLINK("https%3A%2F%2Fwww.webofscience.com%2Fwos%2Fwoscc%2Ffull-record%2FWOS:000810866300001","View Full Record in Web of Science")</f>
        <v>View Full Record in Web of Science</v>
      </c>
    </row>
    <row r="123" spans="1:72" x14ac:dyDescent="0.15">
      <c r="A123" t="s">
        <v>72</v>
      </c>
      <c r="B123" t="s">
        <v>2745</v>
      </c>
      <c r="C123" t="s">
        <v>74</v>
      </c>
      <c r="D123" t="s">
        <v>74</v>
      </c>
      <c r="E123" t="s">
        <v>74</v>
      </c>
      <c r="F123" t="s">
        <v>2746</v>
      </c>
      <c r="G123" t="s">
        <v>74</v>
      </c>
      <c r="H123" t="s">
        <v>74</v>
      </c>
      <c r="I123" t="s">
        <v>2747</v>
      </c>
      <c r="J123" t="s">
        <v>2748</v>
      </c>
      <c r="K123" t="s">
        <v>74</v>
      </c>
      <c r="L123" t="s">
        <v>74</v>
      </c>
      <c r="M123" t="s">
        <v>78</v>
      </c>
      <c r="N123" t="s">
        <v>79</v>
      </c>
      <c r="O123" t="s">
        <v>74</v>
      </c>
      <c r="P123" t="s">
        <v>74</v>
      </c>
      <c r="Q123" t="s">
        <v>74</v>
      </c>
      <c r="R123" t="s">
        <v>74</v>
      </c>
      <c r="S123" t="s">
        <v>74</v>
      </c>
      <c r="T123" t="s">
        <v>2749</v>
      </c>
      <c r="U123" t="s">
        <v>2750</v>
      </c>
      <c r="V123" t="s">
        <v>2751</v>
      </c>
      <c r="W123" t="s">
        <v>2752</v>
      </c>
      <c r="X123" t="s">
        <v>2753</v>
      </c>
      <c r="Y123" t="s">
        <v>2754</v>
      </c>
      <c r="Z123" t="s">
        <v>2755</v>
      </c>
      <c r="AA123" t="s">
        <v>2756</v>
      </c>
      <c r="AB123" t="s">
        <v>2757</v>
      </c>
      <c r="AC123" t="s">
        <v>2758</v>
      </c>
      <c r="AD123" t="s">
        <v>2759</v>
      </c>
      <c r="AE123" t="s">
        <v>2760</v>
      </c>
      <c r="AF123" t="s">
        <v>74</v>
      </c>
      <c r="AG123">
        <v>81</v>
      </c>
      <c r="AH123">
        <v>11</v>
      </c>
      <c r="AI123">
        <v>12</v>
      </c>
      <c r="AJ123">
        <v>1</v>
      </c>
      <c r="AK123">
        <v>9</v>
      </c>
      <c r="AL123" t="s">
        <v>2761</v>
      </c>
      <c r="AM123" t="s">
        <v>2762</v>
      </c>
      <c r="AN123" t="s">
        <v>2763</v>
      </c>
      <c r="AO123" t="s">
        <v>2764</v>
      </c>
      <c r="AP123" t="s">
        <v>2765</v>
      </c>
      <c r="AQ123" t="s">
        <v>74</v>
      </c>
      <c r="AR123" t="s">
        <v>2766</v>
      </c>
      <c r="AS123" t="s">
        <v>2767</v>
      </c>
      <c r="AT123" t="s">
        <v>840</v>
      </c>
      <c r="AU123">
        <v>2022</v>
      </c>
      <c r="AV123">
        <v>52</v>
      </c>
      <c r="AW123">
        <v>2</v>
      </c>
      <c r="AX123" t="s">
        <v>74</v>
      </c>
      <c r="AY123" t="s">
        <v>74</v>
      </c>
      <c r="AZ123" t="s">
        <v>74</v>
      </c>
      <c r="BA123" t="s">
        <v>74</v>
      </c>
      <c r="BB123">
        <v>205</v>
      </c>
      <c r="BC123">
        <v>223</v>
      </c>
      <c r="BD123" t="s">
        <v>74</v>
      </c>
      <c r="BE123" t="s">
        <v>2768</v>
      </c>
      <c r="BF123" t="str">
        <f>HYPERLINK("http://dx.doi.org/10.1175/JPO-D-21-0136.1","http://dx.doi.org/10.1175/JPO-D-21-0136.1")</f>
        <v>http://dx.doi.org/10.1175/JPO-D-21-0136.1</v>
      </c>
      <c r="BG123" t="s">
        <v>74</v>
      </c>
      <c r="BH123" t="s">
        <v>74</v>
      </c>
      <c r="BI123">
        <v>19</v>
      </c>
      <c r="BJ123" t="s">
        <v>1131</v>
      </c>
      <c r="BK123" t="s">
        <v>103</v>
      </c>
      <c r="BL123" t="s">
        <v>1131</v>
      </c>
      <c r="BM123" t="s">
        <v>2769</v>
      </c>
      <c r="BN123" t="s">
        <v>74</v>
      </c>
      <c r="BO123" t="s">
        <v>1762</v>
      </c>
      <c r="BP123" t="s">
        <v>74</v>
      </c>
      <c r="BQ123" t="s">
        <v>74</v>
      </c>
      <c r="BR123" t="s">
        <v>106</v>
      </c>
      <c r="BS123" t="s">
        <v>2770</v>
      </c>
      <c r="BT123" t="str">
        <f>HYPERLINK("https%3A%2F%2Fwww.webofscience.com%2Fwos%2Fwoscc%2Ffull-record%2FWOS:000807289600002","View Full Record in Web of Science")</f>
        <v>View Full Record in Web of Science</v>
      </c>
    </row>
    <row r="124" spans="1:72" x14ac:dyDescent="0.15">
      <c r="A124" t="s">
        <v>72</v>
      </c>
      <c r="B124" t="s">
        <v>2771</v>
      </c>
      <c r="C124" t="s">
        <v>74</v>
      </c>
      <c r="D124" t="s">
        <v>74</v>
      </c>
      <c r="E124" t="s">
        <v>74</v>
      </c>
      <c r="F124" t="s">
        <v>2772</v>
      </c>
      <c r="G124" t="s">
        <v>74</v>
      </c>
      <c r="H124" t="s">
        <v>74</v>
      </c>
      <c r="I124" t="s">
        <v>2773</v>
      </c>
      <c r="J124" t="s">
        <v>2774</v>
      </c>
      <c r="K124" t="s">
        <v>74</v>
      </c>
      <c r="L124" t="s">
        <v>74</v>
      </c>
      <c r="M124" t="s">
        <v>78</v>
      </c>
      <c r="N124" t="s">
        <v>79</v>
      </c>
      <c r="O124" t="s">
        <v>74</v>
      </c>
      <c r="P124" t="s">
        <v>74</v>
      </c>
      <c r="Q124" t="s">
        <v>74</v>
      </c>
      <c r="R124" t="s">
        <v>74</v>
      </c>
      <c r="S124" t="s">
        <v>74</v>
      </c>
      <c r="T124" t="s">
        <v>2775</v>
      </c>
      <c r="U124" t="s">
        <v>2776</v>
      </c>
      <c r="V124" t="s">
        <v>2777</v>
      </c>
      <c r="W124" t="s">
        <v>2778</v>
      </c>
      <c r="X124" t="s">
        <v>2779</v>
      </c>
      <c r="Y124" t="s">
        <v>2780</v>
      </c>
      <c r="Z124" t="s">
        <v>2781</v>
      </c>
      <c r="AA124" t="s">
        <v>2782</v>
      </c>
      <c r="AB124" t="s">
        <v>2783</v>
      </c>
      <c r="AC124" t="s">
        <v>2784</v>
      </c>
      <c r="AD124" t="s">
        <v>2785</v>
      </c>
      <c r="AE124" t="s">
        <v>2786</v>
      </c>
      <c r="AF124" t="s">
        <v>74</v>
      </c>
      <c r="AG124">
        <v>51</v>
      </c>
      <c r="AH124">
        <v>3</v>
      </c>
      <c r="AI124">
        <v>3</v>
      </c>
      <c r="AJ124">
        <v>0</v>
      </c>
      <c r="AK124">
        <v>3</v>
      </c>
      <c r="AL124" t="s">
        <v>2761</v>
      </c>
      <c r="AM124" t="s">
        <v>2762</v>
      </c>
      <c r="AN124" t="s">
        <v>2787</v>
      </c>
      <c r="AO124" t="s">
        <v>2788</v>
      </c>
      <c r="AP124" t="s">
        <v>2789</v>
      </c>
      <c r="AQ124" t="s">
        <v>74</v>
      </c>
      <c r="AR124" t="s">
        <v>2790</v>
      </c>
      <c r="AS124" t="s">
        <v>2791</v>
      </c>
      <c r="AT124" t="s">
        <v>840</v>
      </c>
      <c r="AU124">
        <v>2022</v>
      </c>
      <c r="AV124">
        <v>35</v>
      </c>
      <c r="AW124">
        <v>4</v>
      </c>
      <c r="AX124" t="s">
        <v>74</v>
      </c>
      <c r="AY124" t="s">
        <v>74</v>
      </c>
      <c r="AZ124" t="s">
        <v>74</v>
      </c>
      <c r="BA124" t="s">
        <v>74</v>
      </c>
      <c r="BB124">
        <v>1327</v>
      </c>
      <c r="BC124">
        <v>1346</v>
      </c>
      <c r="BD124" t="s">
        <v>74</v>
      </c>
      <c r="BE124" t="s">
        <v>2792</v>
      </c>
      <c r="BF124" t="str">
        <f>HYPERLINK("http://dx.doi.org/10.1175/JCLI-D-20-0690.1","http://dx.doi.org/10.1175/JCLI-D-20-0690.1")</f>
        <v>http://dx.doi.org/10.1175/JCLI-D-20-0690.1</v>
      </c>
      <c r="BG124" t="s">
        <v>74</v>
      </c>
      <c r="BH124" t="s">
        <v>74</v>
      </c>
      <c r="BI124">
        <v>20</v>
      </c>
      <c r="BJ124" t="s">
        <v>514</v>
      </c>
      <c r="BK124" t="s">
        <v>103</v>
      </c>
      <c r="BL124" t="s">
        <v>514</v>
      </c>
      <c r="BM124" t="s">
        <v>2793</v>
      </c>
      <c r="BN124" t="s">
        <v>74</v>
      </c>
      <c r="BO124" t="s">
        <v>74</v>
      </c>
      <c r="BP124" t="s">
        <v>74</v>
      </c>
      <c r="BQ124" t="s">
        <v>74</v>
      </c>
      <c r="BR124" t="s">
        <v>106</v>
      </c>
      <c r="BS124" t="s">
        <v>2794</v>
      </c>
      <c r="BT124" t="str">
        <f>HYPERLINK("https%3A%2F%2Fwww.webofscience.com%2Fwos%2Fwoscc%2Ffull-record%2FWOS:000799194300011","View Full Record in Web of Science")</f>
        <v>View Full Record in Web of Science</v>
      </c>
    </row>
    <row r="125" spans="1:72" x14ac:dyDescent="0.15">
      <c r="A125" t="s">
        <v>72</v>
      </c>
      <c r="B125" t="s">
        <v>2795</v>
      </c>
      <c r="C125" t="s">
        <v>74</v>
      </c>
      <c r="D125" t="s">
        <v>74</v>
      </c>
      <c r="E125" t="s">
        <v>74</v>
      </c>
      <c r="F125" t="s">
        <v>2796</v>
      </c>
      <c r="G125" t="s">
        <v>74</v>
      </c>
      <c r="H125" t="s">
        <v>74</v>
      </c>
      <c r="I125" t="s">
        <v>2797</v>
      </c>
      <c r="J125" t="s">
        <v>1499</v>
      </c>
      <c r="K125" t="s">
        <v>74</v>
      </c>
      <c r="L125" t="s">
        <v>74</v>
      </c>
      <c r="M125" t="s">
        <v>78</v>
      </c>
      <c r="N125" t="s">
        <v>79</v>
      </c>
      <c r="O125" t="s">
        <v>74</v>
      </c>
      <c r="P125" t="s">
        <v>74</v>
      </c>
      <c r="Q125" t="s">
        <v>74</v>
      </c>
      <c r="R125" t="s">
        <v>74</v>
      </c>
      <c r="S125" t="s">
        <v>74</v>
      </c>
      <c r="T125" t="s">
        <v>2798</v>
      </c>
      <c r="U125" t="s">
        <v>2799</v>
      </c>
      <c r="V125" t="s">
        <v>2800</v>
      </c>
      <c r="W125" t="s">
        <v>2801</v>
      </c>
      <c r="X125" t="s">
        <v>2802</v>
      </c>
      <c r="Y125" t="s">
        <v>2803</v>
      </c>
      <c r="Z125" t="s">
        <v>2804</v>
      </c>
      <c r="AA125" t="s">
        <v>2805</v>
      </c>
      <c r="AB125" t="s">
        <v>74</v>
      </c>
      <c r="AC125" t="s">
        <v>2806</v>
      </c>
      <c r="AD125" t="s">
        <v>2807</v>
      </c>
      <c r="AE125" t="s">
        <v>2808</v>
      </c>
      <c r="AF125" t="s">
        <v>74</v>
      </c>
      <c r="AG125">
        <v>68</v>
      </c>
      <c r="AH125">
        <v>1</v>
      </c>
      <c r="AI125">
        <v>1</v>
      </c>
      <c r="AJ125">
        <v>7</v>
      </c>
      <c r="AK125">
        <v>26</v>
      </c>
      <c r="AL125" t="s">
        <v>310</v>
      </c>
      <c r="AM125" t="s">
        <v>311</v>
      </c>
      <c r="AN125" t="s">
        <v>312</v>
      </c>
      <c r="AO125" t="s">
        <v>1511</v>
      </c>
      <c r="AP125" t="s">
        <v>1512</v>
      </c>
      <c r="AQ125" t="s">
        <v>74</v>
      </c>
      <c r="AR125" t="s">
        <v>1499</v>
      </c>
      <c r="AS125" t="s">
        <v>1513</v>
      </c>
      <c r="AT125" t="s">
        <v>178</v>
      </c>
      <c r="AU125">
        <v>2022</v>
      </c>
      <c r="AV125">
        <v>212</v>
      </c>
      <c r="AW125" t="s">
        <v>74</v>
      </c>
      <c r="AX125" t="s">
        <v>74</v>
      </c>
      <c r="AY125" t="s">
        <v>74</v>
      </c>
      <c r="AZ125" t="s">
        <v>74</v>
      </c>
      <c r="BA125" t="s">
        <v>74</v>
      </c>
      <c r="BB125" t="s">
        <v>74</v>
      </c>
      <c r="BC125" t="s">
        <v>74</v>
      </c>
      <c r="BD125">
        <v>106069</v>
      </c>
      <c r="BE125" t="s">
        <v>2809</v>
      </c>
      <c r="BF125" t="str">
        <f>HYPERLINK("http://dx.doi.org/10.1016/j.catena.2022.106069","http://dx.doi.org/10.1016/j.catena.2022.106069")</f>
        <v>http://dx.doi.org/10.1016/j.catena.2022.106069</v>
      </c>
      <c r="BG125" t="s">
        <v>74</v>
      </c>
      <c r="BH125" t="s">
        <v>101</v>
      </c>
      <c r="BI125">
        <v>11</v>
      </c>
      <c r="BJ125" t="s">
        <v>1515</v>
      </c>
      <c r="BK125" t="s">
        <v>103</v>
      </c>
      <c r="BL125" t="s">
        <v>1516</v>
      </c>
      <c r="BM125" t="s">
        <v>2810</v>
      </c>
      <c r="BN125" t="s">
        <v>74</v>
      </c>
      <c r="BO125" t="s">
        <v>74</v>
      </c>
      <c r="BP125" t="s">
        <v>74</v>
      </c>
      <c r="BQ125" t="s">
        <v>74</v>
      </c>
      <c r="BR125" t="s">
        <v>106</v>
      </c>
      <c r="BS125" t="s">
        <v>2811</v>
      </c>
      <c r="BT125" t="str">
        <f>HYPERLINK("https%3A%2F%2Fwww.webofscience.com%2Fwos%2Fwoscc%2Ffull-record%2FWOS:000790442700003","View Full Record in Web of Science")</f>
        <v>View Full Record in Web of Science</v>
      </c>
    </row>
    <row r="126" spans="1:72" x14ac:dyDescent="0.15">
      <c r="A126" t="s">
        <v>72</v>
      </c>
      <c r="B126" t="s">
        <v>2812</v>
      </c>
      <c r="C126" t="s">
        <v>74</v>
      </c>
      <c r="D126" t="s">
        <v>74</v>
      </c>
      <c r="E126" t="s">
        <v>74</v>
      </c>
      <c r="F126" t="s">
        <v>2813</v>
      </c>
      <c r="G126" t="s">
        <v>74</v>
      </c>
      <c r="H126" t="s">
        <v>74</v>
      </c>
      <c r="I126" t="s">
        <v>2814</v>
      </c>
      <c r="J126" t="s">
        <v>2815</v>
      </c>
      <c r="K126" t="s">
        <v>74</v>
      </c>
      <c r="L126" t="s">
        <v>74</v>
      </c>
      <c r="M126" t="s">
        <v>78</v>
      </c>
      <c r="N126" t="s">
        <v>79</v>
      </c>
      <c r="O126" t="s">
        <v>74</v>
      </c>
      <c r="P126" t="s">
        <v>74</v>
      </c>
      <c r="Q126" t="s">
        <v>74</v>
      </c>
      <c r="R126" t="s">
        <v>74</v>
      </c>
      <c r="S126" t="s">
        <v>74</v>
      </c>
      <c r="T126" t="s">
        <v>2816</v>
      </c>
      <c r="U126" t="s">
        <v>2817</v>
      </c>
      <c r="V126" t="s">
        <v>2818</v>
      </c>
      <c r="W126" t="s">
        <v>2819</v>
      </c>
      <c r="X126" t="s">
        <v>2820</v>
      </c>
      <c r="Y126" t="s">
        <v>2821</v>
      </c>
      <c r="Z126" t="s">
        <v>2822</v>
      </c>
      <c r="AA126" t="s">
        <v>2823</v>
      </c>
      <c r="AB126" t="s">
        <v>2824</v>
      </c>
      <c r="AC126" t="s">
        <v>2825</v>
      </c>
      <c r="AD126" t="s">
        <v>2826</v>
      </c>
      <c r="AE126" t="s">
        <v>2827</v>
      </c>
      <c r="AF126" t="s">
        <v>74</v>
      </c>
      <c r="AG126">
        <v>107</v>
      </c>
      <c r="AH126">
        <v>2</v>
      </c>
      <c r="AI126">
        <v>2</v>
      </c>
      <c r="AJ126">
        <v>0</v>
      </c>
      <c r="AK126">
        <v>4</v>
      </c>
      <c r="AL126" t="s">
        <v>310</v>
      </c>
      <c r="AM126" t="s">
        <v>311</v>
      </c>
      <c r="AN126" t="s">
        <v>312</v>
      </c>
      <c r="AO126" t="s">
        <v>2828</v>
      </c>
      <c r="AP126" t="s">
        <v>2829</v>
      </c>
      <c r="AQ126" t="s">
        <v>74</v>
      </c>
      <c r="AR126" t="s">
        <v>2830</v>
      </c>
      <c r="AS126" t="s">
        <v>2831</v>
      </c>
      <c r="AT126" t="s">
        <v>99</v>
      </c>
      <c r="AU126">
        <v>2022</v>
      </c>
      <c r="AV126">
        <v>370</v>
      </c>
      <c r="AW126" t="s">
        <v>74</v>
      </c>
      <c r="AX126" t="s">
        <v>74</v>
      </c>
      <c r="AY126" t="s">
        <v>74</v>
      </c>
      <c r="AZ126" t="s">
        <v>74</v>
      </c>
      <c r="BA126" t="s">
        <v>74</v>
      </c>
      <c r="BB126" t="s">
        <v>74</v>
      </c>
      <c r="BC126" t="s">
        <v>74</v>
      </c>
      <c r="BD126">
        <v>106530</v>
      </c>
      <c r="BE126" t="s">
        <v>2832</v>
      </c>
      <c r="BF126" t="str">
        <f>HYPERLINK("http://dx.doi.org/10.1016/j.precamres.2021.106530","http://dx.doi.org/10.1016/j.precamres.2021.106530")</f>
        <v>http://dx.doi.org/10.1016/j.precamres.2021.106530</v>
      </c>
      <c r="BG126" t="s">
        <v>74</v>
      </c>
      <c r="BH126" t="s">
        <v>101</v>
      </c>
      <c r="BI126">
        <v>21</v>
      </c>
      <c r="BJ126" t="s">
        <v>151</v>
      </c>
      <c r="BK126" t="s">
        <v>103</v>
      </c>
      <c r="BL126" t="s">
        <v>152</v>
      </c>
      <c r="BM126" t="s">
        <v>2833</v>
      </c>
      <c r="BN126" t="s">
        <v>74</v>
      </c>
      <c r="BO126" t="s">
        <v>749</v>
      </c>
      <c r="BP126" t="s">
        <v>74</v>
      </c>
      <c r="BQ126" t="s">
        <v>74</v>
      </c>
      <c r="BR126" t="s">
        <v>106</v>
      </c>
      <c r="BS126" t="s">
        <v>2834</v>
      </c>
      <c r="BT126" t="str">
        <f>HYPERLINK("https%3A%2F%2Fwww.webofscience.com%2Fwos%2Fwoscc%2Ffull-record%2FWOS:000788097700002","View Full Record in Web of Science")</f>
        <v>View Full Record in Web of Science</v>
      </c>
    </row>
    <row r="127" spans="1:72" x14ac:dyDescent="0.15">
      <c r="A127" t="s">
        <v>72</v>
      </c>
      <c r="B127" t="s">
        <v>2835</v>
      </c>
      <c r="C127" t="s">
        <v>74</v>
      </c>
      <c r="D127" t="s">
        <v>74</v>
      </c>
      <c r="E127" t="s">
        <v>74</v>
      </c>
      <c r="F127" t="s">
        <v>2836</v>
      </c>
      <c r="G127" t="s">
        <v>74</v>
      </c>
      <c r="H127" t="s">
        <v>74</v>
      </c>
      <c r="I127" t="s">
        <v>2837</v>
      </c>
      <c r="J127" t="s">
        <v>77</v>
      </c>
      <c r="K127" t="s">
        <v>74</v>
      </c>
      <c r="L127" t="s">
        <v>74</v>
      </c>
      <c r="M127" t="s">
        <v>78</v>
      </c>
      <c r="N127" t="s">
        <v>79</v>
      </c>
      <c r="O127" t="s">
        <v>74</v>
      </c>
      <c r="P127" t="s">
        <v>74</v>
      </c>
      <c r="Q127" t="s">
        <v>74</v>
      </c>
      <c r="R127" t="s">
        <v>74</v>
      </c>
      <c r="S127" t="s">
        <v>74</v>
      </c>
      <c r="T127" t="s">
        <v>2838</v>
      </c>
      <c r="U127" t="s">
        <v>2839</v>
      </c>
      <c r="V127" t="s">
        <v>2840</v>
      </c>
      <c r="W127" t="s">
        <v>2841</v>
      </c>
      <c r="X127" t="s">
        <v>2842</v>
      </c>
      <c r="Y127" t="s">
        <v>2843</v>
      </c>
      <c r="Z127" t="s">
        <v>2844</v>
      </c>
      <c r="AA127" t="s">
        <v>74</v>
      </c>
      <c r="AB127" t="s">
        <v>2845</v>
      </c>
      <c r="AC127" t="s">
        <v>2846</v>
      </c>
      <c r="AD127" t="s">
        <v>2847</v>
      </c>
      <c r="AE127" t="s">
        <v>2848</v>
      </c>
      <c r="AF127" t="s">
        <v>74</v>
      </c>
      <c r="AG127">
        <v>92</v>
      </c>
      <c r="AH127">
        <v>5</v>
      </c>
      <c r="AI127">
        <v>6</v>
      </c>
      <c r="AJ127">
        <v>1</v>
      </c>
      <c r="AK127">
        <v>19</v>
      </c>
      <c r="AL127" t="s">
        <v>92</v>
      </c>
      <c r="AM127" t="s">
        <v>93</v>
      </c>
      <c r="AN127" t="s">
        <v>94</v>
      </c>
      <c r="AO127" t="s">
        <v>95</v>
      </c>
      <c r="AP127" t="s">
        <v>96</v>
      </c>
      <c r="AQ127" t="s">
        <v>74</v>
      </c>
      <c r="AR127" t="s">
        <v>97</v>
      </c>
      <c r="AS127" t="s">
        <v>98</v>
      </c>
      <c r="AT127" t="s">
        <v>840</v>
      </c>
      <c r="AU127">
        <v>2022</v>
      </c>
      <c r="AV127">
        <v>175</v>
      </c>
      <c r="AW127" t="s">
        <v>74</v>
      </c>
      <c r="AX127" t="s">
        <v>74</v>
      </c>
      <c r="AY127" t="s">
        <v>74</v>
      </c>
      <c r="AZ127" t="s">
        <v>74</v>
      </c>
      <c r="BA127" t="s">
        <v>74</v>
      </c>
      <c r="BB127" t="s">
        <v>74</v>
      </c>
      <c r="BC127" t="s">
        <v>74</v>
      </c>
      <c r="BD127">
        <v>113365</v>
      </c>
      <c r="BE127" t="s">
        <v>2849</v>
      </c>
      <c r="BF127" t="str">
        <f>HYPERLINK("http://dx.doi.org/10.1016/j.marpolbul.2022.113365","http://dx.doi.org/10.1016/j.marpolbul.2022.113365")</f>
        <v>http://dx.doi.org/10.1016/j.marpolbul.2022.113365</v>
      </c>
      <c r="BG127" t="s">
        <v>74</v>
      </c>
      <c r="BH127" t="s">
        <v>101</v>
      </c>
      <c r="BI127">
        <v>9</v>
      </c>
      <c r="BJ127" t="s">
        <v>102</v>
      </c>
      <c r="BK127" t="s">
        <v>103</v>
      </c>
      <c r="BL127" t="s">
        <v>104</v>
      </c>
      <c r="BM127" t="s">
        <v>2850</v>
      </c>
      <c r="BN127">
        <v>35114547</v>
      </c>
      <c r="BO127" t="s">
        <v>74</v>
      </c>
      <c r="BP127" t="s">
        <v>74</v>
      </c>
      <c r="BQ127" t="s">
        <v>74</v>
      </c>
      <c r="BR127" t="s">
        <v>106</v>
      </c>
      <c r="BS127" t="s">
        <v>2851</v>
      </c>
      <c r="BT127" t="str">
        <f>HYPERLINK("https%3A%2F%2Fwww.webofscience.com%2Fwos%2Fwoscc%2Ffull-record%2FWOS:000777767700002","View Full Record in Web of Science")</f>
        <v>View Full Record in Web of Science</v>
      </c>
    </row>
    <row r="128" spans="1:72" x14ac:dyDescent="0.15">
      <c r="A128" t="s">
        <v>72</v>
      </c>
      <c r="B128" t="s">
        <v>2852</v>
      </c>
      <c r="C128" t="s">
        <v>74</v>
      </c>
      <c r="D128" t="s">
        <v>74</v>
      </c>
      <c r="E128" t="s">
        <v>74</v>
      </c>
      <c r="F128" t="s">
        <v>2853</v>
      </c>
      <c r="G128" t="s">
        <v>74</v>
      </c>
      <c r="H128" t="s">
        <v>74</v>
      </c>
      <c r="I128" t="s">
        <v>2854</v>
      </c>
      <c r="J128" t="s">
        <v>2855</v>
      </c>
      <c r="K128" t="s">
        <v>74</v>
      </c>
      <c r="L128" t="s">
        <v>74</v>
      </c>
      <c r="M128" t="s">
        <v>78</v>
      </c>
      <c r="N128" t="s">
        <v>79</v>
      </c>
      <c r="O128" t="s">
        <v>74</v>
      </c>
      <c r="P128" t="s">
        <v>74</v>
      </c>
      <c r="Q128" t="s">
        <v>74</v>
      </c>
      <c r="R128" t="s">
        <v>74</v>
      </c>
      <c r="S128" t="s">
        <v>74</v>
      </c>
      <c r="T128" t="s">
        <v>2856</v>
      </c>
      <c r="U128" t="s">
        <v>2857</v>
      </c>
      <c r="V128" t="s">
        <v>2858</v>
      </c>
      <c r="W128" t="s">
        <v>2859</v>
      </c>
      <c r="X128" t="s">
        <v>2860</v>
      </c>
      <c r="Y128" t="s">
        <v>2861</v>
      </c>
      <c r="Z128" t="s">
        <v>2862</v>
      </c>
      <c r="AA128" t="s">
        <v>2863</v>
      </c>
      <c r="AB128" t="s">
        <v>2864</v>
      </c>
      <c r="AC128" t="s">
        <v>2865</v>
      </c>
      <c r="AD128" t="s">
        <v>2866</v>
      </c>
      <c r="AE128" t="s">
        <v>2867</v>
      </c>
      <c r="AF128" t="s">
        <v>74</v>
      </c>
      <c r="AG128">
        <v>185</v>
      </c>
      <c r="AH128">
        <v>3</v>
      </c>
      <c r="AI128">
        <v>3</v>
      </c>
      <c r="AJ128">
        <v>1</v>
      </c>
      <c r="AK128">
        <v>5</v>
      </c>
      <c r="AL128" t="s">
        <v>92</v>
      </c>
      <c r="AM128" t="s">
        <v>93</v>
      </c>
      <c r="AN128" t="s">
        <v>94</v>
      </c>
      <c r="AO128" t="s">
        <v>2868</v>
      </c>
      <c r="AP128" t="s">
        <v>2869</v>
      </c>
      <c r="AQ128" t="s">
        <v>74</v>
      </c>
      <c r="AR128" t="s">
        <v>2870</v>
      </c>
      <c r="AS128" t="s">
        <v>2871</v>
      </c>
      <c r="AT128" t="s">
        <v>840</v>
      </c>
      <c r="AU128">
        <v>2022</v>
      </c>
      <c r="AV128">
        <v>180</v>
      </c>
      <c r="AW128" t="s">
        <v>74</v>
      </c>
      <c r="AX128" t="s">
        <v>74</v>
      </c>
      <c r="AY128" t="s">
        <v>74</v>
      </c>
      <c r="AZ128" t="s">
        <v>74</v>
      </c>
      <c r="BA128" t="s">
        <v>74</v>
      </c>
      <c r="BB128" t="s">
        <v>74</v>
      </c>
      <c r="BC128" t="s">
        <v>74</v>
      </c>
      <c r="BD128">
        <v>103681</v>
      </c>
      <c r="BE128" t="s">
        <v>2872</v>
      </c>
      <c r="BF128" t="str">
        <f>HYPERLINK("http://dx.doi.org/10.1016/j.dsr.2021.103681","http://dx.doi.org/10.1016/j.dsr.2021.103681")</f>
        <v>http://dx.doi.org/10.1016/j.dsr.2021.103681</v>
      </c>
      <c r="BG128" t="s">
        <v>74</v>
      </c>
      <c r="BH128" t="s">
        <v>74</v>
      </c>
      <c r="BI128">
        <v>29</v>
      </c>
      <c r="BJ128" t="s">
        <v>1131</v>
      </c>
      <c r="BK128" t="s">
        <v>103</v>
      </c>
      <c r="BL128" t="s">
        <v>1131</v>
      </c>
      <c r="BM128" t="s">
        <v>2873</v>
      </c>
      <c r="BN128" t="s">
        <v>74</v>
      </c>
      <c r="BO128" t="s">
        <v>1336</v>
      </c>
      <c r="BP128" t="s">
        <v>74</v>
      </c>
      <c r="BQ128" t="s">
        <v>74</v>
      </c>
      <c r="BR128" t="s">
        <v>106</v>
      </c>
      <c r="BS128" t="s">
        <v>2874</v>
      </c>
      <c r="BT128" t="str">
        <f>HYPERLINK("https%3A%2F%2Fwww.webofscience.com%2Fwos%2Fwoscc%2Ffull-record%2FWOS:000783135800002","View Full Record in Web of Science")</f>
        <v>View Full Record in Web of Science</v>
      </c>
    </row>
    <row r="129" spans="1:72" x14ac:dyDescent="0.15">
      <c r="A129" t="s">
        <v>72</v>
      </c>
      <c r="B129" t="s">
        <v>2875</v>
      </c>
      <c r="C129" t="s">
        <v>74</v>
      </c>
      <c r="D129" t="s">
        <v>74</v>
      </c>
      <c r="E129" t="s">
        <v>74</v>
      </c>
      <c r="F129" t="s">
        <v>2876</v>
      </c>
      <c r="G129" t="s">
        <v>74</v>
      </c>
      <c r="H129" t="s">
        <v>74</v>
      </c>
      <c r="I129" t="s">
        <v>2877</v>
      </c>
      <c r="J129" t="s">
        <v>2878</v>
      </c>
      <c r="K129" t="s">
        <v>74</v>
      </c>
      <c r="L129" t="s">
        <v>74</v>
      </c>
      <c r="M129" t="s">
        <v>78</v>
      </c>
      <c r="N129" t="s">
        <v>1434</v>
      </c>
      <c r="O129" t="s">
        <v>74</v>
      </c>
      <c r="P129" t="s">
        <v>74</v>
      </c>
      <c r="Q129" t="s">
        <v>74</v>
      </c>
      <c r="R129" t="s">
        <v>74</v>
      </c>
      <c r="S129" t="s">
        <v>74</v>
      </c>
      <c r="T129" t="s">
        <v>2879</v>
      </c>
      <c r="U129" t="s">
        <v>2880</v>
      </c>
      <c r="V129" t="s">
        <v>2881</v>
      </c>
      <c r="W129" t="s">
        <v>2882</v>
      </c>
      <c r="X129" t="s">
        <v>2883</v>
      </c>
      <c r="Y129" t="s">
        <v>2884</v>
      </c>
      <c r="Z129" t="s">
        <v>2885</v>
      </c>
      <c r="AA129" t="s">
        <v>2886</v>
      </c>
      <c r="AB129" t="s">
        <v>2887</v>
      </c>
      <c r="AC129" t="s">
        <v>2888</v>
      </c>
      <c r="AD129" t="s">
        <v>2889</v>
      </c>
      <c r="AE129" t="s">
        <v>2890</v>
      </c>
      <c r="AF129" t="s">
        <v>74</v>
      </c>
      <c r="AG129">
        <v>29</v>
      </c>
      <c r="AH129">
        <v>2</v>
      </c>
      <c r="AI129">
        <v>2</v>
      </c>
      <c r="AJ129">
        <v>0</v>
      </c>
      <c r="AK129">
        <v>21</v>
      </c>
      <c r="AL129" t="s">
        <v>310</v>
      </c>
      <c r="AM129" t="s">
        <v>311</v>
      </c>
      <c r="AN129" t="s">
        <v>312</v>
      </c>
      <c r="AO129" t="s">
        <v>2891</v>
      </c>
      <c r="AP129" t="s">
        <v>2892</v>
      </c>
      <c r="AQ129" t="s">
        <v>74</v>
      </c>
      <c r="AR129" t="s">
        <v>2893</v>
      </c>
      <c r="AS129" t="s">
        <v>2894</v>
      </c>
      <c r="AT129" t="s">
        <v>840</v>
      </c>
      <c r="AU129">
        <v>2022</v>
      </c>
      <c r="AV129">
        <v>61</v>
      </c>
      <c r="AW129" t="s">
        <v>74</v>
      </c>
      <c r="AX129" t="s">
        <v>74</v>
      </c>
      <c r="AY129" t="s">
        <v>74</v>
      </c>
      <c r="AZ129" t="s">
        <v>74</v>
      </c>
      <c r="BA129" t="s">
        <v>74</v>
      </c>
      <c r="BB129" t="s">
        <v>74</v>
      </c>
      <c r="BC129" t="s">
        <v>74</v>
      </c>
      <c r="BD129">
        <v>100917</v>
      </c>
      <c r="BE129" t="s">
        <v>2895</v>
      </c>
      <c r="BF129" t="str">
        <f>HYPERLINK("http://dx.doi.org/10.1016/j.margen.2021.100917","http://dx.doi.org/10.1016/j.margen.2021.100917")</f>
        <v>http://dx.doi.org/10.1016/j.margen.2021.100917</v>
      </c>
      <c r="BG129" t="s">
        <v>74</v>
      </c>
      <c r="BH129" t="s">
        <v>74</v>
      </c>
      <c r="BI129">
        <v>4</v>
      </c>
      <c r="BJ129" t="s">
        <v>2896</v>
      </c>
      <c r="BK129" t="s">
        <v>103</v>
      </c>
      <c r="BL129" t="s">
        <v>2896</v>
      </c>
      <c r="BM129" t="s">
        <v>2897</v>
      </c>
      <c r="BN129">
        <v>35058033</v>
      </c>
      <c r="BO129" t="s">
        <v>74</v>
      </c>
      <c r="BP129" t="s">
        <v>74</v>
      </c>
      <c r="BQ129" t="s">
        <v>74</v>
      </c>
      <c r="BR129" t="s">
        <v>106</v>
      </c>
      <c r="BS129" t="s">
        <v>2898</v>
      </c>
      <c r="BT129" t="str">
        <f>HYPERLINK("https%3A%2F%2Fwww.webofscience.com%2Fwos%2Fwoscc%2Ffull-record%2FWOS:000783182200012","View Full Record in Web of Science")</f>
        <v>View Full Record in Web of Science</v>
      </c>
    </row>
    <row r="130" spans="1:72" x14ac:dyDescent="0.15">
      <c r="A130" t="s">
        <v>72</v>
      </c>
      <c r="B130" t="s">
        <v>2899</v>
      </c>
      <c r="C130" t="s">
        <v>74</v>
      </c>
      <c r="D130" t="s">
        <v>74</v>
      </c>
      <c r="E130" t="s">
        <v>74</v>
      </c>
      <c r="F130" t="s">
        <v>2900</v>
      </c>
      <c r="G130" t="s">
        <v>74</v>
      </c>
      <c r="H130" t="s">
        <v>74</v>
      </c>
      <c r="I130" t="s">
        <v>2901</v>
      </c>
      <c r="J130" t="s">
        <v>2878</v>
      </c>
      <c r="K130" t="s">
        <v>74</v>
      </c>
      <c r="L130" t="s">
        <v>74</v>
      </c>
      <c r="M130" t="s">
        <v>78</v>
      </c>
      <c r="N130" t="s">
        <v>1434</v>
      </c>
      <c r="O130" t="s">
        <v>74</v>
      </c>
      <c r="P130" t="s">
        <v>74</v>
      </c>
      <c r="Q130" t="s">
        <v>74</v>
      </c>
      <c r="R130" t="s">
        <v>74</v>
      </c>
      <c r="S130" t="s">
        <v>74</v>
      </c>
      <c r="T130" t="s">
        <v>2902</v>
      </c>
      <c r="U130" t="s">
        <v>2903</v>
      </c>
      <c r="V130" t="s">
        <v>2904</v>
      </c>
      <c r="W130" t="s">
        <v>2905</v>
      </c>
      <c r="X130" t="s">
        <v>2906</v>
      </c>
      <c r="Y130" t="s">
        <v>2907</v>
      </c>
      <c r="Z130" t="s">
        <v>2908</v>
      </c>
      <c r="AA130" t="s">
        <v>2909</v>
      </c>
      <c r="AB130" t="s">
        <v>74</v>
      </c>
      <c r="AC130" t="s">
        <v>2910</v>
      </c>
      <c r="AD130" t="s">
        <v>2911</v>
      </c>
      <c r="AE130" t="s">
        <v>2912</v>
      </c>
      <c r="AF130" t="s">
        <v>74</v>
      </c>
      <c r="AG130">
        <v>26</v>
      </c>
      <c r="AH130">
        <v>1</v>
      </c>
      <c r="AI130">
        <v>1</v>
      </c>
      <c r="AJ130">
        <v>2</v>
      </c>
      <c r="AK130">
        <v>21</v>
      </c>
      <c r="AL130" t="s">
        <v>310</v>
      </c>
      <c r="AM130" t="s">
        <v>311</v>
      </c>
      <c r="AN130" t="s">
        <v>312</v>
      </c>
      <c r="AO130" t="s">
        <v>2891</v>
      </c>
      <c r="AP130" t="s">
        <v>2892</v>
      </c>
      <c r="AQ130" t="s">
        <v>74</v>
      </c>
      <c r="AR130" t="s">
        <v>2893</v>
      </c>
      <c r="AS130" t="s">
        <v>2894</v>
      </c>
      <c r="AT130" t="s">
        <v>840</v>
      </c>
      <c r="AU130">
        <v>2022</v>
      </c>
      <c r="AV130">
        <v>61</v>
      </c>
      <c r="AW130" t="s">
        <v>74</v>
      </c>
      <c r="AX130" t="s">
        <v>74</v>
      </c>
      <c r="AY130" t="s">
        <v>74</v>
      </c>
      <c r="AZ130" t="s">
        <v>74</v>
      </c>
      <c r="BA130" t="s">
        <v>74</v>
      </c>
      <c r="BB130" t="s">
        <v>74</v>
      </c>
      <c r="BC130" t="s">
        <v>74</v>
      </c>
      <c r="BD130">
        <v>100913</v>
      </c>
      <c r="BE130" t="s">
        <v>2913</v>
      </c>
      <c r="BF130" t="str">
        <f>HYPERLINK("http://dx.doi.org/10.1016/j.margen.2021.100913","http://dx.doi.org/10.1016/j.margen.2021.100913")</f>
        <v>http://dx.doi.org/10.1016/j.margen.2021.100913</v>
      </c>
      <c r="BG130" t="s">
        <v>74</v>
      </c>
      <c r="BH130" t="s">
        <v>74</v>
      </c>
      <c r="BI130">
        <v>4</v>
      </c>
      <c r="BJ130" t="s">
        <v>2896</v>
      </c>
      <c r="BK130" t="s">
        <v>103</v>
      </c>
      <c r="BL130" t="s">
        <v>2896</v>
      </c>
      <c r="BM130" t="s">
        <v>2897</v>
      </c>
      <c r="BN130">
        <v>35058032</v>
      </c>
      <c r="BO130" t="s">
        <v>948</v>
      </c>
      <c r="BP130" t="s">
        <v>74</v>
      </c>
      <c r="BQ130" t="s">
        <v>74</v>
      </c>
      <c r="BR130" t="s">
        <v>106</v>
      </c>
      <c r="BS130" t="s">
        <v>2914</v>
      </c>
      <c r="BT130" t="str">
        <f>HYPERLINK("https%3A%2F%2Fwww.webofscience.com%2Fwos%2Fwoscc%2Ffull-record%2FWOS:000783182200010","View Full Record in Web of Science")</f>
        <v>View Full Record in Web of Science</v>
      </c>
    </row>
    <row r="131" spans="1:72" x14ac:dyDescent="0.15">
      <c r="A131" t="s">
        <v>72</v>
      </c>
      <c r="B131" t="s">
        <v>2915</v>
      </c>
      <c r="C131" t="s">
        <v>74</v>
      </c>
      <c r="D131" t="s">
        <v>74</v>
      </c>
      <c r="E131" t="s">
        <v>74</v>
      </c>
      <c r="F131" t="s">
        <v>2916</v>
      </c>
      <c r="G131" t="s">
        <v>74</v>
      </c>
      <c r="H131" t="s">
        <v>74</v>
      </c>
      <c r="I131" t="s">
        <v>2917</v>
      </c>
      <c r="J131" t="s">
        <v>1112</v>
      </c>
      <c r="K131" t="s">
        <v>74</v>
      </c>
      <c r="L131" t="s">
        <v>74</v>
      </c>
      <c r="M131" t="s">
        <v>78</v>
      </c>
      <c r="N131" t="s">
        <v>1113</v>
      </c>
      <c r="O131" t="s">
        <v>74</v>
      </c>
      <c r="P131" t="s">
        <v>74</v>
      </c>
      <c r="Q131" t="s">
        <v>74</v>
      </c>
      <c r="R131" t="s">
        <v>74</v>
      </c>
      <c r="S131" t="s">
        <v>74</v>
      </c>
      <c r="T131" t="s">
        <v>2918</v>
      </c>
      <c r="U131" t="s">
        <v>2919</v>
      </c>
      <c r="V131" t="s">
        <v>2920</v>
      </c>
      <c r="W131" t="s">
        <v>2921</v>
      </c>
      <c r="X131" t="s">
        <v>2922</v>
      </c>
      <c r="Y131" t="s">
        <v>2923</v>
      </c>
      <c r="Z131" t="s">
        <v>74</v>
      </c>
      <c r="AA131" t="s">
        <v>2924</v>
      </c>
      <c r="AB131" t="s">
        <v>2925</v>
      </c>
      <c r="AC131" t="s">
        <v>2926</v>
      </c>
      <c r="AD131" t="s">
        <v>2927</v>
      </c>
      <c r="AE131" t="s">
        <v>2928</v>
      </c>
      <c r="AF131" t="s">
        <v>74</v>
      </c>
      <c r="AG131">
        <v>81</v>
      </c>
      <c r="AH131">
        <v>7</v>
      </c>
      <c r="AI131">
        <v>7</v>
      </c>
      <c r="AJ131">
        <v>7</v>
      </c>
      <c r="AK131">
        <v>29</v>
      </c>
      <c r="AL131" t="s">
        <v>92</v>
      </c>
      <c r="AM131" t="s">
        <v>93</v>
      </c>
      <c r="AN131" t="s">
        <v>94</v>
      </c>
      <c r="AO131" t="s">
        <v>1126</v>
      </c>
      <c r="AP131" t="s">
        <v>1127</v>
      </c>
      <c r="AQ131" t="s">
        <v>74</v>
      </c>
      <c r="AR131" t="s">
        <v>1128</v>
      </c>
      <c r="AS131" t="s">
        <v>1129</v>
      </c>
      <c r="AT131" t="s">
        <v>840</v>
      </c>
      <c r="AU131">
        <v>2022</v>
      </c>
      <c r="AV131">
        <v>201</v>
      </c>
      <c r="AW131" t="s">
        <v>74</v>
      </c>
      <c r="AX131" t="s">
        <v>74</v>
      </c>
      <c r="AY131" t="s">
        <v>74</v>
      </c>
      <c r="AZ131" t="s">
        <v>74</v>
      </c>
      <c r="BA131" t="s">
        <v>74</v>
      </c>
      <c r="BB131" t="s">
        <v>74</v>
      </c>
      <c r="BC131" t="s">
        <v>74</v>
      </c>
      <c r="BD131">
        <v>102727</v>
      </c>
      <c r="BE131" t="s">
        <v>2929</v>
      </c>
      <c r="BF131" t="str">
        <f>HYPERLINK("http://dx.doi.org/10.1016/j.pocean.2021.102727","http://dx.doi.org/10.1016/j.pocean.2021.102727")</f>
        <v>http://dx.doi.org/10.1016/j.pocean.2021.102727</v>
      </c>
      <c r="BG131" t="s">
        <v>74</v>
      </c>
      <c r="BH131" t="s">
        <v>74</v>
      </c>
      <c r="BI131">
        <v>16</v>
      </c>
      <c r="BJ131" t="s">
        <v>1131</v>
      </c>
      <c r="BK131" t="s">
        <v>103</v>
      </c>
      <c r="BL131" t="s">
        <v>1131</v>
      </c>
      <c r="BM131" t="s">
        <v>2930</v>
      </c>
      <c r="BN131" t="s">
        <v>74</v>
      </c>
      <c r="BO131" t="s">
        <v>2069</v>
      </c>
      <c r="BP131" t="s">
        <v>74</v>
      </c>
      <c r="BQ131" t="s">
        <v>74</v>
      </c>
      <c r="BR131" t="s">
        <v>106</v>
      </c>
      <c r="BS131" t="s">
        <v>2931</v>
      </c>
      <c r="BT131" t="str">
        <f>HYPERLINK("https%3A%2F%2Fwww.webofscience.com%2Fwos%2Fwoscc%2Ffull-record%2FWOS:000784290800002","View Full Record in Web of Science")</f>
        <v>View Full Record in Web of Science</v>
      </c>
    </row>
    <row r="132" spans="1:72" x14ac:dyDescent="0.15">
      <c r="A132" t="s">
        <v>72</v>
      </c>
      <c r="B132" t="s">
        <v>2932</v>
      </c>
      <c r="C132" t="s">
        <v>74</v>
      </c>
      <c r="D132" t="s">
        <v>74</v>
      </c>
      <c r="E132" t="s">
        <v>74</v>
      </c>
      <c r="F132" t="s">
        <v>2933</v>
      </c>
      <c r="G132" t="s">
        <v>74</v>
      </c>
      <c r="H132" t="s">
        <v>74</v>
      </c>
      <c r="I132" t="s">
        <v>2934</v>
      </c>
      <c r="J132" t="s">
        <v>2935</v>
      </c>
      <c r="K132" t="s">
        <v>74</v>
      </c>
      <c r="L132" t="s">
        <v>74</v>
      </c>
      <c r="M132" t="s">
        <v>78</v>
      </c>
      <c r="N132" t="s">
        <v>79</v>
      </c>
      <c r="O132" t="s">
        <v>74</v>
      </c>
      <c r="P132" t="s">
        <v>74</v>
      </c>
      <c r="Q132" t="s">
        <v>74</v>
      </c>
      <c r="R132" t="s">
        <v>74</v>
      </c>
      <c r="S132" t="s">
        <v>74</v>
      </c>
      <c r="T132" t="s">
        <v>2936</v>
      </c>
      <c r="U132" t="s">
        <v>2937</v>
      </c>
      <c r="V132" t="s">
        <v>2938</v>
      </c>
      <c r="W132" t="s">
        <v>2939</v>
      </c>
      <c r="X132" t="s">
        <v>2940</v>
      </c>
      <c r="Y132" t="s">
        <v>2941</v>
      </c>
      <c r="Z132" t="s">
        <v>2942</v>
      </c>
      <c r="AA132" t="s">
        <v>2943</v>
      </c>
      <c r="AB132" t="s">
        <v>2944</v>
      </c>
      <c r="AC132" t="s">
        <v>2945</v>
      </c>
      <c r="AD132" t="s">
        <v>2946</v>
      </c>
      <c r="AE132" t="s">
        <v>2947</v>
      </c>
      <c r="AF132" t="s">
        <v>74</v>
      </c>
      <c r="AG132">
        <v>68</v>
      </c>
      <c r="AH132">
        <v>2</v>
      </c>
      <c r="AI132">
        <v>2</v>
      </c>
      <c r="AJ132">
        <v>1</v>
      </c>
      <c r="AK132">
        <v>4</v>
      </c>
      <c r="AL132" t="s">
        <v>2948</v>
      </c>
      <c r="AM132" t="s">
        <v>2949</v>
      </c>
      <c r="AN132" t="s">
        <v>2950</v>
      </c>
      <c r="AO132" t="s">
        <v>2951</v>
      </c>
      <c r="AP132" t="s">
        <v>2952</v>
      </c>
      <c r="AQ132" t="s">
        <v>74</v>
      </c>
      <c r="AR132" t="s">
        <v>2953</v>
      </c>
      <c r="AS132" t="s">
        <v>2954</v>
      </c>
      <c r="AT132" t="s">
        <v>840</v>
      </c>
      <c r="AU132">
        <v>2022</v>
      </c>
      <c r="AV132">
        <v>70</v>
      </c>
      <c r="AW132" t="s">
        <v>74</v>
      </c>
      <c r="AX132" t="s">
        <v>74</v>
      </c>
      <c r="AY132" t="s">
        <v>74</v>
      </c>
      <c r="AZ132" t="s">
        <v>74</v>
      </c>
      <c r="BA132" t="s">
        <v>74</v>
      </c>
      <c r="BB132">
        <v>1</v>
      </c>
      <c r="BC132">
        <v>16</v>
      </c>
      <c r="BD132" t="s">
        <v>74</v>
      </c>
      <c r="BE132" t="s">
        <v>2955</v>
      </c>
      <c r="BF132" t="str">
        <f>HYPERLINK("http://dx.doi.org/10.1016/j.geobios.2021.09.001","http://dx.doi.org/10.1016/j.geobios.2021.09.001")</f>
        <v>http://dx.doi.org/10.1016/j.geobios.2021.09.001</v>
      </c>
      <c r="BG132" t="s">
        <v>74</v>
      </c>
      <c r="BH132" t="s">
        <v>74</v>
      </c>
      <c r="BI132">
        <v>16</v>
      </c>
      <c r="BJ132" t="s">
        <v>2956</v>
      </c>
      <c r="BK132" t="s">
        <v>103</v>
      </c>
      <c r="BL132" t="s">
        <v>2956</v>
      </c>
      <c r="BM132" t="s">
        <v>2957</v>
      </c>
      <c r="BN132" t="s">
        <v>74</v>
      </c>
      <c r="BO132" t="s">
        <v>948</v>
      </c>
      <c r="BP132" t="s">
        <v>74</v>
      </c>
      <c r="BQ132" t="s">
        <v>74</v>
      </c>
      <c r="BR132" t="s">
        <v>106</v>
      </c>
      <c r="BS132" t="s">
        <v>2958</v>
      </c>
      <c r="BT132" t="str">
        <f>HYPERLINK("https%3A%2F%2Fwww.webofscience.com%2Fwos%2Fwoscc%2Ffull-record%2FWOS:000782307200001","View Full Record in Web of Science")</f>
        <v>View Full Record in Web of Science</v>
      </c>
    </row>
    <row r="133" spans="1:72" x14ac:dyDescent="0.15">
      <c r="A133" t="s">
        <v>72</v>
      </c>
      <c r="B133" t="s">
        <v>2959</v>
      </c>
      <c r="C133" t="s">
        <v>74</v>
      </c>
      <c r="D133" t="s">
        <v>74</v>
      </c>
      <c r="E133" t="s">
        <v>74</v>
      </c>
      <c r="F133" t="s">
        <v>2960</v>
      </c>
      <c r="G133" t="s">
        <v>74</v>
      </c>
      <c r="H133" t="s">
        <v>74</v>
      </c>
      <c r="I133" t="s">
        <v>2961</v>
      </c>
      <c r="J133" t="s">
        <v>2962</v>
      </c>
      <c r="K133" t="s">
        <v>74</v>
      </c>
      <c r="L133" t="s">
        <v>74</v>
      </c>
      <c r="M133" t="s">
        <v>78</v>
      </c>
      <c r="N133" t="s">
        <v>1434</v>
      </c>
      <c r="O133" t="s">
        <v>74</v>
      </c>
      <c r="P133" t="s">
        <v>74</v>
      </c>
      <c r="Q133" t="s">
        <v>74</v>
      </c>
      <c r="R133" t="s">
        <v>74</v>
      </c>
      <c r="S133" t="s">
        <v>74</v>
      </c>
      <c r="T133" t="s">
        <v>2963</v>
      </c>
      <c r="U133" t="s">
        <v>74</v>
      </c>
      <c r="V133" t="s">
        <v>2964</v>
      </c>
      <c r="W133" t="s">
        <v>2965</v>
      </c>
      <c r="X133" t="s">
        <v>2966</v>
      </c>
      <c r="Y133" t="s">
        <v>2967</v>
      </c>
      <c r="Z133" t="s">
        <v>2968</v>
      </c>
      <c r="AA133" t="s">
        <v>2969</v>
      </c>
      <c r="AB133" t="s">
        <v>2970</v>
      </c>
      <c r="AC133" t="s">
        <v>2971</v>
      </c>
      <c r="AD133" t="s">
        <v>2972</v>
      </c>
      <c r="AE133" t="s">
        <v>2973</v>
      </c>
      <c r="AF133" t="s">
        <v>74</v>
      </c>
      <c r="AG133">
        <v>7</v>
      </c>
      <c r="AH133">
        <v>6</v>
      </c>
      <c r="AI133">
        <v>6</v>
      </c>
      <c r="AJ133">
        <v>9</v>
      </c>
      <c r="AK133">
        <v>33</v>
      </c>
      <c r="AL133" t="s">
        <v>310</v>
      </c>
      <c r="AM133" t="s">
        <v>311</v>
      </c>
      <c r="AN133" t="s">
        <v>312</v>
      </c>
      <c r="AO133" t="s">
        <v>2974</v>
      </c>
      <c r="AP133" t="s">
        <v>74</v>
      </c>
      <c r="AQ133" t="s">
        <v>74</v>
      </c>
      <c r="AR133" t="s">
        <v>2975</v>
      </c>
      <c r="AS133" t="s">
        <v>2976</v>
      </c>
      <c r="AT133" t="s">
        <v>840</v>
      </c>
      <c r="AU133">
        <v>2022</v>
      </c>
      <c r="AV133">
        <v>40</v>
      </c>
      <c r="AW133" t="s">
        <v>74</v>
      </c>
      <c r="AX133" t="s">
        <v>74</v>
      </c>
      <c r="AY133" t="s">
        <v>74</v>
      </c>
      <c r="AZ133" t="s">
        <v>74</v>
      </c>
      <c r="BA133" t="s">
        <v>74</v>
      </c>
      <c r="BB133" t="s">
        <v>74</v>
      </c>
      <c r="BC133" t="s">
        <v>74</v>
      </c>
      <c r="BD133">
        <v>107694</v>
      </c>
      <c r="BE133" t="s">
        <v>2977</v>
      </c>
      <c r="BF133" t="str">
        <f>HYPERLINK("http://dx.doi.org/10.1016/j.dib.2021.107694","http://dx.doi.org/10.1016/j.dib.2021.107694")</f>
        <v>http://dx.doi.org/10.1016/j.dib.2021.107694</v>
      </c>
      <c r="BG133" t="s">
        <v>74</v>
      </c>
      <c r="BH133" t="s">
        <v>74</v>
      </c>
      <c r="BI133">
        <v>9</v>
      </c>
      <c r="BJ133" t="s">
        <v>289</v>
      </c>
      <c r="BK133" t="s">
        <v>724</v>
      </c>
      <c r="BL133" t="s">
        <v>290</v>
      </c>
      <c r="BM133" t="s">
        <v>2978</v>
      </c>
      <c r="BN133">
        <v>34988272</v>
      </c>
      <c r="BO133" t="s">
        <v>2639</v>
      </c>
      <c r="BP133" t="s">
        <v>74</v>
      </c>
      <c r="BQ133" t="s">
        <v>74</v>
      </c>
      <c r="BR133" t="s">
        <v>106</v>
      </c>
      <c r="BS133" t="s">
        <v>2979</v>
      </c>
      <c r="BT133" t="str">
        <f>HYPERLINK("https%3A%2F%2Fwww.webofscience.com%2Fwos%2Fwoscc%2Ffull-record%2FWOS:000780116200017","View Full Record in Web of Science")</f>
        <v>View Full Record in Web of Science</v>
      </c>
    </row>
    <row r="134" spans="1:72" x14ac:dyDescent="0.15">
      <c r="A134" t="s">
        <v>72</v>
      </c>
      <c r="B134" t="s">
        <v>2980</v>
      </c>
      <c r="C134" t="s">
        <v>74</v>
      </c>
      <c r="D134" t="s">
        <v>74</v>
      </c>
      <c r="E134" t="s">
        <v>74</v>
      </c>
      <c r="F134" t="s">
        <v>2981</v>
      </c>
      <c r="G134" t="s">
        <v>74</v>
      </c>
      <c r="H134" t="s">
        <v>74</v>
      </c>
      <c r="I134" t="s">
        <v>2982</v>
      </c>
      <c r="J134" t="s">
        <v>297</v>
      </c>
      <c r="K134" t="s">
        <v>74</v>
      </c>
      <c r="L134" t="s">
        <v>74</v>
      </c>
      <c r="M134" t="s">
        <v>78</v>
      </c>
      <c r="N134" t="s">
        <v>79</v>
      </c>
      <c r="O134" t="s">
        <v>74</v>
      </c>
      <c r="P134" t="s">
        <v>74</v>
      </c>
      <c r="Q134" t="s">
        <v>74</v>
      </c>
      <c r="R134" t="s">
        <v>74</v>
      </c>
      <c r="S134" t="s">
        <v>74</v>
      </c>
      <c r="T134" t="s">
        <v>2983</v>
      </c>
      <c r="U134" t="s">
        <v>2984</v>
      </c>
      <c r="V134" t="s">
        <v>2985</v>
      </c>
      <c r="W134" t="s">
        <v>2986</v>
      </c>
      <c r="X134" t="s">
        <v>2987</v>
      </c>
      <c r="Y134" t="s">
        <v>2988</v>
      </c>
      <c r="Z134" t="s">
        <v>2989</v>
      </c>
      <c r="AA134" t="s">
        <v>74</v>
      </c>
      <c r="AB134" t="s">
        <v>2990</v>
      </c>
      <c r="AC134" t="s">
        <v>2991</v>
      </c>
      <c r="AD134" t="s">
        <v>2992</v>
      </c>
      <c r="AE134" t="s">
        <v>2993</v>
      </c>
      <c r="AF134" t="s">
        <v>74</v>
      </c>
      <c r="AG134">
        <v>78</v>
      </c>
      <c r="AH134">
        <v>0</v>
      </c>
      <c r="AI134">
        <v>0</v>
      </c>
      <c r="AJ134">
        <v>0</v>
      </c>
      <c r="AK134">
        <v>2</v>
      </c>
      <c r="AL134" t="s">
        <v>310</v>
      </c>
      <c r="AM134" t="s">
        <v>311</v>
      </c>
      <c r="AN134" t="s">
        <v>312</v>
      </c>
      <c r="AO134" t="s">
        <v>313</v>
      </c>
      <c r="AP134" t="s">
        <v>314</v>
      </c>
      <c r="AQ134" t="s">
        <v>74</v>
      </c>
      <c r="AR134" t="s">
        <v>315</v>
      </c>
      <c r="AS134" t="s">
        <v>316</v>
      </c>
      <c r="AT134" t="s">
        <v>99</v>
      </c>
      <c r="AU134">
        <v>2022</v>
      </c>
      <c r="AV134">
        <v>445</v>
      </c>
      <c r="AW134" t="s">
        <v>74</v>
      </c>
      <c r="AX134" t="s">
        <v>74</v>
      </c>
      <c r="AY134" t="s">
        <v>74</v>
      </c>
      <c r="AZ134" t="s">
        <v>74</v>
      </c>
      <c r="BA134" t="s">
        <v>74</v>
      </c>
      <c r="BB134" t="s">
        <v>74</v>
      </c>
      <c r="BC134" t="s">
        <v>74</v>
      </c>
      <c r="BD134">
        <v>106735</v>
      </c>
      <c r="BE134" t="s">
        <v>2994</v>
      </c>
      <c r="BF134" t="str">
        <f>HYPERLINK("http://dx.doi.org/10.1016/j.margeo.2022.106735","http://dx.doi.org/10.1016/j.margeo.2022.106735")</f>
        <v>http://dx.doi.org/10.1016/j.margeo.2022.106735</v>
      </c>
      <c r="BG134" t="s">
        <v>74</v>
      </c>
      <c r="BH134" t="s">
        <v>101</v>
      </c>
      <c r="BI134">
        <v>17</v>
      </c>
      <c r="BJ134" t="s">
        <v>318</v>
      </c>
      <c r="BK134" t="s">
        <v>103</v>
      </c>
      <c r="BL134" t="s">
        <v>319</v>
      </c>
      <c r="BM134" t="s">
        <v>2995</v>
      </c>
      <c r="BN134" t="s">
        <v>74</v>
      </c>
      <c r="BO134" t="s">
        <v>2996</v>
      </c>
      <c r="BP134" t="s">
        <v>74</v>
      </c>
      <c r="BQ134" t="s">
        <v>74</v>
      </c>
      <c r="BR134" t="s">
        <v>106</v>
      </c>
      <c r="BS134" t="s">
        <v>2997</v>
      </c>
      <c r="BT134" t="str">
        <f>HYPERLINK("https%3A%2F%2Fwww.webofscience.com%2Fwos%2Fwoscc%2Ffull-record%2FWOS:000776074200002","View Full Record in Web of Science")</f>
        <v>View Full Record in Web of Science</v>
      </c>
    </row>
    <row r="135" spans="1:72" x14ac:dyDescent="0.15">
      <c r="A135" t="s">
        <v>72</v>
      </c>
      <c r="B135" t="s">
        <v>2998</v>
      </c>
      <c r="C135" t="s">
        <v>74</v>
      </c>
      <c r="D135" t="s">
        <v>74</v>
      </c>
      <c r="E135" t="s">
        <v>74</v>
      </c>
      <c r="F135" t="s">
        <v>2999</v>
      </c>
      <c r="G135" t="s">
        <v>74</v>
      </c>
      <c r="H135" t="s">
        <v>74</v>
      </c>
      <c r="I135" t="s">
        <v>3000</v>
      </c>
      <c r="J135" t="s">
        <v>3001</v>
      </c>
      <c r="K135" t="s">
        <v>74</v>
      </c>
      <c r="L135" t="s">
        <v>74</v>
      </c>
      <c r="M135" t="s">
        <v>78</v>
      </c>
      <c r="N135" t="s">
        <v>79</v>
      </c>
      <c r="O135" t="s">
        <v>74</v>
      </c>
      <c r="P135" t="s">
        <v>74</v>
      </c>
      <c r="Q135" t="s">
        <v>74</v>
      </c>
      <c r="R135" t="s">
        <v>74</v>
      </c>
      <c r="S135" t="s">
        <v>74</v>
      </c>
      <c r="T135" t="s">
        <v>3002</v>
      </c>
      <c r="U135" t="s">
        <v>3003</v>
      </c>
      <c r="V135" t="s">
        <v>3004</v>
      </c>
      <c r="W135" t="s">
        <v>3005</v>
      </c>
      <c r="X135" t="s">
        <v>3006</v>
      </c>
      <c r="Y135" t="s">
        <v>3007</v>
      </c>
      <c r="Z135" t="s">
        <v>3008</v>
      </c>
      <c r="AA135" t="s">
        <v>3009</v>
      </c>
      <c r="AB135" t="s">
        <v>3010</v>
      </c>
      <c r="AC135" t="s">
        <v>3011</v>
      </c>
      <c r="AD135" t="s">
        <v>3011</v>
      </c>
      <c r="AE135" t="s">
        <v>3012</v>
      </c>
      <c r="AF135" t="s">
        <v>74</v>
      </c>
      <c r="AG135">
        <v>83</v>
      </c>
      <c r="AH135">
        <v>19</v>
      </c>
      <c r="AI135">
        <v>21</v>
      </c>
      <c r="AJ135">
        <v>9</v>
      </c>
      <c r="AK135">
        <v>51</v>
      </c>
      <c r="AL135" t="s">
        <v>310</v>
      </c>
      <c r="AM135" t="s">
        <v>311</v>
      </c>
      <c r="AN135" t="s">
        <v>312</v>
      </c>
      <c r="AO135" t="s">
        <v>3013</v>
      </c>
      <c r="AP135" t="s">
        <v>3014</v>
      </c>
      <c r="AQ135" t="s">
        <v>74</v>
      </c>
      <c r="AR135" t="s">
        <v>3015</v>
      </c>
      <c r="AS135" t="s">
        <v>3016</v>
      </c>
      <c r="AT135" t="s">
        <v>99</v>
      </c>
      <c r="AU135">
        <v>2022</v>
      </c>
      <c r="AV135">
        <v>37</v>
      </c>
      <c r="AW135" t="s">
        <v>74</v>
      </c>
      <c r="AX135" t="s">
        <v>74</v>
      </c>
      <c r="AY135" t="s">
        <v>74</v>
      </c>
      <c r="AZ135" t="s">
        <v>74</v>
      </c>
      <c r="BA135" t="s">
        <v>74</v>
      </c>
      <c r="BB135" t="s">
        <v>74</v>
      </c>
      <c r="BC135" t="s">
        <v>74</v>
      </c>
      <c r="BD135">
        <v>100454</v>
      </c>
      <c r="BE135" t="s">
        <v>3017</v>
      </c>
      <c r="BF135" t="str">
        <f>HYPERLINK("http://dx.doi.org/10.1016/j.jort.2021.100454","http://dx.doi.org/10.1016/j.jort.2021.100454")</f>
        <v>http://dx.doi.org/10.1016/j.jort.2021.100454</v>
      </c>
      <c r="BG135" t="s">
        <v>74</v>
      </c>
      <c r="BH135" t="s">
        <v>101</v>
      </c>
      <c r="BI135">
        <v>13</v>
      </c>
      <c r="BJ135" t="s">
        <v>3018</v>
      </c>
      <c r="BK135" t="s">
        <v>863</v>
      </c>
      <c r="BL135" t="s">
        <v>3019</v>
      </c>
      <c r="BM135" t="s">
        <v>3020</v>
      </c>
      <c r="BN135" t="s">
        <v>74</v>
      </c>
      <c r="BO135" t="s">
        <v>1336</v>
      </c>
      <c r="BP135" t="s">
        <v>74</v>
      </c>
      <c r="BQ135" t="s">
        <v>74</v>
      </c>
      <c r="BR135" t="s">
        <v>106</v>
      </c>
      <c r="BS135" t="s">
        <v>3021</v>
      </c>
      <c r="BT135" t="str">
        <f>HYPERLINK("https%3A%2F%2Fwww.webofscience.com%2Fwos%2Fwoscc%2Ffull-record%2FWOS:000776113500002","View Full Record in Web of Science")</f>
        <v>View Full Record in Web of Science</v>
      </c>
    </row>
    <row r="136" spans="1:72" x14ac:dyDescent="0.15">
      <c r="A136" t="s">
        <v>72</v>
      </c>
      <c r="B136" t="s">
        <v>3022</v>
      </c>
      <c r="C136" t="s">
        <v>74</v>
      </c>
      <c r="D136" t="s">
        <v>74</v>
      </c>
      <c r="E136" t="s">
        <v>74</v>
      </c>
      <c r="F136" t="s">
        <v>3023</v>
      </c>
      <c r="G136" t="s">
        <v>74</v>
      </c>
      <c r="H136" t="s">
        <v>74</v>
      </c>
      <c r="I136" t="s">
        <v>3024</v>
      </c>
      <c r="J136" t="s">
        <v>3025</v>
      </c>
      <c r="K136" t="s">
        <v>74</v>
      </c>
      <c r="L136" t="s">
        <v>74</v>
      </c>
      <c r="M136" t="s">
        <v>78</v>
      </c>
      <c r="N136" t="s">
        <v>79</v>
      </c>
      <c r="O136" t="s">
        <v>74</v>
      </c>
      <c r="P136" t="s">
        <v>74</v>
      </c>
      <c r="Q136" t="s">
        <v>74</v>
      </c>
      <c r="R136" t="s">
        <v>74</v>
      </c>
      <c r="S136" t="s">
        <v>74</v>
      </c>
      <c r="T136" t="s">
        <v>3026</v>
      </c>
      <c r="U136" t="s">
        <v>3027</v>
      </c>
      <c r="V136" t="s">
        <v>3028</v>
      </c>
      <c r="W136" t="s">
        <v>3029</v>
      </c>
      <c r="X136" t="s">
        <v>3030</v>
      </c>
      <c r="Y136" t="s">
        <v>3031</v>
      </c>
      <c r="Z136" t="s">
        <v>3032</v>
      </c>
      <c r="AA136" t="s">
        <v>3033</v>
      </c>
      <c r="AB136" t="s">
        <v>3034</v>
      </c>
      <c r="AC136" t="s">
        <v>3035</v>
      </c>
      <c r="AD136" t="s">
        <v>3036</v>
      </c>
      <c r="AE136" t="s">
        <v>3037</v>
      </c>
      <c r="AF136" t="s">
        <v>74</v>
      </c>
      <c r="AG136">
        <v>27</v>
      </c>
      <c r="AH136">
        <v>2</v>
      </c>
      <c r="AI136">
        <v>2</v>
      </c>
      <c r="AJ136">
        <v>3</v>
      </c>
      <c r="AK136">
        <v>22</v>
      </c>
      <c r="AL136" t="s">
        <v>2632</v>
      </c>
      <c r="AM136" t="s">
        <v>2633</v>
      </c>
      <c r="AN136" t="s">
        <v>2634</v>
      </c>
      <c r="AO136" t="s">
        <v>74</v>
      </c>
      <c r="AP136" t="s">
        <v>3038</v>
      </c>
      <c r="AQ136" t="s">
        <v>74</v>
      </c>
      <c r="AR136" t="s">
        <v>3025</v>
      </c>
      <c r="AS136" t="s">
        <v>3039</v>
      </c>
      <c r="AT136" t="s">
        <v>840</v>
      </c>
      <c r="AU136">
        <v>2022</v>
      </c>
      <c r="AV136">
        <v>12</v>
      </c>
      <c r="AW136">
        <v>2</v>
      </c>
      <c r="AX136" t="s">
        <v>74</v>
      </c>
      <c r="AY136" t="s">
        <v>74</v>
      </c>
      <c r="AZ136" t="s">
        <v>74</v>
      </c>
      <c r="BA136" t="s">
        <v>74</v>
      </c>
      <c r="BB136" t="s">
        <v>74</v>
      </c>
      <c r="BC136" t="s">
        <v>74</v>
      </c>
      <c r="BD136">
        <v>141</v>
      </c>
      <c r="BE136" t="s">
        <v>3040</v>
      </c>
      <c r="BF136" t="str">
        <f>HYPERLINK("http://dx.doi.org/10.3390/metabo12020141","http://dx.doi.org/10.3390/metabo12020141")</f>
        <v>http://dx.doi.org/10.3390/metabo12020141</v>
      </c>
      <c r="BG136" t="s">
        <v>74</v>
      </c>
      <c r="BH136" t="s">
        <v>74</v>
      </c>
      <c r="BI136">
        <v>10</v>
      </c>
      <c r="BJ136" t="s">
        <v>3041</v>
      </c>
      <c r="BK136" t="s">
        <v>103</v>
      </c>
      <c r="BL136" t="s">
        <v>3041</v>
      </c>
      <c r="BM136" t="s">
        <v>3042</v>
      </c>
      <c r="BN136">
        <v>35208215</v>
      </c>
      <c r="BO136" t="s">
        <v>211</v>
      </c>
      <c r="BP136" t="s">
        <v>74</v>
      </c>
      <c r="BQ136" t="s">
        <v>74</v>
      </c>
      <c r="BR136" t="s">
        <v>106</v>
      </c>
      <c r="BS136" t="s">
        <v>3043</v>
      </c>
      <c r="BT136" t="str">
        <f>HYPERLINK("https%3A%2F%2Fwww.webofscience.com%2Fwos%2Fwoscc%2Ffull-record%2FWOS:000775924000001","View Full Record in Web of Science")</f>
        <v>View Full Record in Web of Science</v>
      </c>
    </row>
    <row r="137" spans="1:72" x14ac:dyDescent="0.15">
      <c r="A137" t="s">
        <v>72</v>
      </c>
      <c r="B137" t="s">
        <v>3044</v>
      </c>
      <c r="C137" t="s">
        <v>74</v>
      </c>
      <c r="D137" t="s">
        <v>74</v>
      </c>
      <c r="E137" t="s">
        <v>74</v>
      </c>
      <c r="F137" t="s">
        <v>3045</v>
      </c>
      <c r="G137" t="s">
        <v>74</v>
      </c>
      <c r="H137" t="s">
        <v>74</v>
      </c>
      <c r="I137" t="s">
        <v>3046</v>
      </c>
      <c r="J137" t="s">
        <v>3047</v>
      </c>
      <c r="K137" t="s">
        <v>74</v>
      </c>
      <c r="L137" t="s">
        <v>74</v>
      </c>
      <c r="M137" t="s">
        <v>78</v>
      </c>
      <c r="N137" t="s">
        <v>79</v>
      </c>
      <c r="O137" t="s">
        <v>74</v>
      </c>
      <c r="P137" t="s">
        <v>74</v>
      </c>
      <c r="Q137" t="s">
        <v>74</v>
      </c>
      <c r="R137" t="s">
        <v>74</v>
      </c>
      <c r="S137" t="s">
        <v>74</v>
      </c>
      <c r="T137" t="s">
        <v>3048</v>
      </c>
      <c r="U137" t="s">
        <v>3049</v>
      </c>
      <c r="V137" t="s">
        <v>3050</v>
      </c>
      <c r="W137" t="s">
        <v>3051</v>
      </c>
      <c r="X137" t="s">
        <v>3052</v>
      </c>
      <c r="Y137" t="s">
        <v>3053</v>
      </c>
      <c r="Z137" t="s">
        <v>3054</v>
      </c>
      <c r="AA137" t="s">
        <v>3055</v>
      </c>
      <c r="AB137" t="s">
        <v>3056</v>
      </c>
      <c r="AC137" t="s">
        <v>3057</v>
      </c>
      <c r="AD137" t="s">
        <v>3058</v>
      </c>
      <c r="AE137" t="s">
        <v>3059</v>
      </c>
      <c r="AF137" t="s">
        <v>74</v>
      </c>
      <c r="AG137">
        <v>252</v>
      </c>
      <c r="AH137">
        <v>3</v>
      </c>
      <c r="AI137">
        <v>3</v>
      </c>
      <c r="AJ137">
        <v>1</v>
      </c>
      <c r="AK137">
        <v>10</v>
      </c>
      <c r="AL137" t="s">
        <v>605</v>
      </c>
      <c r="AM137" t="s">
        <v>606</v>
      </c>
      <c r="AN137" t="s">
        <v>607</v>
      </c>
      <c r="AO137" t="s">
        <v>3060</v>
      </c>
      <c r="AP137" t="s">
        <v>3061</v>
      </c>
      <c r="AQ137" t="s">
        <v>74</v>
      </c>
      <c r="AR137" t="s">
        <v>3062</v>
      </c>
      <c r="AS137" t="s">
        <v>3063</v>
      </c>
      <c r="AT137" t="s">
        <v>840</v>
      </c>
      <c r="AU137">
        <v>2022</v>
      </c>
      <c r="AV137">
        <v>127</v>
      </c>
      <c r="AW137">
        <v>2</v>
      </c>
      <c r="AX137" t="s">
        <v>74</v>
      </c>
      <c r="AY137" t="s">
        <v>74</v>
      </c>
      <c r="AZ137" t="s">
        <v>74</v>
      </c>
      <c r="BA137" t="s">
        <v>74</v>
      </c>
      <c r="BB137" t="s">
        <v>74</v>
      </c>
      <c r="BC137" t="s">
        <v>74</v>
      </c>
      <c r="BD137" t="s">
        <v>3064</v>
      </c>
      <c r="BE137" t="s">
        <v>3065</v>
      </c>
      <c r="BF137" t="str">
        <f>HYPERLINK("http://dx.doi.org/10.1029/2021JE007052","http://dx.doi.org/10.1029/2021JE007052")</f>
        <v>http://dx.doi.org/10.1029/2021JE007052</v>
      </c>
      <c r="BG137" t="s">
        <v>74</v>
      </c>
      <c r="BH137" t="s">
        <v>74</v>
      </c>
      <c r="BI137">
        <v>31</v>
      </c>
      <c r="BJ137" t="s">
        <v>1014</v>
      </c>
      <c r="BK137" t="s">
        <v>103</v>
      </c>
      <c r="BL137" t="s">
        <v>1014</v>
      </c>
      <c r="BM137" t="s">
        <v>3066</v>
      </c>
      <c r="BN137" t="s">
        <v>74</v>
      </c>
      <c r="BO137" t="s">
        <v>948</v>
      </c>
      <c r="BP137" t="s">
        <v>74</v>
      </c>
      <c r="BQ137" t="s">
        <v>74</v>
      </c>
      <c r="BR137" t="s">
        <v>106</v>
      </c>
      <c r="BS137" t="s">
        <v>3067</v>
      </c>
      <c r="BT137" t="str">
        <f>HYPERLINK("https%3A%2F%2Fwww.webofscience.com%2Fwos%2Fwoscc%2Ffull-record%2FWOS:000765623000013","View Full Record in Web of Science")</f>
        <v>View Full Record in Web of Science</v>
      </c>
    </row>
    <row r="138" spans="1:72" x14ac:dyDescent="0.15">
      <c r="A138" t="s">
        <v>72</v>
      </c>
      <c r="B138" t="s">
        <v>3068</v>
      </c>
      <c r="C138" t="s">
        <v>74</v>
      </c>
      <c r="D138" t="s">
        <v>74</v>
      </c>
      <c r="E138" t="s">
        <v>74</v>
      </c>
      <c r="F138" t="s">
        <v>3069</v>
      </c>
      <c r="G138" t="s">
        <v>74</v>
      </c>
      <c r="H138" t="s">
        <v>74</v>
      </c>
      <c r="I138" t="s">
        <v>3070</v>
      </c>
      <c r="J138" t="s">
        <v>3071</v>
      </c>
      <c r="K138" t="s">
        <v>74</v>
      </c>
      <c r="L138" t="s">
        <v>74</v>
      </c>
      <c r="M138" t="s">
        <v>78</v>
      </c>
      <c r="N138" t="s">
        <v>79</v>
      </c>
      <c r="O138" t="s">
        <v>74</v>
      </c>
      <c r="P138" t="s">
        <v>74</v>
      </c>
      <c r="Q138" t="s">
        <v>74</v>
      </c>
      <c r="R138" t="s">
        <v>74</v>
      </c>
      <c r="S138" t="s">
        <v>74</v>
      </c>
      <c r="T138" t="s">
        <v>3072</v>
      </c>
      <c r="U138" t="s">
        <v>3073</v>
      </c>
      <c r="V138" t="s">
        <v>3074</v>
      </c>
      <c r="W138" t="s">
        <v>3075</v>
      </c>
      <c r="X138" t="s">
        <v>3076</v>
      </c>
      <c r="Y138" t="s">
        <v>3077</v>
      </c>
      <c r="Z138" t="s">
        <v>3078</v>
      </c>
      <c r="AA138" t="s">
        <v>3079</v>
      </c>
      <c r="AB138" t="s">
        <v>3080</v>
      </c>
      <c r="AC138" t="s">
        <v>3081</v>
      </c>
      <c r="AD138" t="s">
        <v>3082</v>
      </c>
      <c r="AE138" t="s">
        <v>3083</v>
      </c>
      <c r="AF138" t="s">
        <v>74</v>
      </c>
      <c r="AG138">
        <v>55</v>
      </c>
      <c r="AH138">
        <v>4</v>
      </c>
      <c r="AI138">
        <v>4</v>
      </c>
      <c r="AJ138">
        <v>0</v>
      </c>
      <c r="AK138">
        <v>7</v>
      </c>
      <c r="AL138" t="s">
        <v>605</v>
      </c>
      <c r="AM138" t="s">
        <v>606</v>
      </c>
      <c r="AN138" t="s">
        <v>607</v>
      </c>
      <c r="AO138" t="s">
        <v>3084</v>
      </c>
      <c r="AP138" t="s">
        <v>3085</v>
      </c>
      <c r="AQ138" t="s">
        <v>74</v>
      </c>
      <c r="AR138" t="s">
        <v>3086</v>
      </c>
      <c r="AS138" t="s">
        <v>3087</v>
      </c>
      <c r="AT138" t="s">
        <v>840</v>
      </c>
      <c r="AU138">
        <v>2022</v>
      </c>
      <c r="AV138">
        <v>127</v>
      </c>
      <c r="AW138">
        <v>2</v>
      </c>
      <c r="AX138" t="s">
        <v>74</v>
      </c>
      <c r="AY138" t="s">
        <v>74</v>
      </c>
      <c r="AZ138" t="s">
        <v>74</v>
      </c>
      <c r="BA138" t="s">
        <v>74</v>
      </c>
      <c r="BB138" t="s">
        <v>74</v>
      </c>
      <c r="BC138" t="s">
        <v>74</v>
      </c>
      <c r="BD138" t="s">
        <v>3088</v>
      </c>
      <c r="BE138" t="s">
        <v>3089</v>
      </c>
      <c r="BF138" t="str">
        <f>HYPERLINK("http://dx.doi.org/10.1029/2021JA029801","http://dx.doi.org/10.1029/2021JA029801")</f>
        <v>http://dx.doi.org/10.1029/2021JA029801</v>
      </c>
      <c r="BG138" t="s">
        <v>74</v>
      </c>
      <c r="BH138" t="s">
        <v>74</v>
      </c>
      <c r="BI138">
        <v>20</v>
      </c>
      <c r="BJ138" t="s">
        <v>262</v>
      </c>
      <c r="BK138" t="s">
        <v>103</v>
      </c>
      <c r="BL138" t="s">
        <v>262</v>
      </c>
      <c r="BM138" t="s">
        <v>3090</v>
      </c>
      <c r="BN138" t="s">
        <v>74</v>
      </c>
      <c r="BO138" t="s">
        <v>1762</v>
      </c>
      <c r="BP138" t="s">
        <v>74</v>
      </c>
      <c r="BQ138" t="s">
        <v>74</v>
      </c>
      <c r="BR138" t="s">
        <v>106</v>
      </c>
      <c r="BS138" t="s">
        <v>3091</v>
      </c>
      <c r="BT138" t="str">
        <f>HYPERLINK("https%3A%2F%2Fwww.webofscience.com%2Fwos%2Fwoscc%2Ffull-record%2FWOS:000765721800002","View Full Record in Web of Science")</f>
        <v>View Full Record in Web of Science</v>
      </c>
    </row>
    <row r="139" spans="1:72" x14ac:dyDescent="0.15">
      <c r="A139" t="s">
        <v>72</v>
      </c>
      <c r="B139" t="s">
        <v>3092</v>
      </c>
      <c r="C139" t="s">
        <v>74</v>
      </c>
      <c r="D139" t="s">
        <v>74</v>
      </c>
      <c r="E139" t="s">
        <v>74</v>
      </c>
      <c r="F139" t="s">
        <v>3093</v>
      </c>
      <c r="G139" t="s">
        <v>74</v>
      </c>
      <c r="H139" t="s">
        <v>74</v>
      </c>
      <c r="I139" t="s">
        <v>3094</v>
      </c>
      <c r="J139" t="s">
        <v>3071</v>
      </c>
      <c r="K139" t="s">
        <v>74</v>
      </c>
      <c r="L139" t="s">
        <v>74</v>
      </c>
      <c r="M139" t="s">
        <v>78</v>
      </c>
      <c r="N139" t="s">
        <v>79</v>
      </c>
      <c r="O139" t="s">
        <v>74</v>
      </c>
      <c r="P139" t="s">
        <v>74</v>
      </c>
      <c r="Q139" t="s">
        <v>74</v>
      </c>
      <c r="R139" t="s">
        <v>74</v>
      </c>
      <c r="S139" t="s">
        <v>74</v>
      </c>
      <c r="T139" t="s">
        <v>3095</v>
      </c>
      <c r="U139" t="s">
        <v>3096</v>
      </c>
      <c r="V139" t="s">
        <v>3097</v>
      </c>
      <c r="W139" t="s">
        <v>3098</v>
      </c>
      <c r="X139" t="s">
        <v>3099</v>
      </c>
      <c r="Y139" t="s">
        <v>3100</v>
      </c>
      <c r="Z139" t="s">
        <v>3101</v>
      </c>
      <c r="AA139" t="s">
        <v>3102</v>
      </c>
      <c r="AB139" t="s">
        <v>3103</v>
      </c>
      <c r="AC139" t="s">
        <v>3104</v>
      </c>
      <c r="AD139" t="s">
        <v>3105</v>
      </c>
      <c r="AE139" t="s">
        <v>3106</v>
      </c>
      <c r="AF139" t="s">
        <v>74</v>
      </c>
      <c r="AG139">
        <v>54</v>
      </c>
      <c r="AH139">
        <v>2</v>
      </c>
      <c r="AI139">
        <v>2</v>
      </c>
      <c r="AJ139">
        <v>2</v>
      </c>
      <c r="AK139">
        <v>12</v>
      </c>
      <c r="AL139" t="s">
        <v>605</v>
      </c>
      <c r="AM139" t="s">
        <v>606</v>
      </c>
      <c r="AN139" t="s">
        <v>607</v>
      </c>
      <c r="AO139" t="s">
        <v>3084</v>
      </c>
      <c r="AP139" t="s">
        <v>3085</v>
      </c>
      <c r="AQ139" t="s">
        <v>74</v>
      </c>
      <c r="AR139" t="s">
        <v>3086</v>
      </c>
      <c r="AS139" t="s">
        <v>3087</v>
      </c>
      <c r="AT139" t="s">
        <v>840</v>
      </c>
      <c r="AU139">
        <v>2022</v>
      </c>
      <c r="AV139">
        <v>127</v>
      </c>
      <c r="AW139">
        <v>2</v>
      </c>
      <c r="AX139" t="s">
        <v>74</v>
      </c>
      <c r="AY139" t="s">
        <v>74</v>
      </c>
      <c r="AZ139" t="s">
        <v>74</v>
      </c>
      <c r="BA139" t="s">
        <v>74</v>
      </c>
      <c r="BB139" t="s">
        <v>74</v>
      </c>
      <c r="BC139" t="s">
        <v>74</v>
      </c>
      <c r="BD139" t="s">
        <v>3107</v>
      </c>
      <c r="BE139" t="s">
        <v>3108</v>
      </c>
      <c r="BF139" t="str">
        <f>HYPERLINK("http://dx.doi.org/10.1029/2021JA030020","http://dx.doi.org/10.1029/2021JA030020")</f>
        <v>http://dx.doi.org/10.1029/2021JA030020</v>
      </c>
      <c r="BG139" t="s">
        <v>74</v>
      </c>
      <c r="BH139" t="s">
        <v>74</v>
      </c>
      <c r="BI139">
        <v>17</v>
      </c>
      <c r="BJ139" t="s">
        <v>262</v>
      </c>
      <c r="BK139" t="s">
        <v>103</v>
      </c>
      <c r="BL139" t="s">
        <v>262</v>
      </c>
      <c r="BM139" t="s">
        <v>3090</v>
      </c>
      <c r="BN139" t="s">
        <v>74</v>
      </c>
      <c r="BO139" t="s">
        <v>74</v>
      </c>
      <c r="BP139" t="s">
        <v>74</v>
      </c>
      <c r="BQ139" t="s">
        <v>74</v>
      </c>
      <c r="BR139" t="s">
        <v>106</v>
      </c>
      <c r="BS139" t="s">
        <v>3109</v>
      </c>
      <c r="BT139" t="str">
        <f>HYPERLINK("https%3A%2F%2Fwww.webofscience.com%2Fwos%2Fwoscc%2Ffull-record%2FWOS:000765721800026","View Full Record in Web of Science")</f>
        <v>View Full Record in Web of Science</v>
      </c>
    </row>
    <row r="140" spans="1:72" x14ac:dyDescent="0.15">
      <c r="A140" t="s">
        <v>72</v>
      </c>
      <c r="B140" t="s">
        <v>3110</v>
      </c>
      <c r="C140" t="s">
        <v>74</v>
      </c>
      <c r="D140" t="s">
        <v>74</v>
      </c>
      <c r="E140" t="s">
        <v>74</v>
      </c>
      <c r="F140" t="s">
        <v>3111</v>
      </c>
      <c r="G140" t="s">
        <v>74</v>
      </c>
      <c r="H140" t="s">
        <v>74</v>
      </c>
      <c r="I140" t="s">
        <v>3112</v>
      </c>
      <c r="J140" t="s">
        <v>3071</v>
      </c>
      <c r="K140" t="s">
        <v>74</v>
      </c>
      <c r="L140" t="s">
        <v>74</v>
      </c>
      <c r="M140" t="s">
        <v>78</v>
      </c>
      <c r="N140" t="s">
        <v>79</v>
      </c>
      <c r="O140" t="s">
        <v>74</v>
      </c>
      <c r="P140" t="s">
        <v>74</v>
      </c>
      <c r="Q140" t="s">
        <v>74</v>
      </c>
      <c r="R140" t="s">
        <v>74</v>
      </c>
      <c r="S140" t="s">
        <v>74</v>
      </c>
      <c r="T140" t="s">
        <v>3113</v>
      </c>
      <c r="U140" t="s">
        <v>3114</v>
      </c>
      <c r="V140" t="s">
        <v>3115</v>
      </c>
      <c r="W140" t="s">
        <v>3116</v>
      </c>
      <c r="X140" t="s">
        <v>3117</v>
      </c>
      <c r="Y140" t="s">
        <v>3118</v>
      </c>
      <c r="Z140" t="s">
        <v>3119</v>
      </c>
      <c r="AA140" t="s">
        <v>3120</v>
      </c>
      <c r="AB140" t="s">
        <v>3121</v>
      </c>
      <c r="AC140" t="s">
        <v>3122</v>
      </c>
      <c r="AD140" t="s">
        <v>3123</v>
      </c>
      <c r="AE140" t="s">
        <v>3124</v>
      </c>
      <c r="AF140" t="s">
        <v>74</v>
      </c>
      <c r="AG140">
        <v>48</v>
      </c>
      <c r="AH140">
        <v>5</v>
      </c>
      <c r="AI140">
        <v>5</v>
      </c>
      <c r="AJ140">
        <v>0</v>
      </c>
      <c r="AK140">
        <v>6</v>
      </c>
      <c r="AL140" t="s">
        <v>605</v>
      </c>
      <c r="AM140" t="s">
        <v>606</v>
      </c>
      <c r="AN140" t="s">
        <v>607</v>
      </c>
      <c r="AO140" t="s">
        <v>3084</v>
      </c>
      <c r="AP140" t="s">
        <v>3085</v>
      </c>
      <c r="AQ140" t="s">
        <v>74</v>
      </c>
      <c r="AR140" t="s">
        <v>3086</v>
      </c>
      <c r="AS140" t="s">
        <v>3087</v>
      </c>
      <c r="AT140" t="s">
        <v>840</v>
      </c>
      <c r="AU140">
        <v>2022</v>
      </c>
      <c r="AV140">
        <v>127</v>
      </c>
      <c r="AW140">
        <v>2</v>
      </c>
      <c r="AX140" t="s">
        <v>74</v>
      </c>
      <c r="AY140" t="s">
        <v>74</v>
      </c>
      <c r="AZ140" t="s">
        <v>74</v>
      </c>
      <c r="BA140" t="s">
        <v>74</v>
      </c>
      <c r="BB140" t="s">
        <v>74</v>
      </c>
      <c r="BC140" t="s">
        <v>74</v>
      </c>
      <c r="BD140" t="s">
        <v>3125</v>
      </c>
      <c r="BE140" t="s">
        <v>3126</v>
      </c>
      <c r="BF140" t="str">
        <f>HYPERLINK("http://dx.doi.org/10.1029/2021JA029589","http://dx.doi.org/10.1029/2021JA029589")</f>
        <v>http://dx.doi.org/10.1029/2021JA029589</v>
      </c>
      <c r="BG140" t="s">
        <v>74</v>
      </c>
      <c r="BH140" t="s">
        <v>74</v>
      </c>
      <c r="BI140">
        <v>12</v>
      </c>
      <c r="BJ140" t="s">
        <v>262</v>
      </c>
      <c r="BK140" t="s">
        <v>103</v>
      </c>
      <c r="BL140" t="s">
        <v>262</v>
      </c>
      <c r="BM140" t="s">
        <v>3090</v>
      </c>
      <c r="BN140" t="s">
        <v>74</v>
      </c>
      <c r="BO140" t="s">
        <v>74</v>
      </c>
      <c r="BP140" t="s">
        <v>74</v>
      </c>
      <c r="BQ140" t="s">
        <v>74</v>
      </c>
      <c r="BR140" t="s">
        <v>106</v>
      </c>
      <c r="BS140" t="s">
        <v>3127</v>
      </c>
      <c r="BT140" t="str">
        <f>HYPERLINK("https%3A%2F%2Fwww.webofscience.com%2Fwos%2Fwoscc%2Ffull-record%2FWOS:000765721800001","View Full Record in Web of Science")</f>
        <v>View Full Record in Web of Science</v>
      </c>
    </row>
    <row r="141" spans="1:72" x14ac:dyDescent="0.15">
      <c r="A141" t="s">
        <v>72</v>
      </c>
      <c r="B141" t="s">
        <v>3128</v>
      </c>
      <c r="C141" t="s">
        <v>74</v>
      </c>
      <c r="D141" t="s">
        <v>74</v>
      </c>
      <c r="E141" t="s">
        <v>74</v>
      </c>
      <c r="F141" t="s">
        <v>3129</v>
      </c>
      <c r="G141" t="s">
        <v>74</v>
      </c>
      <c r="H141" t="s">
        <v>74</v>
      </c>
      <c r="I141" t="s">
        <v>3130</v>
      </c>
      <c r="J141" t="s">
        <v>3131</v>
      </c>
      <c r="K141" t="s">
        <v>74</v>
      </c>
      <c r="L141" t="s">
        <v>74</v>
      </c>
      <c r="M141" t="s">
        <v>78</v>
      </c>
      <c r="N141" t="s">
        <v>79</v>
      </c>
      <c r="O141" t="s">
        <v>74</v>
      </c>
      <c r="P141" t="s">
        <v>74</v>
      </c>
      <c r="Q141" t="s">
        <v>74</v>
      </c>
      <c r="R141" t="s">
        <v>74</v>
      </c>
      <c r="S141" t="s">
        <v>74</v>
      </c>
      <c r="T141" t="s">
        <v>3132</v>
      </c>
      <c r="U141" t="s">
        <v>3133</v>
      </c>
      <c r="V141" t="s">
        <v>3134</v>
      </c>
      <c r="W141" t="s">
        <v>3135</v>
      </c>
      <c r="X141" t="s">
        <v>3136</v>
      </c>
      <c r="Y141" t="s">
        <v>3137</v>
      </c>
      <c r="Z141" t="s">
        <v>3138</v>
      </c>
      <c r="AA141" t="s">
        <v>74</v>
      </c>
      <c r="AB141" t="s">
        <v>74</v>
      </c>
      <c r="AC141" t="s">
        <v>3139</v>
      </c>
      <c r="AD141" t="s">
        <v>3140</v>
      </c>
      <c r="AE141" t="s">
        <v>3141</v>
      </c>
      <c r="AF141" t="s">
        <v>74</v>
      </c>
      <c r="AG141">
        <v>11</v>
      </c>
      <c r="AH141">
        <v>0</v>
      </c>
      <c r="AI141">
        <v>0</v>
      </c>
      <c r="AJ141">
        <v>1</v>
      </c>
      <c r="AK141">
        <v>10</v>
      </c>
      <c r="AL141" t="s">
        <v>2692</v>
      </c>
      <c r="AM141" t="s">
        <v>506</v>
      </c>
      <c r="AN141" t="s">
        <v>2693</v>
      </c>
      <c r="AO141" t="s">
        <v>3142</v>
      </c>
      <c r="AP141" t="s">
        <v>3143</v>
      </c>
      <c r="AQ141" t="s">
        <v>74</v>
      </c>
      <c r="AR141" t="s">
        <v>3144</v>
      </c>
      <c r="AS141" t="s">
        <v>3145</v>
      </c>
      <c r="AT141" t="s">
        <v>840</v>
      </c>
      <c r="AU141">
        <v>2022</v>
      </c>
      <c r="AV141">
        <v>62</v>
      </c>
      <c r="AW141">
        <v>1</v>
      </c>
      <c r="AX141" t="s">
        <v>74</v>
      </c>
      <c r="AY141" t="s">
        <v>74</v>
      </c>
      <c r="AZ141" t="s">
        <v>74</v>
      </c>
      <c r="BA141" t="s">
        <v>74</v>
      </c>
      <c r="BB141">
        <v>93</v>
      </c>
      <c r="BC141">
        <v>97</v>
      </c>
      <c r="BD141" t="s">
        <v>74</v>
      </c>
      <c r="BE141" t="s">
        <v>3146</v>
      </c>
      <c r="BF141" t="str">
        <f>HYPERLINK("http://dx.doi.org/10.1134/S0001437022010064","http://dx.doi.org/10.1134/S0001437022010064")</f>
        <v>http://dx.doi.org/10.1134/S0001437022010064</v>
      </c>
      <c r="BG141" t="s">
        <v>74</v>
      </c>
      <c r="BH141" t="s">
        <v>74</v>
      </c>
      <c r="BI141">
        <v>5</v>
      </c>
      <c r="BJ141" t="s">
        <v>1131</v>
      </c>
      <c r="BK141" t="s">
        <v>103</v>
      </c>
      <c r="BL141" t="s">
        <v>1131</v>
      </c>
      <c r="BM141" t="s">
        <v>3147</v>
      </c>
      <c r="BN141" t="s">
        <v>74</v>
      </c>
      <c r="BO141" t="s">
        <v>74</v>
      </c>
      <c r="BP141" t="s">
        <v>74</v>
      </c>
      <c r="BQ141" t="s">
        <v>74</v>
      </c>
      <c r="BR141" t="s">
        <v>106</v>
      </c>
      <c r="BS141" t="s">
        <v>3148</v>
      </c>
      <c r="BT141" t="str">
        <f>HYPERLINK("https%3A%2F%2Fwww.webofscience.com%2Fwos%2Fwoscc%2Ffull-record%2FWOS:000769479700011","View Full Record in Web of Science")</f>
        <v>View Full Record in Web of Science</v>
      </c>
    </row>
    <row r="142" spans="1:72" x14ac:dyDescent="0.15">
      <c r="A142" t="s">
        <v>72</v>
      </c>
      <c r="B142" t="s">
        <v>3149</v>
      </c>
      <c r="C142" t="s">
        <v>74</v>
      </c>
      <c r="D142" t="s">
        <v>74</v>
      </c>
      <c r="E142" t="s">
        <v>74</v>
      </c>
      <c r="F142" t="s">
        <v>3150</v>
      </c>
      <c r="G142" t="s">
        <v>74</v>
      </c>
      <c r="H142" t="s">
        <v>74</v>
      </c>
      <c r="I142" t="s">
        <v>3151</v>
      </c>
      <c r="J142" t="s">
        <v>3131</v>
      </c>
      <c r="K142" t="s">
        <v>74</v>
      </c>
      <c r="L142" t="s">
        <v>74</v>
      </c>
      <c r="M142" t="s">
        <v>78</v>
      </c>
      <c r="N142" t="s">
        <v>79</v>
      </c>
      <c r="O142" t="s">
        <v>74</v>
      </c>
      <c r="P142" t="s">
        <v>74</v>
      </c>
      <c r="Q142" t="s">
        <v>74</v>
      </c>
      <c r="R142" t="s">
        <v>74</v>
      </c>
      <c r="S142" t="s">
        <v>74</v>
      </c>
      <c r="T142" t="s">
        <v>3152</v>
      </c>
      <c r="U142" t="s">
        <v>3153</v>
      </c>
      <c r="V142" t="s">
        <v>3154</v>
      </c>
      <c r="W142" t="s">
        <v>3155</v>
      </c>
      <c r="X142" t="s">
        <v>3156</v>
      </c>
      <c r="Y142" t="s">
        <v>3157</v>
      </c>
      <c r="Z142" t="s">
        <v>3158</v>
      </c>
      <c r="AA142" t="s">
        <v>3159</v>
      </c>
      <c r="AB142" t="s">
        <v>3160</v>
      </c>
      <c r="AC142" t="s">
        <v>3161</v>
      </c>
      <c r="AD142" t="s">
        <v>3162</v>
      </c>
      <c r="AE142" t="s">
        <v>3163</v>
      </c>
      <c r="AF142" t="s">
        <v>74</v>
      </c>
      <c r="AG142">
        <v>72</v>
      </c>
      <c r="AH142">
        <v>1</v>
      </c>
      <c r="AI142">
        <v>1</v>
      </c>
      <c r="AJ142">
        <v>0</v>
      </c>
      <c r="AK142">
        <v>0</v>
      </c>
      <c r="AL142" t="s">
        <v>2692</v>
      </c>
      <c r="AM142" t="s">
        <v>506</v>
      </c>
      <c r="AN142" t="s">
        <v>2693</v>
      </c>
      <c r="AO142" t="s">
        <v>3142</v>
      </c>
      <c r="AP142" t="s">
        <v>3143</v>
      </c>
      <c r="AQ142" t="s">
        <v>74</v>
      </c>
      <c r="AR142" t="s">
        <v>3144</v>
      </c>
      <c r="AS142" t="s">
        <v>3145</v>
      </c>
      <c r="AT142" t="s">
        <v>840</v>
      </c>
      <c r="AU142">
        <v>2022</v>
      </c>
      <c r="AV142">
        <v>62</v>
      </c>
      <c r="AW142">
        <v>1</v>
      </c>
      <c r="AX142" t="s">
        <v>74</v>
      </c>
      <c r="AY142" t="s">
        <v>74</v>
      </c>
      <c r="AZ142" t="s">
        <v>74</v>
      </c>
      <c r="BA142" t="s">
        <v>74</v>
      </c>
      <c r="BB142">
        <v>114</v>
      </c>
      <c r="BC142">
        <v>126</v>
      </c>
      <c r="BD142" t="s">
        <v>74</v>
      </c>
      <c r="BE142" t="s">
        <v>3164</v>
      </c>
      <c r="BF142" t="str">
        <f>HYPERLINK("http://dx.doi.org/10.1134/S0001437022010143","http://dx.doi.org/10.1134/S0001437022010143")</f>
        <v>http://dx.doi.org/10.1134/S0001437022010143</v>
      </c>
      <c r="BG142" t="s">
        <v>74</v>
      </c>
      <c r="BH142" t="s">
        <v>74</v>
      </c>
      <c r="BI142">
        <v>13</v>
      </c>
      <c r="BJ142" t="s">
        <v>1131</v>
      </c>
      <c r="BK142" t="s">
        <v>103</v>
      </c>
      <c r="BL142" t="s">
        <v>1131</v>
      </c>
      <c r="BM142" t="s">
        <v>3147</v>
      </c>
      <c r="BN142" t="s">
        <v>74</v>
      </c>
      <c r="BO142" t="s">
        <v>74</v>
      </c>
      <c r="BP142" t="s">
        <v>74</v>
      </c>
      <c r="BQ142" t="s">
        <v>74</v>
      </c>
      <c r="BR142" t="s">
        <v>106</v>
      </c>
      <c r="BS142" t="s">
        <v>3165</v>
      </c>
      <c r="BT142" t="str">
        <f>HYPERLINK("https%3A%2F%2Fwww.webofscience.com%2Fwos%2Fwoscc%2Ffull-record%2FWOS:000769479700014","View Full Record in Web of Science")</f>
        <v>View Full Record in Web of Science</v>
      </c>
    </row>
    <row r="143" spans="1:72" x14ac:dyDescent="0.15">
      <c r="A143" t="s">
        <v>72</v>
      </c>
      <c r="B143" t="s">
        <v>3166</v>
      </c>
      <c r="C143" t="s">
        <v>74</v>
      </c>
      <c r="D143" t="s">
        <v>74</v>
      </c>
      <c r="E143" t="s">
        <v>74</v>
      </c>
      <c r="F143" t="s">
        <v>3167</v>
      </c>
      <c r="G143" t="s">
        <v>74</v>
      </c>
      <c r="H143" t="s">
        <v>74</v>
      </c>
      <c r="I143" t="s">
        <v>3168</v>
      </c>
      <c r="J143" t="s">
        <v>3169</v>
      </c>
      <c r="K143" t="s">
        <v>74</v>
      </c>
      <c r="L143" t="s">
        <v>74</v>
      </c>
      <c r="M143" t="s">
        <v>78</v>
      </c>
      <c r="N143" t="s">
        <v>79</v>
      </c>
      <c r="O143" t="s">
        <v>74</v>
      </c>
      <c r="P143" t="s">
        <v>74</v>
      </c>
      <c r="Q143" t="s">
        <v>74</v>
      </c>
      <c r="R143" t="s">
        <v>74</v>
      </c>
      <c r="S143" t="s">
        <v>74</v>
      </c>
      <c r="T143" t="s">
        <v>3170</v>
      </c>
      <c r="U143" t="s">
        <v>3171</v>
      </c>
      <c r="V143" t="s">
        <v>3172</v>
      </c>
      <c r="W143" t="s">
        <v>3173</v>
      </c>
      <c r="X143" t="s">
        <v>3174</v>
      </c>
      <c r="Y143" t="s">
        <v>3175</v>
      </c>
      <c r="Z143" t="s">
        <v>3176</v>
      </c>
      <c r="AA143" t="s">
        <v>3177</v>
      </c>
      <c r="AB143" t="s">
        <v>3178</v>
      </c>
      <c r="AC143" t="s">
        <v>3179</v>
      </c>
      <c r="AD143" t="s">
        <v>3180</v>
      </c>
      <c r="AE143" t="s">
        <v>3181</v>
      </c>
      <c r="AF143" t="s">
        <v>74</v>
      </c>
      <c r="AG143">
        <v>104</v>
      </c>
      <c r="AH143">
        <v>4</v>
      </c>
      <c r="AI143">
        <v>4</v>
      </c>
      <c r="AJ143">
        <v>0</v>
      </c>
      <c r="AK143">
        <v>3</v>
      </c>
      <c r="AL143" t="s">
        <v>3182</v>
      </c>
      <c r="AM143" t="s">
        <v>3183</v>
      </c>
      <c r="AN143" t="s">
        <v>3184</v>
      </c>
      <c r="AO143" t="s">
        <v>3185</v>
      </c>
      <c r="AP143" t="s">
        <v>3186</v>
      </c>
      <c r="AQ143" t="s">
        <v>74</v>
      </c>
      <c r="AR143" t="s">
        <v>3169</v>
      </c>
      <c r="AS143" t="s">
        <v>3187</v>
      </c>
      <c r="AT143" t="s">
        <v>840</v>
      </c>
      <c r="AU143">
        <v>2022</v>
      </c>
      <c r="AV143">
        <v>150</v>
      </c>
      <c r="AW143" t="s">
        <v>74</v>
      </c>
      <c r="AX143" t="s">
        <v>74</v>
      </c>
      <c r="AY143" t="s">
        <v>74</v>
      </c>
      <c r="AZ143" t="s">
        <v>74</v>
      </c>
      <c r="BA143" t="s">
        <v>74</v>
      </c>
      <c r="BB143" t="s">
        <v>74</v>
      </c>
      <c r="BC143" t="s">
        <v>74</v>
      </c>
      <c r="BD143">
        <v>125983</v>
      </c>
      <c r="BE143" t="s">
        <v>3188</v>
      </c>
      <c r="BF143" t="str">
        <f>HYPERLINK("http://dx.doi.org/10.1016/j.zool.2021.125983","http://dx.doi.org/10.1016/j.zool.2021.125983")</f>
        <v>http://dx.doi.org/10.1016/j.zool.2021.125983</v>
      </c>
      <c r="BG143" t="s">
        <v>74</v>
      </c>
      <c r="BH143" t="s">
        <v>74</v>
      </c>
      <c r="BI143">
        <v>12</v>
      </c>
      <c r="BJ143" t="s">
        <v>3187</v>
      </c>
      <c r="BK143" t="s">
        <v>103</v>
      </c>
      <c r="BL143" t="s">
        <v>3187</v>
      </c>
      <c r="BM143" t="s">
        <v>3189</v>
      </c>
      <c r="BN143">
        <v>34915245</v>
      </c>
      <c r="BO143" t="s">
        <v>640</v>
      </c>
      <c r="BP143" t="s">
        <v>74</v>
      </c>
      <c r="BQ143" t="s">
        <v>74</v>
      </c>
      <c r="BR143" t="s">
        <v>106</v>
      </c>
      <c r="BS143" t="s">
        <v>3190</v>
      </c>
      <c r="BT143" t="str">
        <f>HYPERLINK("https%3A%2F%2Fwww.webofscience.com%2Fwos%2Fwoscc%2Ffull-record%2FWOS:000772036500002","View Full Record in Web of Science")</f>
        <v>View Full Record in Web of Science</v>
      </c>
    </row>
    <row r="144" spans="1:72" x14ac:dyDescent="0.15">
      <c r="A144" t="s">
        <v>72</v>
      </c>
      <c r="B144" t="s">
        <v>3191</v>
      </c>
      <c r="C144" t="s">
        <v>74</v>
      </c>
      <c r="D144" t="s">
        <v>74</v>
      </c>
      <c r="E144" t="s">
        <v>74</v>
      </c>
      <c r="F144" t="s">
        <v>3192</v>
      </c>
      <c r="G144" t="s">
        <v>74</v>
      </c>
      <c r="H144" t="s">
        <v>74</v>
      </c>
      <c r="I144" t="s">
        <v>3193</v>
      </c>
      <c r="J144" t="s">
        <v>3194</v>
      </c>
      <c r="K144" t="s">
        <v>74</v>
      </c>
      <c r="L144" t="s">
        <v>74</v>
      </c>
      <c r="M144" t="s">
        <v>78</v>
      </c>
      <c r="N144" t="s">
        <v>79</v>
      </c>
      <c r="O144" t="s">
        <v>74</v>
      </c>
      <c r="P144" t="s">
        <v>74</v>
      </c>
      <c r="Q144" t="s">
        <v>74</v>
      </c>
      <c r="R144" t="s">
        <v>74</v>
      </c>
      <c r="S144" t="s">
        <v>74</v>
      </c>
      <c r="T144" t="s">
        <v>3195</v>
      </c>
      <c r="U144" t="s">
        <v>3196</v>
      </c>
      <c r="V144" t="s">
        <v>3197</v>
      </c>
      <c r="W144" t="s">
        <v>3198</v>
      </c>
      <c r="X144" t="s">
        <v>74</v>
      </c>
      <c r="Y144" t="s">
        <v>3199</v>
      </c>
      <c r="Z144" t="s">
        <v>3200</v>
      </c>
      <c r="AA144" t="s">
        <v>74</v>
      </c>
      <c r="AB144" t="s">
        <v>3201</v>
      </c>
      <c r="AC144" t="s">
        <v>3202</v>
      </c>
      <c r="AD144" t="s">
        <v>3203</v>
      </c>
      <c r="AE144" t="s">
        <v>3204</v>
      </c>
      <c r="AF144" t="s">
        <v>74</v>
      </c>
      <c r="AG144">
        <v>11</v>
      </c>
      <c r="AH144">
        <v>2</v>
      </c>
      <c r="AI144">
        <v>2</v>
      </c>
      <c r="AJ144">
        <v>0</v>
      </c>
      <c r="AK144">
        <v>0</v>
      </c>
      <c r="AL144" t="s">
        <v>2632</v>
      </c>
      <c r="AM144" t="s">
        <v>2633</v>
      </c>
      <c r="AN144" t="s">
        <v>2634</v>
      </c>
      <c r="AO144" t="s">
        <v>74</v>
      </c>
      <c r="AP144" t="s">
        <v>3205</v>
      </c>
      <c r="AQ144" t="s">
        <v>74</v>
      </c>
      <c r="AR144" t="s">
        <v>3206</v>
      </c>
      <c r="AS144" t="s">
        <v>3207</v>
      </c>
      <c r="AT144" t="s">
        <v>840</v>
      </c>
      <c r="AU144">
        <v>2022</v>
      </c>
      <c r="AV144">
        <v>14</v>
      </c>
      <c r="AW144">
        <v>4</v>
      </c>
      <c r="AX144" t="s">
        <v>74</v>
      </c>
      <c r="AY144" t="s">
        <v>74</v>
      </c>
      <c r="AZ144" t="s">
        <v>74</v>
      </c>
      <c r="BA144" t="s">
        <v>74</v>
      </c>
      <c r="BB144" t="s">
        <v>74</v>
      </c>
      <c r="BC144" t="s">
        <v>74</v>
      </c>
      <c r="BD144">
        <v>2318</v>
      </c>
      <c r="BE144" t="s">
        <v>3208</v>
      </c>
      <c r="BF144" t="str">
        <f>HYPERLINK("http://dx.doi.org/10.3390/su14042318","http://dx.doi.org/10.3390/su14042318")</f>
        <v>http://dx.doi.org/10.3390/su14042318</v>
      </c>
      <c r="BG144" t="s">
        <v>74</v>
      </c>
      <c r="BH144" t="s">
        <v>74</v>
      </c>
      <c r="BI144">
        <v>10</v>
      </c>
      <c r="BJ144" t="s">
        <v>3209</v>
      </c>
      <c r="BK144" t="s">
        <v>1034</v>
      </c>
      <c r="BL144" t="s">
        <v>3210</v>
      </c>
      <c r="BM144" t="s">
        <v>3211</v>
      </c>
      <c r="BN144" t="s">
        <v>74</v>
      </c>
      <c r="BO144" t="s">
        <v>445</v>
      </c>
      <c r="BP144" t="s">
        <v>74</v>
      </c>
      <c r="BQ144" t="s">
        <v>74</v>
      </c>
      <c r="BR144" t="s">
        <v>106</v>
      </c>
      <c r="BS144" t="s">
        <v>3212</v>
      </c>
      <c r="BT144" t="str">
        <f>HYPERLINK("https%3A%2F%2Fwww.webofscience.com%2Fwos%2Fwoscc%2Ffull-record%2FWOS:000770946400001","View Full Record in Web of Science")</f>
        <v>View Full Record in Web of Science</v>
      </c>
    </row>
    <row r="145" spans="1:72" x14ac:dyDescent="0.15">
      <c r="A145" t="s">
        <v>72</v>
      </c>
      <c r="B145" t="s">
        <v>3213</v>
      </c>
      <c r="C145" t="s">
        <v>74</v>
      </c>
      <c r="D145" t="s">
        <v>74</v>
      </c>
      <c r="E145" t="s">
        <v>74</v>
      </c>
      <c r="F145" t="s">
        <v>3214</v>
      </c>
      <c r="G145" t="s">
        <v>74</v>
      </c>
      <c r="H145" t="s">
        <v>74</v>
      </c>
      <c r="I145" t="s">
        <v>3215</v>
      </c>
      <c r="J145" t="s">
        <v>1137</v>
      </c>
      <c r="K145" t="s">
        <v>74</v>
      </c>
      <c r="L145" t="s">
        <v>74</v>
      </c>
      <c r="M145" t="s">
        <v>78</v>
      </c>
      <c r="N145" t="s">
        <v>79</v>
      </c>
      <c r="O145" t="s">
        <v>74</v>
      </c>
      <c r="P145" t="s">
        <v>74</v>
      </c>
      <c r="Q145" t="s">
        <v>74</v>
      </c>
      <c r="R145" t="s">
        <v>74</v>
      </c>
      <c r="S145" t="s">
        <v>74</v>
      </c>
      <c r="T145" t="s">
        <v>3216</v>
      </c>
      <c r="U145" t="s">
        <v>3217</v>
      </c>
      <c r="V145" t="s">
        <v>3218</v>
      </c>
      <c r="W145" t="s">
        <v>3219</v>
      </c>
      <c r="X145" t="s">
        <v>3220</v>
      </c>
      <c r="Y145" t="s">
        <v>3221</v>
      </c>
      <c r="Z145" t="s">
        <v>3222</v>
      </c>
      <c r="AA145" t="s">
        <v>3223</v>
      </c>
      <c r="AB145" t="s">
        <v>3224</v>
      </c>
      <c r="AC145" t="s">
        <v>3225</v>
      </c>
      <c r="AD145" t="s">
        <v>3226</v>
      </c>
      <c r="AE145" t="s">
        <v>3227</v>
      </c>
      <c r="AF145" t="s">
        <v>74</v>
      </c>
      <c r="AG145">
        <v>72</v>
      </c>
      <c r="AH145">
        <v>2</v>
      </c>
      <c r="AI145">
        <v>3</v>
      </c>
      <c r="AJ145">
        <v>2</v>
      </c>
      <c r="AK145">
        <v>25</v>
      </c>
      <c r="AL145" t="s">
        <v>92</v>
      </c>
      <c r="AM145" t="s">
        <v>93</v>
      </c>
      <c r="AN145" t="s">
        <v>94</v>
      </c>
      <c r="AO145" t="s">
        <v>1149</v>
      </c>
      <c r="AP145" t="s">
        <v>1150</v>
      </c>
      <c r="AQ145" t="s">
        <v>74</v>
      </c>
      <c r="AR145" t="s">
        <v>1151</v>
      </c>
      <c r="AS145" t="s">
        <v>1152</v>
      </c>
      <c r="AT145" t="s">
        <v>3228</v>
      </c>
      <c r="AU145">
        <v>2022</v>
      </c>
      <c r="AV145">
        <v>277</v>
      </c>
      <c r="AW145" t="s">
        <v>74</v>
      </c>
      <c r="AX145" t="s">
        <v>74</v>
      </c>
      <c r="AY145" t="s">
        <v>74</v>
      </c>
      <c r="AZ145" t="s">
        <v>74</v>
      </c>
      <c r="BA145" t="s">
        <v>74</v>
      </c>
      <c r="BB145" t="s">
        <v>74</v>
      </c>
      <c r="BC145" t="s">
        <v>74</v>
      </c>
      <c r="BD145">
        <v>107299</v>
      </c>
      <c r="BE145" t="s">
        <v>3229</v>
      </c>
      <c r="BF145" t="str">
        <f>HYPERLINK("http://dx.doi.org/10.1016/j.quascirev.2021.107299","http://dx.doi.org/10.1016/j.quascirev.2021.107299")</f>
        <v>http://dx.doi.org/10.1016/j.quascirev.2021.107299</v>
      </c>
      <c r="BG145" t="s">
        <v>74</v>
      </c>
      <c r="BH145" t="s">
        <v>74</v>
      </c>
      <c r="BI145">
        <v>18</v>
      </c>
      <c r="BJ145" t="s">
        <v>208</v>
      </c>
      <c r="BK145" t="s">
        <v>103</v>
      </c>
      <c r="BL145" t="s">
        <v>209</v>
      </c>
      <c r="BM145" t="s">
        <v>3230</v>
      </c>
      <c r="BN145" t="s">
        <v>74</v>
      </c>
      <c r="BO145" t="s">
        <v>74</v>
      </c>
      <c r="BP145" t="s">
        <v>74</v>
      </c>
      <c r="BQ145" t="s">
        <v>74</v>
      </c>
      <c r="BR145" t="s">
        <v>106</v>
      </c>
      <c r="BS145" t="s">
        <v>3231</v>
      </c>
      <c r="BT145" t="str">
        <f>HYPERLINK("https%3A%2F%2Fwww.webofscience.com%2Fwos%2Fwoscc%2Ffull-record%2FWOS:000766906200005","View Full Record in Web of Science")</f>
        <v>View Full Record in Web of Science</v>
      </c>
    </row>
    <row r="146" spans="1:72" x14ac:dyDescent="0.15">
      <c r="A146" t="s">
        <v>72</v>
      </c>
      <c r="B146" t="s">
        <v>3232</v>
      </c>
      <c r="C146" t="s">
        <v>74</v>
      </c>
      <c r="D146" t="s">
        <v>74</v>
      </c>
      <c r="E146" t="s">
        <v>74</v>
      </c>
      <c r="F146" t="s">
        <v>3233</v>
      </c>
      <c r="G146" t="s">
        <v>74</v>
      </c>
      <c r="H146" t="s">
        <v>74</v>
      </c>
      <c r="I146" t="s">
        <v>3234</v>
      </c>
      <c r="J146" t="s">
        <v>1682</v>
      </c>
      <c r="K146" t="s">
        <v>74</v>
      </c>
      <c r="L146" t="s">
        <v>74</v>
      </c>
      <c r="M146" t="s">
        <v>78</v>
      </c>
      <c r="N146" t="s">
        <v>779</v>
      </c>
      <c r="O146" t="s">
        <v>74</v>
      </c>
      <c r="P146" t="s">
        <v>74</v>
      </c>
      <c r="Q146" t="s">
        <v>74</v>
      </c>
      <c r="R146" t="s">
        <v>74</v>
      </c>
      <c r="S146" t="s">
        <v>74</v>
      </c>
      <c r="T146" t="s">
        <v>74</v>
      </c>
      <c r="U146" t="s">
        <v>74</v>
      </c>
      <c r="V146" t="s">
        <v>74</v>
      </c>
      <c r="W146" t="s">
        <v>3235</v>
      </c>
      <c r="X146" t="s">
        <v>3236</v>
      </c>
      <c r="Y146" t="s">
        <v>3237</v>
      </c>
      <c r="Z146" t="s">
        <v>74</v>
      </c>
      <c r="AA146" t="s">
        <v>74</v>
      </c>
      <c r="AB146" t="s">
        <v>74</v>
      </c>
      <c r="AC146" t="s">
        <v>74</v>
      </c>
      <c r="AD146" t="s">
        <v>74</v>
      </c>
      <c r="AE146" t="s">
        <v>74</v>
      </c>
      <c r="AF146" t="s">
        <v>74</v>
      </c>
      <c r="AG146">
        <v>0</v>
      </c>
      <c r="AH146">
        <v>0</v>
      </c>
      <c r="AI146">
        <v>0</v>
      </c>
      <c r="AJ146">
        <v>0</v>
      </c>
      <c r="AK146">
        <v>5</v>
      </c>
      <c r="AL146" t="s">
        <v>198</v>
      </c>
      <c r="AM146" t="s">
        <v>506</v>
      </c>
      <c r="AN146" t="s">
        <v>1695</v>
      </c>
      <c r="AO146" t="s">
        <v>1696</v>
      </c>
      <c r="AP146" t="s">
        <v>1697</v>
      </c>
      <c r="AQ146" t="s">
        <v>74</v>
      </c>
      <c r="AR146" t="s">
        <v>1698</v>
      </c>
      <c r="AS146" t="s">
        <v>1699</v>
      </c>
      <c r="AT146" t="s">
        <v>840</v>
      </c>
      <c r="AU146">
        <v>2022</v>
      </c>
      <c r="AV146">
        <v>34</v>
      </c>
      <c r="AW146">
        <v>1</v>
      </c>
      <c r="AX146" t="s">
        <v>74</v>
      </c>
      <c r="AY146" t="s">
        <v>74</v>
      </c>
      <c r="AZ146" t="s">
        <v>74</v>
      </c>
      <c r="BA146" t="s">
        <v>74</v>
      </c>
      <c r="BB146">
        <v>1</v>
      </c>
      <c r="BC146">
        <v>2</v>
      </c>
      <c r="BD146" t="s">
        <v>3238</v>
      </c>
      <c r="BE146" t="s">
        <v>3239</v>
      </c>
      <c r="BF146" t="str">
        <f>HYPERLINK("http://dx.doi.org/10.1017/S0954102022000098","http://dx.doi.org/10.1017/S0954102022000098")</f>
        <v>http://dx.doi.org/10.1017/S0954102022000098</v>
      </c>
      <c r="BG146" t="s">
        <v>74</v>
      </c>
      <c r="BH146" t="s">
        <v>74</v>
      </c>
      <c r="BI146">
        <v>2</v>
      </c>
      <c r="BJ146" t="s">
        <v>1702</v>
      </c>
      <c r="BK146" t="s">
        <v>103</v>
      </c>
      <c r="BL146" t="s">
        <v>1703</v>
      </c>
      <c r="BM146" t="s">
        <v>1704</v>
      </c>
      <c r="BN146" t="s">
        <v>74</v>
      </c>
      <c r="BO146" t="s">
        <v>1613</v>
      </c>
      <c r="BP146" t="s">
        <v>74</v>
      </c>
      <c r="BQ146" t="s">
        <v>74</v>
      </c>
      <c r="BR146" t="s">
        <v>106</v>
      </c>
      <c r="BS146" t="s">
        <v>3240</v>
      </c>
      <c r="BT146" t="str">
        <f>HYPERLINK("https%3A%2F%2Fwww.webofscience.com%2Fwos%2Fwoscc%2Ffull-record%2FWOS:000769421900003","View Full Record in Web of Science")</f>
        <v>View Full Record in Web of Science</v>
      </c>
    </row>
    <row r="147" spans="1:72" x14ac:dyDescent="0.15">
      <c r="A147" t="s">
        <v>72</v>
      </c>
      <c r="B147" t="s">
        <v>3241</v>
      </c>
      <c r="C147" t="s">
        <v>74</v>
      </c>
      <c r="D147" t="s">
        <v>74</v>
      </c>
      <c r="E147" t="s">
        <v>74</v>
      </c>
      <c r="F147" t="s">
        <v>3242</v>
      </c>
      <c r="G147" t="s">
        <v>74</v>
      </c>
      <c r="H147" t="s">
        <v>74</v>
      </c>
      <c r="I147" t="s">
        <v>3243</v>
      </c>
      <c r="J147" t="s">
        <v>3244</v>
      </c>
      <c r="K147" t="s">
        <v>74</v>
      </c>
      <c r="L147" t="s">
        <v>74</v>
      </c>
      <c r="M147" t="s">
        <v>78</v>
      </c>
      <c r="N147" t="s">
        <v>79</v>
      </c>
      <c r="O147" t="s">
        <v>74</v>
      </c>
      <c r="P147" t="s">
        <v>74</v>
      </c>
      <c r="Q147" t="s">
        <v>74</v>
      </c>
      <c r="R147" t="s">
        <v>74</v>
      </c>
      <c r="S147" t="s">
        <v>74</v>
      </c>
      <c r="T147" t="s">
        <v>74</v>
      </c>
      <c r="U147" t="s">
        <v>74</v>
      </c>
      <c r="V147" t="s">
        <v>3245</v>
      </c>
      <c r="W147" t="s">
        <v>3246</v>
      </c>
      <c r="X147" t="s">
        <v>3247</v>
      </c>
      <c r="Y147" t="s">
        <v>3248</v>
      </c>
      <c r="Z147" t="s">
        <v>3249</v>
      </c>
      <c r="AA147" t="s">
        <v>3250</v>
      </c>
      <c r="AB147" t="s">
        <v>3251</v>
      </c>
      <c r="AC147" t="s">
        <v>3252</v>
      </c>
      <c r="AD147" t="s">
        <v>3253</v>
      </c>
      <c r="AE147" t="s">
        <v>3254</v>
      </c>
      <c r="AF147" t="s">
        <v>74</v>
      </c>
      <c r="AG147">
        <v>10</v>
      </c>
      <c r="AH147">
        <v>0</v>
      </c>
      <c r="AI147">
        <v>0</v>
      </c>
      <c r="AJ147">
        <v>0</v>
      </c>
      <c r="AK147">
        <v>2</v>
      </c>
      <c r="AL147" t="s">
        <v>3255</v>
      </c>
      <c r="AM147" t="s">
        <v>606</v>
      </c>
      <c r="AN147" t="s">
        <v>3256</v>
      </c>
      <c r="AO147" t="s">
        <v>3257</v>
      </c>
      <c r="AP147" t="s">
        <v>74</v>
      </c>
      <c r="AQ147" t="s">
        <v>74</v>
      </c>
      <c r="AR147" t="s">
        <v>3258</v>
      </c>
      <c r="AS147" t="s">
        <v>3259</v>
      </c>
      <c r="AT147" t="s">
        <v>840</v>
      </c>
      <c r="AU147">
        <v>2022</v>
      </c>
      <c r="AV147">
        <v>11</v>
      </c>
      <c r="AW147">
        <v>2</v>
      </c>
      <c r="AX147" t="s">
        <v>74</v>
      </c>
      <c r="AY147" t="s">
        <v>74</v>
      </c>
      <c r="AZ147" t="s">
        <v>74</v>
      </c>
      <c r="BA147" t="s">
        <v>74</v>
      </c>
      <c r="BB147" t="s">
        <v>74</v>
      </c>
      <c r="BC147" t="s">
        <v>74</v>
      </c>
      <c r="BD147" t="s">
        <v>3260</v>
      </c>
      <c r="BE147" t="s">
        <v>3261</v>
      </c>
      <c r="BF147" t="str">
        <f>HYPERLINK("http://dx.doi.org/10.1128/mra.01191-21","http://dx.doi.org/10.1128/mra.01191-21")</f>
        <v>http://dx.doi.org/10.1128/mra.01191-21</v>
      </c>
      <c r="BG147" t="s">
        <v>74</v>
      </c>
      <c r="BH147" t="s">
        <v>74</v>
      </c>
      <c r="BI147">
        <v>3</v>
      </c>
      <c r="BJ147" t="s">
        <v>747</v>
      </c>
      <c r="BK147" t="s">
        <v>724</v>
      </c>
      <c r="BL147" t="s">
        <v>747</v>
      </c>
      <c r="BM147" t="s">
        <v>3262</v>
      </c>
      <c r="BN147">
        <v>35142545</v>
      </c>
      <c r="BO147" t="s">
        <v>3263</v>
      </c>
      <c r="BP147" t="s">
        <v>74</v>
      </c>
      <c r="BQ147" t="s">
        <v>74</v>
      </c>
      <c r="BR147" t="s">
        <v>106</v>
      </c>
      <c r="BS147" t="s">
        <v>3264</v>
      </c>
      <c r="BT147" t="str">
        <f>HYPERLINK("https%3A%2F%2Fwww.webofscience.com%2Fwos%2Fwoscc%2Ffull-record%2FWOS:000765939700064","View Full Record in Web of Science")</f>
        <v>View Full Record in Web of Science</v>
      </c>
    </row>
    <row r="148" spans="1:72" x14ac:dyDescent="0.15">
      <c r="A148" t="s">
        <v>72</v>
      </c>
      <c r="B148" t="s">
        <v>3265</v>
      </c>
      <c r="C148" t="s">
        <v>74</v>
      </c>
      <c r="D148" t="s">
        <v>74</v>
      </c>
      <c r="E148" t="s">
        <v>74</v>
      </c>
      <c r="F148" t="s">
        <v>3266</v>
      </c>
      <c r="G148" t="s">
        <v>74</v>
      </c>
      <c r="H148" t="s">
        <v>74</v>
      </c>
      <c r="I148" t="s">
        <v>3267</v>
      </c>
      <c r="J148" t="s">
        <v>3268</v>
      </c>
      <c r="K148" t="s">
        <v>74</v>
      </c>
      <c r="L148" t="s">
        <v>74</v>
      </c>
      <c r="M148" t="s">
        <v>78</v>
      </c>
      <c r="N148" t="s">
        <v>79</v>
      </c>
      <c r="O148" t="s">
        <v>74</v>
      </c>
      <c r="P148" t="s">
        <v>74</v>
      </c>
      <c r="Q148" t="s">
        <v>74</v>
      </c>
      <c r="R148" t="s">
        <v>74</v>
      </c>
      <c r="S148" t="s">
        <v>74</v>
      </c>
      <c r="T148" t="s">
        <v>3269</v>
      </c>
      <c r="U148" t="s">
        <v>74</v>
      </c>
      <c r="V148" t="s">
        <v>3270</v>
      </c>
      <c r="W148" t="s">
        <v>3271</v>
      </c>
      <c r="X148" t="s">
        <v>3272</v>
      </c>
      <c r="Y148" t="s">
        <v>3273</v>
      </c>
      <c r="Z148" t="s">
        <v>3274</v>
      </c>
      <c r="AA148" t="s">
        <v>3275</v>
      </c>
      <c r="AB148" t="s">
        <v>3276</v>
      </c>
      <c r="AC148" t="s">
        <v>3277</v>
      </c>
      <c r="AD148" t="s">
        <v>3278</v>
      </c>
      <c r="AE148" t="s">
        <v>3279</v>
      </c>
      <c r="AF148" t="s">
        <v>74</v>
      </c>
      <c r="AG148">
        <v>28</v>
      </c>
      <c r="AH148">
        <v>4</v>
      </c>
      <c r="AI148">
        <v>4</v>
      </c>
      <c r="AJ148">
        <v>1</v>
      </c>
      <c r="AK148">
        <v>7</v>
      </c>
      <c r="AL148" t="s">
        <v>2632</v>
      </c>
      <c r="AM148" t="s">
        <v>2633</v>
      </c>
      <c r="AN148" t="s">
        <v>2634</v>
      </c>
      <c r="AO148" t="s">
        <v>74</v>
      </c>
      <c r="AP148" t="s">
        <v>3280</v>
      </c>
      <c r="AQ148" t="s">
        <v>74</v>
      </c>
      <c r="AR148" t="s">
        <v>3268</v>
      </c>
      <c r="AS148" t="s">
        <v>3281</v>
      </c>
      <c r="AT148" t="s">
        <v>840</v>
      </c>
      <c r="AU148">
        <v>2022</v>
      </c>
      <c r="AV148">
        <v>9</v>
      </c>
      <c r="AW148">
        <v>2</v>
      </c>
      <c r="AX148" t="s">
        <v>74</v>
      </c>
      <c r="AY148" t="s">
        <v>74</v>
      </c>
      <c r="AZ148" t="s">
        <v>74</v>
      </c>
      <c r="BA148" t="s">
        <v>74</v>
      </c>
      <c r="BB148" t="s">
        <v>74</v>
      </c>
      <c r="BC148" t="s">
        <v>74</v>
      </c>
      <c r="BD148">
        <v>41</v>
      </c>
      <c r="BE148" t="s">
        <v>3282</v>
      </c>
      <c r="BF148" t="str">
        <f>HYPERLINK("http://dx.doi.org/10.3390/separations9020041","http://dx.doi.org/10.3390/separations9020041")</f>
        <v>http://dx.doi.org/10.3390/separations9020041</v>
      </c>
      <c r="BG148" t="s">
        <v>74</v>
      </c>
      <c r="BH148" t="s">
        <v>74</v>
      </c>
      <c r="BI148">
        <v>9</v>
      </c>
      <c r="BJ148" t="s">
        <v>3283</v>
      </c>
      <c r="BK148" t="s">
        <v>103</v>
      </c>
      <c r="BL148" t="s">
        <v>3284</v>
      </c>
      <c r="BM148" t="s">
        <v>3285</v>
      </c>
      <c r="BN148" t="s">
        <v>74</v>
      </c>
      <c r="BO148" t="s">
        <v>445</v>
      </c>
      <c r="BP148" t="s">
        <v>74</v>
      </c>
      <c r="BQ148" t="s">
        <v>74</v>
      </c>
      <c r="BR148" t="s">
        <v>106</v>
      </c>
      <c r="BS148" t="s">
        <v>3286</v>
      </c>
      <c r="BT148" t="str">
        <f>HYPERLINK("https%3A%2F%2Fwww.webofscience.com%2Fwos%2Fwoscc%2Ffull-record%2FWOS:000769081500001","View Full Record in Web of Science")</f>
        <v>View Full Record in Web of Science</v>
      </c>
    </row>
    <row r="149" spans="1:72" x14ac:dyDescent="0.15">
      <c r="A149" t="s">
        <v>72</v>
      </c>
      <c r="B149" t="s">
        <v>3287</v>
      </c>
      <c r="C149" t="s">
        <v>74</v>
      </c>
      <c r="D149" t="s">
        <v>74</v>
      </c>
      <c r="E149" t="s">
        <v>74</v>
      </c>
      <c r="F149" t="s">
        <v>3288</v>
      </c>
      <c r="G149" t="s">
        <v>74</v>
      </c>
      <c r="H149" t="s">
        <v>74</v>
      </c>
      <c r="I149" t="s">
        <v>3289</v>
      </c>
      <c r="J149" t="s">
        <v>3290</v>
      </c>
      <c r="K149" t="s">
        <v>74</v>
      </c>
      <c r="L149" t="s">
        <v>74</v>
      </c>
      <c r="M149" t="s">
        <v>78</v>
      </c>
      <c r="N149" t="s">
        <v>79</v>
      </c>
      <c r="O149" t="s">
        <v>74</v>
      </c>
      <c r="P149" t="s">
        <v>74</v>
      </c>
      <c r="Q149" t="s">
        <v>74</v>
      </c>
      <c r="R149" t="s">
        <v>74</v>
      </c>
      <c r="S149" t="s">
        <v>74</v>
      </c>
      <c r="T149" t="s">
        <v>74</v>
      </c>
      <c r="U149" t="s">
        <v>3291</v>
      </c>
      <c r="V149" t="s">
        <v>3292</v>
      </c>
      <c r="W149" t="s">
        <v>3293</v>
      </c>
      <c r="X149" t="s">
        <v>3294</v>
      </c>
      <c r="Y149" t="s">
        <v>3295</v>
      </c>
      <c r="Z149" t="s">
        <v>3296</v>
      </c>
      <c r="AA149" t="s">
        <v>74</v>
      </c>
      <c r="AB149" t="s">
        <v>3297</v>
      </c>
      <c r="AC149" t="s">
        <v>3298</v>
      </c>
      <c r="AD149" t="s">
        <v>3299</v>
      </c>
      <c r="AE149" t="s">
        <v>3300</v>
      </c>
      <c r="AF149" t="s">
        <v>74</v>
      </c>
      <c r="AG149">
        <v>61</v>
      </c>
      <c r="AH149">
        <v>17</v>
      </c>
      <c r="AI149">
        <v>19</v>
      </c>
      <c r="AJ149">
        <v>1</v>
      </c>
      <c r="AK149">
        <v>4</v>
      </c>
      <c r="AL149" t="s">
        <v>605</v>
      </c>
      <c r="AM149" t="s">
        <v>606</v>
      </c>
      <c r="AN149" t="s">
        <v>607</v>
      </c>
      <c r="AO149" t="s">
        <v>74</v>
      </c>
      <c r="AP149" t="s">
        <v>3301</v>
      </c>
      <c r="AQ149" t="s">
        <v>74</v>
      </c>
      <c r="AR149" t="s">
        <v>3302</v>
      </c>
      <c r="AS149" t="s">
        <v>3303</v>
      </c>
      <c r="AT149" t="s">
        <v>840</v>
      </c>
      <c r="AU149">
        <v>2022</v>
      </c>
      <c r="AV149">
        <v>3</v>
      </c>
      <c r="AW149">
        <v>1</v>
      </c>
      <c r="AX149" t="s">
        <v>74</v>
      </c>
      <c r="AY149" t="s">
        <v>74</v>
      </c>
      <c r="AZ149" t="s">
        <v>74</v>
      </c>
      <c r="BA149" t="s">
        <v>74</v>
      </c>
      <c r="BB149" t="s">
        <v>74</v>
      </c>
      <c r="BC149" t="s">
        <v>74</v>
      </c>
      <c r="BD149" t="s">
        <v>3304</v>
      </c>
      <c r="BE149" t="s">
        <v>3305</v>
      </c>
      <c r="BF149" t="str">
        <f>HYPERLINK("http://dx.doi.org/10.1029/2021AV000534","http://dx.doi.org/10.1029/2021AV000534")</f>
        <v>http://dx.doi.org/10.1029/2021AV000534</v>
      </c>
      <c r="BG149" t="s">
        <v>74</v>
      </c>
      <c r="BH149" t="s">
        <v>74</v>
      </c>
      <c r="BI149">
        <v>19</v>
      </c>
      <c r="BJ149" t="s">
        <v>151</v>
      </c>
      <c r="BK149" t="s">
        <v>103</v>
      </c>
      <c r="BL149" t="s">
        <v>152</v>
      </c>
      <c r="BM149" t="s">
        <v>3306</v>
      </c>
      <c r="BN149" t="s">
        <v>74</v>
      </c>
      <c r="BO149" t="s">
        <v>3307</v>
      </c>
      <c r="BP149" t="s">
        <v>74</v>
      </c>
      <c r="BQ149" t="s">
        <v>74</v>
      </c>
      <c r="BR149" t="s">
        <v>106</v>
      </c>
      <c r="BS149" t="s">
        <v>3308</v>
      </c>
      <c r="BT149" t="str">
        <f>HYPERLINK("https%3A%2F%2Fwww.webofscience.com%2Fwos%2Fwoscc%2Ffull-record%2FWOS:000763500400004","View Full Record in Web of Science")</f>
        <v>View Full Record in Web of Science</v>
      </c>
    </row>
    <row r="150" spans="1:72" x14ac:dyDescent="0.15">
      <c r="A150" t="s">
        <v>72</v>
      </c>
      <c r="B150" t="s">
        <v>3309</v>
      </c>
      <c r="C150" t="s">
        <v>74</v>
      </c>
      <c r="D150" t="s">
        <v>74</v>
      </c>
      <c r="E150" t="s">
        <v>74</v>
      </c>
      <c r="F150" t="s">
        <v>3310</v>
      </c>
      <c r="G150" t="s">
        <v>74</v>
      </c>
      <c r="H150" t="s">
        <v>74</v>
      </c>
      <c r="I150" t="s">
        <v>3311</v>
      </c>
      <c r="J150" t="s">
        <v>2724</v>
      </c>
      <c r="K150" t="s">
        <v>74</v>
      </c>
      <c r="L150" t="s">
        <v>74</v>
      </c>
      <c r="M150" t="s">
        <v>78</v>
      </c>
      <c r="N150" t="s">
        <v>79</v>
      </c>
      <c r="O150" t="s">
        <v>74</v>
      </c>
      <c r="P150" t="s">
        <v>74</v>
      </c>
      <c r="Q150" t="s">
        <v>74</v>
      </c>
      <c r="R150" t="s">
        <v>74</v>
      </c>
      <c r="S150" t="s">
        <v>74</v>
      </c>
      <c r="T150" t="s">
        <v>3312</v>
      </c>
      <c r="U150" t="s">
        <v>3313</v>
      </c>
      <c r="V150" t="s">
        <v>3314</v>
      </c>
      <c r="W150" t="s">
        <v>3315</v>
      </c>
      <c r="X150" t="s">
        <v>3316</v>
      </c>
      <c r="Y150" t="s">
        <v>3317</v>
      </c>
      <c r="Z150" t="s">
        <v>3318</v>
      </c>
      <c r="AA150" t="s">
        <v>3319</v>
      </c>
      <c r="AB150" t="s">
        <v>3320</v>
      </c>
      <c r="AC150" t="s">
        <v>74</v>
      </c>
      <c r="AD150" t="s">
        <v>74</v>
      </c>
      <c r="AE150" t="s">
        <v>74</v>
      </c>
      <c r="AF150" t="s">
        <v>74</v>
      </c>
      <c r="AG150">
        <v>91</v>
      </c>
      <c r="AH150">
        <v>1</v>
      </c>
      <c r="AI150">
        <v>1</v>
      </c>
      <c r="AJ150">
        <v>5</v>
      </c>
      <c r="AK150">
        <v>26</v>
      </c>
      <c r="AL150" t="s">
        <v>2632</v>
      </c>
      <c r="AM150" t="s">
        <v>2633</v>
      </c>
      <c r="AN150" t="s">
        <v>2634</v>
      </c>
      <c r="AO150" t="s">
        <v>74</v>
      </c>
      <c r="AP150" t="s">
        <v>2737</v>
      </c>
      <c r="AQ150" t="s">
        <v>74</v>
      </c>
      <c r="AR150" t="s">
        <v>2738</v>
      </c>
      <c r="AS150" t="s">
        <v>2739</v>
      </c>
      <c r="AT150" t="s">
        <v>840</v>
      </c>
      <c r="AU150">
        <v>2022</v>
      </c>
      <c r="AV150">
        <v>14</v>
      </c>
      <c r="AW150">
        <v>4</v>
      </c>
      <c r="AX150" t="s">
        <v>74</v>
      </c>
      <c r="AY150" t="s">
        <v>74</v>
      </c>
      <c r="AZ150" t="s">
        <v>74</v>
      </c>
      <c r="BA150" t="s">
        <v>74</v>
      </c>
      <c r="BB150" t="s">
        <v>74</v>
      </c>
      <c r="BC150" t="s">
        <v>74</v>
      </c>
      <c r="BD150">
        <v>924</v>
      </c>
      <c r="BE150" t="s">
        <v>3321</v>
      </c>
      <c r="BF150" t="str">
        <f>HYPERLINK("http://dx.doi.org/10.3390/rs14040924","http://dx.doi.org/10.3390/rs14040924")</f>
        <v>http://dx.doi.org/10.3390/rs14040924</v>
      </c>
      <c r="BG150" t="s">
        <v>74</v>
      </c>
      <c r="BH150" t="s">
        <v>74</v>
      </c>
      <c r="BI150">
        <v>24</v>
      </c>
      <c r="BJ150" t="s">
        <v>2741</v>
      </c>
      <c r="BK150" t="s">
        <v>103</v>
      </c>
      <c r="BL150" t="s">
        <v>2742</v>
      </c>
      <c r="BM150" t="s">
        <v>3322</v>
      </c>
      <c r="BN150" t="s">
        <v>74</v>
      </c>
      <c r="BO150" t="s">
        <v>445</v>
      </c>
      <c r="BP150" t="s">
        <v>74</v>
      </c>
      <c r="BQ150" t="s">
        <v>74</v>
      </c>
      <c r="BR150" t="s">
        <v>106</v>
      </c>
      <c r="BS150" t="s">
        <v>3323</v>
      </c>
      <c r="BT150" t="str">
        <f>HYPERLINK("https%3A%2F%2Fwww.webofscience.com%2Fwos%2Fwoscc%2Ffull-record%2FWOS:000769494400001","View Full Record in Web of Science")</f>
        <v>View Full Record in Web of Science</v>
      </c>
    </row>
    <row r="151" spans="1:72" x14ac:dyDescent="0.15">
      <c r="A151" t="s">
        <v>72</v>
      </c>
      <c r="B151" t="s">
        <v>3324</v>
      </c>
      <c r="C151" t="s">
        <v>74</v>
      </c>
      <c r="D151" t="s">
        <v>74</v>
      </c>
      <c r="E151" t="s">
        <v>74</v>
      </c>
      <c r="F151" t="s">
        <v>3325</v>
      </c>
      <c r="G151" t="s">
        <v>74</v>
      </c>
      <c r="H151" t="s">
        <v>74</v>
      </c>
      <c r="I151" t="s">
        <v>3326</v>
      </c>
      <c r="J151" t="s">
        <v>3327</v>
      </c>
      <c r="K151" t="s">
        <v>74</v>
      </c>
      <c r="L151" t="s">
        <v>74</v>
      </c>
      <c r="M151" t="s">
        <v>78</v>
      </c>
      <c r="N151" t="s">
        <v>79</v>
      </c>
      <c r="O151" t="s">
        <v>74</v>
      </c>
      <c r="P151" t="s">
        <v>74</v>
      </c>
      <c r="Q151" t="s">
        <v>74</v>
      </c>
      <c r="R151" t="s">
        <v>74</v>
      </c>
      <c r="S151" t="s">
        <v>74</v>
      </c>
      <c r="T151" t="s">
        <v>3328</v>
      </c>
      <c r="U151" t="s">
        <v>3329</v>
      </c>
      <c r="V151" t="s">
        <v>3330</v>
      </c>
      <c r="W151" t="s">
        <v>3331</v>
      </c>
      <c r="X151" t="s">
        <v>3332</v>
      </c>
      <c r="Y151" t="s">
        <v>3333</v>
      </c>
      <c r="Z151" t="s">
        <v>3334</v>
      </c>
      <c r="AA151" t="s">
        <v>3335</v>
      </c>
      <c r="AB151" t="s">
        <v>3336</v>
      </c>
      <c r="AC151" t="s">
        <v>74</v>
      </c>
      <c r="AD151" t="s">
        <v>74</v>
      </c>
      <c r="AE151" t="s">
        <v>74</v>
      </c>
      <c r="AF151" t="s">
        <v>74</v>
      </c>
      <c r="AG151">
        <v>50</v>
      </c>
      <c r="AH151">
        <v>7</v>
      </c>
      <c r="AI151">
        <v>7</v>
      </c>
      <c r="AJ151">
        <v>1</v>
      </c>
      <c r="AK151">
        <v>12</v>
      </c>
      <c r="AL151" t="s">
        <v>2632</v>
      </c>
      <c r="AM151" t="s">
        <v>2633</v>
      </c>
      <c r="AN151" t="s">
        <v>2634</v>
      </c>
      <c r="AO151" t="s">
        <v>74</v>
      </c>
      <c r="AP151" t="s">
        <v>3337</v>
      </c>
      <c r="AQ151" t="s">
        <v>74</v>
      </c>
      <c r="AR151" t="s">
        <v>3338</v>
      </c>
      <c r="AS151" t="s">
        <v>3339</v>
      </c>
      <c r="AT151" t="s">
        <v>840</v>
      </c>
      <c r="AU151">
        <v>2022</v>
      </c>
      <c r="AV151">
        <v>12</v>
      </c>
      <c r="AW151">
        <v>4</v>
      </c>
      <c r="AX151" t="s">
        <v>74</v>
      </c>
      <c r="AY151" t="s">
        <v>74</v>
      </c>
      <c r="AZ151" t="s">
        <v>74</v>
      </c>
      <c r="BA151" t="s">
        <v>74</v>
      </c>
      <c r="BB151" t="s">
        <v>74</v>
      </c>
      <c r="BC151" t="s">
        <v>74</v>
      </c>
      <c r="BD151">
        <v>1805</v>
      </c>
      <c r="BE151" t="s">
        <v>3340</v>
      </c>
      <c r="BF151" t="str">
        <f>HYPERLINK("http://dx.doi.org/10.3390/app12041805","http://dx.doi.org/10.3390/app12041805")</f>
        <v>http://dx.doi.org/10.3390/app12041805</v>
      </c>
      <c r="BG151" t="s">
        <v>74</v>
      </c>
      <c r="BH151" t="s">
        <v>74</v>
      </c>
      <c r="BI151">
        <v>12</v>
      </c>
      <c r="BJ151" t="s">
        <v>3341</v>
      </c>
      <c r="BK151" t="s">
        <v>103</v>
      </c>
      <c r="BL151" t="s">
        <v>3342</v>
      </c>
      <c r="BM151" t="s">
        <v>3343</v>
      </c>
      <c r="BN151" t="s">
        <v>74</v>
      </c>
      <c r="BO151" t="s">
        <v>445</v>
      </c>
      <c r="BP151" t="s">
        <v>74</v>
      </c>
      <c r="BQ151" t="s">
        <v>74</v>
      </c>
      <c r="BR151" t="s">
        <v>106</v>
      </c>
      <c r="BS151" t="s">
        <v>3344</v>
      </c>
      <c r="BT151" t="str">
        <f>HYPERLINK("https%3A%2F%2Fwww.webofscience.com%2Fwos%2Fwoscc%2Ffull-record%2FWOS:000767613900001","View Full Record in Web of Science")</f>
        <v>View Full Record in Web of Science</v>
      </c>
    </row>
    <row r="152" spans="1:72" x14ac:dyDescent="0.15">
      <c r="A152" t="s">
        <v>72</v>
      </c>
      <c r="B152" t="s">
        <v>3345</v>
      </c>
      <c r="C152" t="s">
        <v>74</v>
      </c>
      <c r="D152" t="s">
        <v>74</v>
      </c>
      <c r="E152" t="s">
        <v>74</v>
      </c>
      <c r="F152" t="s">
        <v>3346</v>
      </c>
      <c r="G152" t="s">
        <v>74</v>
      </c>
      <c r="H152" t="s">
        <v>74</v>
      </c>
      <c r="I152" t="s">
        <v>3347</v>
      </c>
      <c r="J152" t="s">
        <v>3348</v>
      </c>
      <c r="K152" t="s">
        <v>74</v>
      </c>
      <c r="L152" t="s">
        <v>74</v>
      </c>
      <c r="M152" t="s">
        <v>78</v>
      </c>
      <c r="N152" t="s">
        <v>79</v>
      </c>
      <c r="O152" t="s">
        <v>74</v>
      </c>
      <c r="P152" t="s">
        <v>74</v>
      </c>
      <c r="Q152" t="s">
        <v>74</v>
      </c>
      <c r="R152" t="s">
        <v>74</v>
      </c>
      <c r="S152" t="s">
        <v>74</v>
      </c>
      <c r="T152" t="s">
        <v>3349</v>
      </c>
      <c r="U152" t="s">
        <v>3350</v>
      </c>
      <c r="V152" t="s">
        <v>3351</v>
      </c>
      <c r="W152" t="s">
        <v>3352</v>
      </c>
      <c r="X152" t="s">
        <v>3353</v>
      </c>
      <c r="Y152" t="s">
        <v>3354</v>
      </c>
      <c r="Z152" t="s">
        <v>3355</v>
      </c>
      <c r="AA152" t="s">
        <v>3356</v>
      </c>
      <c r="AB152" t="s">
        <v>3357</v>
      </c>
      <c r="AC152" t="s">
        <v>3358</v>
      </c>
      <c r="AD152" t="s">
        <v>3359</v>
      </c>
      <c r="AE152" t="s">
        <v>3360</v>
      </c>
      <c r="AF152" t="s">
        <v>74</v>
      </c>
      <c r="AG152">
        <v>60</v>
      </c>
      <c r="AH152">
        <v>1</v>
      </c>
      <c r="AI152">
        <v>1</v>
      </c>
      <c r="AJ152">
        <v>0</v>
      </c>
      <c r="AK152">
        <v>3</v>
      </c>
      <c r="AL152" t="s">
        <v>3361</v>
      </c>
      <c r="AM152" t="s">
        <v>3362</v>
      </c>
      <c r="AN152" t="s">
        <v>3363</v>
      </c>
      <c r="AO152" t="s">
        <v>74</v>
      </c>
      <c r="AP152" t="s">
        <v>3364</v>
      </c>
      <c r="AQ152" t="s">
        <v>74</v>
      </c>
      <c r="AR152" t="s">
        <v>3365</v>
      </c>
      <c r="AS152" t="s">
        <v>3366</v>
      </c>
      <c r="AT152" t="s">
        <v>3228</v>
      </c>
      <c r="AU152">
        <v>2022</v>
      </c>
      <c r="AV152">
        <v>789</v>
      </c>
      <c r="AW152" t="s">
        <v>74</v>
      </c>
      <c r="AX152" t="s">
        <v>74</v>
      </c>
      <c r="AY152" t="s">
        <v>74</v>
      </c>
      <c r="AZ152" t="s">
        <v>74</v>
      </c>
      <c r="BA152" t="s">
        <v>74</v>
      </c>
      <c r="BB152">
        <v>130</v>
      </c>
      <c r="BC152">
        <v>152</v>
      </c>
      <c r="BD152" t="s">
        <v>74</v>
      </c>
      <c r="BE152" t="s">
        <v>3367</v>
      </c>
      <c r="BF152" t="str">
        <f>HYPERLINK("http://dx.doi.org/10.5852/ejt.2022.789.1637","http://dx.doi.org/10.5852/ejt.2022.789.1637")</f>
        <v>http://dx.doi.org/10.5852/ejt.2022.789.1637</v>
      </c>
      <c r="BG152" t="s">
        <v>74</v>
      </c>
      <c r="BH152" t="s">
        <v>74</v>
      </c>
      <c r="BI152">
        <v>23</v>
      </c>
      <c r="BJ152" t="s">
        <v>3368</v>
      </c>
      <c r="BK152" t="s">
        <v>103</v>
      </c>
      <c r="BL152" t="s">
        <v>3368</v>
      </c>
      <c r="BM152" t="s">
        <v>3369</v>
      </c>
      <c r="BN152" t="s">
        <v>74</v>
      </c>
      <c r="BO152" t="s">
        <v>154</v>
      </c>
      <c r="BP152" t="s">
        <v>74</v>
      </c>
      <c r="BQ152" t="s">
        <v>74</v>
      </c>
      <c r="BR152" t="s">
        <v>106</v>
      </c>
      <c r="BS152" t="s">
        <v>3370</v>
      </c>
      <c r="BT152" t="str">
        <f>HYPERLINK("https%3A%2F%2Fwww.webofscience.com%2Fwos%2Fwoscc%2Ffull-record%2FWOS:000765491400001","View Full Record in Web of Science")</f>
        <v>View Full Record in Web of Science</v>
      </c>
    </row>
    <row r="153" spans="1:72" x14ac:dyDescent="0.15">
      <c r="A153" t="s">
        <v>72</v>
      </c>
      <c r="B153" t="s">
        <v>3371</v>
      </c>
      <c r="C153" t="s">
        <v>74</v>
      </c>
      <c r="D153" t="s">
        <v>74</v>
      </c>
      <c r="E153" t="s">
        <v>74</v>
      </c>
      <c r="F153" t="s">
        <v>3372</v>
      </c>
      <c r="G153" t="s">
        <v>74</v>
      </c>
      <c r="H153" t="s">
        <v>74</v>
      </c>
      <c r="I153" t="s">
        <v>3373</v>
      </c>
      <c r="J153" t="s">
        <v>3374</v>
      </c>
      <c r="K153" t="s">
        <v>74</v>
      </c>
      <c r="L153" t="s">
        <v>74</v>
      </c>
      <c r="M153" t="s">
        <v>78</v>
      </c>
      <c r="N153" t="s">
        <v>79</v>
      </c>
      <c r="O153" t="s">
        <v>74</v>
      </c>
      <c r="P153" t="s">
        <v>74</v>
      </c>
      <c r="Q153" t="s">
        <v>74</v>
      </c>
      <c r="R153" t="s">
        <v>74</v>
      </c>
      <c r="S153" t="s">
        <v>74</v>
      </c>
      <c r="T153" t="s">
        <v>3375</v>
      </c>
      <c r="U153" t="s">
        <v>3376</v>
      </c>
      <c r="V153" t="s">
        <v>3377</v>
      </c>
      <c r="W153" t="s">
        <v>3378</v>
      </c>
      <c r="X153" t="s">
        <v>3379</v>
      </c>
      <c r="Y153" t="s">
        <v>3380</v>
      </c>
      <c r="Z153" t="s">
        <v>3381</v>
      </c>
      <c r="AA153" t="s">
        <v>3382</v>
      </c>
      <c r="AB153" t="s">
        <v>3383</v>
      </c>
      <c r="AC153" t="s">
        <v>3384</v>
      </c>
      <c r="AD153" t="s">
        <v>3385</v>
      </c>
      <c r="AE153" t="s">
        <v>3386</v>
      </c>
      <c r="AF153" t="s">
        <v>74</v>
      </c>
      <c r="AG153">
        <v>92</v>
      </c>
      <c r="AH153">
        <v>11</v>
      </c>
      <c r="AI153">
        <v>12</v>
      </c>
      <c r="AJ153">
        <v>14</v>
      </c>
      <c r="AK153">
        <v>73</v>
      </c>
      <c r="AL153" t="s">
        <v>605</v>
      </c>
      <c r="AM153" t="s">
        <v>606</v>
      </c>
      <c r="AN153" t="s">
        <v>607</v>
      </c>
      <c r="AO153" t="s">
        <v>3387</v>
      </c>
      <c r="AP153" t="s">
        <v>3388</v>
      </c>
      <c r="AQ153" t="s">
        <v>74</v>
      </c>
      <c r="AR153" t="s">
        <v>3389</v>
      </c>
      <c r="AS153" t="s">
        <v>3390</v>
      </c>
      <c r="AT153" t="s">
        <v>840</v>
      </c>
      <c r="AU153">
        <v>2022</v>
      </c>
      <c r="AV153">
        <v>36</v>
      </c>
      <c r="AW153">
        <v>2</v>
      </c>
      <c r="AX153" t="s">
        <v>74</v>
      </c>
      <c r="AY153" t="s">
        <v>74</v>
      </c>
      <c r="AZ153" t="s">
        <v>74</v>
      </c>
      <c r="BA153" t="s">
        <v>74</v>
      </c>
      <c r="BB153" t="s">
        <v>74</v>
      </c>
      <c r="BC153" t="s">
        <v>74</v>
      </c>
      <c r="BD153" t="s">
        <v>3391</v>
      </c>
      <c r="BE153" t="s">
        <v>3392</v>
      </c>
      <c r="BF153" t="str">
        <f>HYPERLINK("http://dx.doi.org/10.1029/2021GB007057","http://dx.doi.org/10.1029/2021GB007057")</f>
        <v>http://dx.doi.org/10.1029/2021GB007057</v>
      </c>
      <c r="BG153" t="s">
        <v>74</v>
      </c>
      <c r="BH153" t="s">
        <v>74</v>
      </c>
      <c r="BI153">
        <v>17</v>
      </c>
      <c r="BJ153" t="s">
        <v>442</v>
      </c>
      <c r="BK153" t="s">
        <v>103</v>
      </c>
      <c r="BL153" t="s">
        <v>443</v>
      </c>
      <c r="BM153" t="s">
        <v>3393</v>
      </c>
      <c r="BN153" t="s">
        <v>74</v>
      </c>
      <c r="BO153" t="s">
        <v>3394</v>
      </c>
      <c r="BP153" t="s">
        <v>74</v>
      </c>
      <c r="BQ153" t="s">
        <v>74</v>
      </c>
      <c r="BR153" t="s">
        <v>106</v>
      </c>
      <c r="BS153" t="s">
        <v>3395</v>
      </c>
      <c r="BT153" t="str">
        <f>HYPERLINK("https%3A%2F%2Fwww.webofscience.com%2Fwos%2Fwoscc%2Ffull-record%2FWOS:000765649200001","View Full Record in Web of Science")</f>
        <v>View Full Record in Web of Science</v>
      </c>
    </row>
    <row r="154" spans="1:72" x14ac:dyDescent="0.15">
      <c r="A154" t="s">
        <v>72</v>
      </c>
      <c r="B154" t="s">
        <v>3396</v>
      </c>
      <c r="C154" t="s">
        <v>74</v>
      </c>
      <c r="D154" t="s">
        <v>74</v>
      </c>
      <c r="E154" t="s">
        <v>74</v>
      </c>
      <c r="F154" t="s">
        <v>3397</v>
      </c>
      <c r="G154" t="s">
        <v>74</v>
      </c>
      <c r="H154" t="s">
        <v>74</v>
      </c>
      <c r="I154" t="s">
        <v>3398</v>
      </c>
      <c r="J154" t="s">
        <v>3399</v>
      </c>
      <c r="K154" t="s">
        <v>74</v>
      </c>
      <c r="L154" t="s">
        <v>74</v>
      </c>
      <c r="M154" t="s">
        <v>78</v>
      </c>
      <c r="N154" t="s">
        <v>79</v>
      </c>
      <c r="O154" t="s">
        <v>74</v>
      </c>
      <c r="P154" t="s">
        <v>74</v>
      </c>
      <c r="Q154" t="s">
        <v>74</v>
      </c>
      <c r="R154" t="s">
        <v>74</v>
      </c>
      <c r="S154" t="s">
        <v>74</v>
      </c>
      <c r="T154" t="s">
        <v>3400</v>
      </c>
      <c r="U154" t="s">
        <v>3401</v>
      </c>
      <c r="V154" t="s">
        <v>3402</v>
      </c>
      <c r="W154" t="s">
        <v>3403</v>
      </c>
      <c r="X154" t="s">
        <v>3404</v>
      </c>
      <c r="Y154" t="s">
        <v>3405</v>
      </c>
      <c r="Z154" t="s">
        <v>3406</v>
      </c>
      <c r="AA154" t="s">
        <v>3407</v>
      </c>
      <c r="AB154" t="s">
        <v>3408</v>
      </c>
      <c r="AC154" t="s">
        <v>3409</v>
      </c>
      <c r="AD154" t="s">
        <v>3410</v>
      </c>
      <c r="AE154" t="s">
        <v>3411</v>
      </c>
      <c r="AF154" t="s">
        <v>74</v>
      </c>
      <c r="AG154">
        <v>126</v>
      </c>
      <c r="AH154">
        <v>13</v>
      </c>
      <c r="AI154">
        <v>13</v>
      </c>
      <c r="AJ154">
        <v>2</v>
      </c>
      <c r="AK154">
        <v>2</v>
      </c>
      <c r="AL154" t="s">
        <v>605</v>
      </c>
      <c r="AM154" t="s">
        <v>606</v>
      </c>
      <c r="AN154" t="s">
        <v>607</v>
      </c>
      <c r="AO154" t="s">
        <v>74</v>
      </c>
      <c r="AP154" t="s">
        <v>3412</v>
      </c>
      <c r="AQ154" t="s">
        <v>74</v>
      </c>
      <c r="AR154" t="s">
        <v>3413</v>
      </c>
      <c r="AS154" t="s">
        <v>3414</v>
      </c>
      <c r="AT154" t="s">
        <v>840</v>
      </c>
      <c r="AU154">
        <v>2022</v>
      </c>
      <c r="AV154">
        <v>14</v>
      </c>
      <c r="AW154">
        <v>2</v>
      </c>
      <c r="AX154" t="s">
        <v>74</v>
      </c>
      <c r="AY154" t="s">
        <v>74</v>
      </c>
      <c r="AZ154" t="s">
        <v>74</v>
      </c>
      <c r="BA154" t="s">
        <v>74</v>
      </c>
      <c r="BB154" t="s">
        <v>74</v>
      </c>
      <c r="BC154" t="s">
        <v>74</v>
      </c>
      <c r="BD154" t="s">
        <v>3415</v>
      </c>
      <c r="BE154" t="s">
        <v>3416</v>
      </c>
      <c r="BF154" t="str">
        <f>HYPERLINK("http://dx.doi.org/10.1029/2021MS002468","http://dx.doi.org/10.1029/2021MS002468")</f>
        <v>http://dx.doi.org/10.1029/2021MS002468</v>
      </c>
      <c r="BG154" t="s">
        <v>74</v>
      </c>
      <c r="BH154" t="s">
        <v>74</v>
      </c>
      <c r="BI154">
        <v>25</v>
      </c>
      <c r="BJ154" t="s">
        <v>514</v>
      </c>
      <c r="BK154" t="s">
        <v>103</v>
      </c>
      <c r="BL154" t="s">
        <v>514</v>
      </c>
      <c r="BM154" t="s">
        <v>3417</v>
      </c>
      <c r="BN154" t="s">
        <v>74</v>
      </c>
      <c r="BO154" t="s">
        <v>445</v>
      </c>
      <c r="BP154" t="s">
        <v>74</v>
      </c>
      <c r="BQ154" t="s">
        <v>74</v>
      </c>
      <c r="BR154" t="s">
        <v>106</v>
      </c>
      <c r="BS154" t="s">
        <v>3418</v>
      </c>
      <c r="BT154" t="str">
        <f>HYPERLINK("https%3A%2F%2Fwww.webofscience.com%2Fwos%2Fwoscc%2Ffull-record%2FWOS:000763472100005","View Full Record in Web of Science")</f>
        <v>View Full Record in Web of Science</v>
      </c>
    </row>
    <row r="155" spans="1:72" x14ac:dyDescent="0.15">
      <c r="A155" t="s">
        <v>72</v>
      </c>
      <c r="B155" t="s">
        <v>3419</v>
      </c>
      <c r="C155" t="s">
        <v>74</v>
      </c>
      <c r="D155" t="s">
        <v>74</v>
      </c>
      <c r="E155" t="s">
        <v>74</v>
      </c>
      <c r="F155" t="s">
        <v>3420</v>
      </c>
      <c r="G155" t="s">
        <v>74</v>
      </c>
      <c r="H155" t="s">
        <v>74</v>
      </c>
      <c r="I155" t="s">
        <v>3421</v>
      </c>
      <c r="J155" t="s">
        <v>3422</v>
      </c>
      <c r="K155" t="s">
        <v>74</v>
      </c>
      <c r="L155" t="s">
        <v>74</v>
      </c>
      <c r="M155" t="s">
        <v>78</v>
      </c>
      <c r="N155" t="s">
        <v>79</v>
      </c>
      <c r="O155" t="s">
        <v>74</v>
      </c>
      <c r="P155" t="s">
        <v>74</v>
      </c>
      <c r="Q155" t="s">
        <v>74</v>
      </c>
      <c r="R155" t="s">
        <v>74</v>
      </c>
      <c r="S155" t="s">
        <v>74</v>
      </c>
      <c r="T155" t="s">
        <v>3423</v>
      </c>
      <c r="U155" t="s">
        <v>3424</v>
      </c>
      <c r="V155" t="s">
        <v>3425</v>
      </c>
      <c r="W155" t="s">
        <v>3426</v>
      </c>
      <c r="X155" t="s">
        <v>3427</v>
      </c>
      <c r="Y155" t="s">
        <v>3428</v>
      </c>
      <c r="Z155" t="s">
        <v>3429</v>
      </c>
      <c r="AA155" t="s">
        <v>3430</v>
      </c>
      <c r="AB155" t="s">
        <v>3431</v>
      </c>
      <c r="AC155" t="s">
        <v>3432</v>
      </c>
      <c r="AD155" t="s">
        <v>3433</v>
      </c>
      <c r="AE155" t="s">
        <v>3434</v>
      </c>
      <c r="AF155" t="s">
        <v>74</v>
      </c>
      <c r="AG155">
        <v>91</v>
      </c>
      <c r="AH155">
        <v>4</v>
      </c>
      <c r="AI155">
        <v>4</v>
      </c>
      <c r="AJ155">
        <v>2</v>
      </c>
      <c r="AK155">
        <v>5</v>
      </c>
      <c r="AL155" t="s">
        <v>605</v>
      </c>
      <c r="AM155" t="s">
        <v>606</v>
      </c>
      <c r="AN155" t="s">
        <v>607</v>
      </c>
      <c r="AO155" t="s">
        <v>3435</v>
      </c>
      <c r="AP155" t="s">
        <v>3436</v>
      </c>
      <c r="AQ155" t="s">
        <v>74</v>
      </c>
      <c r="AR155" t="s">
        <v>3437</v>
      </c>
      <c r="AS155" t="s">
        <v>3438</v>
      </c>
      <c r="AT155" t="s">
        <v>840</v>
      </c>
      <c r="AU155">
        <v>2022</v>
      </c>
      <c r="AV155">
        <v>127</v>
      </c>
      <c r="AW155">
        <v>2</v>
      </c>
      <c r="AX155" t="s">
        <v>74</v>
      </c>
      <c r="AY155" t="s">
        <v>74</v>
      </c>
      <c r="AZ155" t="s">
        <v>74</v>
      </c>
      <c r="BA155" t="s">
        <v>74</v>
      </c>
      <c r="BB155" t="s">
        <v>74</v>
      </c>
      <c r="BC155" t="s">
        <v>74</v>
      </c>
      <c r="BD155" t="s">
        <v>3439</v>
      </c>
      <c r="BE155" t="s">
        <v>3440</v>
      </c>
      <c r="BF155" t="str">
        <f>HYPERLINK("http://dx.doi.org/10.1029/2021JF006442","http://dx.doi.org/10.1029/2021JF006442")</f>
        <v>http://dx.doi.org/10.1029/2021JF006442</v>
      </c>
      <c r="BG155" t="s">
        <v>74</v>
      </c>
      <c r="BH155" t="s">
        <v>74</v>
      </c>
      <c r="BI155">
        <v>20</v>
      </c>
      <c r="BJ155" t="s">
        <v>151</v>
      </c>
      <c r="BK155" t="s">
        <v>103</v>
      </c>
      <c r="BL155" t="s">
        <v>152</v>
      </c>
      <c r="BM155" t="s">
        <v>3441</v>
      </c>
      <c r="BN155" t="s">
        <v>74</v>
      </c>
      <c r="BO155" t="s">
        <v>3263</v>
      </c>
      <c r="BP155" t="s">
        <v>74</v>
      </c>
      <c r="BQ155" t="s">
        <v>74</v>
      </c>
      <c r="BR155" t="s">
        <v>106</v>
      </c>
      <c r="BS155" t="s">
        <v>3442</v>
      </c>
      <c r="BT155" t="str">
        <f>HYPERLINK("https%3A%2F%2Fwww.webofscience.com%2Fwos%2Fwoscc%2Ffull-record%2FWOS:000763468400014","View Full Record in Web of Science")</f>
        <v>View Full Record in Web of Science</v>
      </c>
    </row>
    <row r="156" spans="1:72" x14ac:dyDescent="0.15">
      <c r="A156" t="s">
        <v>72</v>
      </c>
      <c r="B156" t="s">
        <v>3443</v>
      </c>
      <c r="C156" t="s">
        <v>74</v>
      </c>
      <c r="D156" t="s">
        <v>74</v>
      </c>
      <c r="E156" t="s">
        <v>74</v>
      </c>
      <c r="F156" t="s">
        <v>3444</v>
      </c>
      <c r="G156" t="s">
        <v>74</v>
      </c>
      <c r="H156" t="s">
        <v>74</v>
      </c>
      <c r="I156" t="s">
        <v>3445</v>
      </c>
      <c r="J156" t="s">
        <v>3446</v>
      </c>
      <c r="K156" t="s">
        <v>74</v>
      </c>
      <c r="L156" t="s">
        <v>74</v>
      </c>
      <c r="M156" t="s">
        <v>78</v>
      </c>
      <c r="N156" t="s">
        <v>79</v>
      </c>
      <c r="O156" t="s">
        <v>74</v>
      </c>
      <c r="P156" t="s">
        <v>74</v>
      </c>
      <c r="Q156" t="s">
        <v>74</v>
      </c>
      <c r="R156" t="s">
        <v>74</v>
      </c>
      <c r="S156" t="s">
        <v>74</v>
      </c>
      <c r="T156" t="s">
        <v>74</v>
      </c>
      <c r="U156" t="s">
        <v>3447</v>
      </c>
      <c r="V156" t="s">
        <v>3448</v>
      </c>
      <c r="W156" t="s">
        <v>3449</v>
      </c>
      <c r="X156" t="s">
        <v>3450</v>
      </c>
      <c r="Y156" t="s">
        <v>3451</v>
      </c>
      <c r="Z156" t="s">
        <v>3452</v>
      </c>
      <c r="AA156" t="s">
        <v>3453</v>
      </c>
      <c r="AB156" t="s">
        <v>3454</v>
      </c>
      <c r="AC156" t="s">
        <v>3455</v>
      </c>
      <c r="AD156" t="s">
        <v>3456</v>
      </c>
      <c r="AE156" t="s">
        <v>3457</v>
      </c>
      <c r="AF156" t="s">
        <v>74</v>
      </c>
      <c r="AG156">
        <v>79</v>
      </c>
      <c r="AH156">
        <v>10</v>
      </c>
      <c r="AI156">
        <v>10</v>
      </c>
      <c r="AJ156">
        <v>1</v>
      </c>
      <c r="AK156">
        <v>8</v>
      </c>
      <c r="AL156" t="s">
        <v>605</v>
      </c>
      <c r="AM156" t="s">
        <v>606</v>
      </c>
      <c r="AN156" t="s">
        <v>607</v>
      </c>
      <c r="AO156" t="s">
        <v>3458</v>
      </c>
      <c r="AP156" t="s">
        <v>3459</v>
      </c>
      <c r="AQ156" t="s">
        <v>74</v>
      </c>
      <c r="AR156" t="s">
        <v>3460</v>
      </c>
      <c r="AS156" t="s">
        <v>3461</v>
      </c>
      <c r="AT156" t="s">
        <v>840</v>
      </c>
      <c r="AU156">
        <v>2022</v>
      </c>
      <c r="AV156">
        <v>127</v>
      </c>
      <c r="AW156">
        <v>2</v>
      </c>
      <c r="AX156" t="s">
        <v>74</v>
      </c>
      <c r="AY156" t="s">
        <v>74</v>
      </c>
      <c r="AZ156" t="s">
        <v>74</v>
      </c>
      <c r="BA156" t="s">
        <v>74</v>
      </c>
      <c r="BB156" t="s">
        <v>74</v>
      </c>
      <c r="BC156" t="s">
        <v>74</v>
      </c>
      <c r="BD156" t="s">
        <v>3462</v>
      </c>
      <c r="BE156" t="s">
        <v>3463</v>
      </c>
      <c r="BF156" t="str">
        <f>HYPERLINK("http://dx.doi.org/10.1029/2021JC017645","http://dx.doi.org/10.1029/2021JC017645")</f>
        <v>http://dx.doi.org/10.1029/2021JC017645</v>
      </c>
      <c r="BG156" t="s">
        <v>74</v>
      </c>
      <c r="BH156" t="s">
        <v>74</v>
      </c>
      <c r="BI156">
        <v>22</v>
      </c>
      <c r="BJ156" t="s">
        <v>1131</v>
      </c>
      <c r="BK156" t="s">
        <v>103</v>
      </c>
      <c r="BL156" t="s">
        <v>1131</v>
      </c>
      <c r="BM156" t="s">
        <v>3464</v>
      </c>
      <c r="BN156" t="s">
        <v>74</v>
      </c>
      <c r="BO156" t="s">
        <v>749</v>
      </c>
      <c r="BP156" t="s">
        <v>74</v>
      </c>
      <c r="BQ156" t="s">
        <v>74</v>
      </c>
      <c r="BR156" t="s">
        <v>106</v>
      </c>
      <c r="BS156" t="s">
        <v>3465</v>
      </c>
      <c r="BT156" t="str">
        <f>HYPERLINK("https%3A%2F%2Fwww.webofscience.com%2Fwos%2Fwoscc%2Ffull-record%2FWOS:000765614000026","View Full Record in Web of Science")</f>
        <v>View Full Record in Web of Science</v>
      </c>
    </row>
    <row r="157" spans="1:72" x14ac:dyDescent="0.15">
      <c r="A157" t="s">
        <v>72</v>
      </c>
      <c r="B157" t="s">
        <v>3466</v>
      </c>
      <c r="C157" t="s">
        <v>74</v>
      </c>
      <c r="D157" t="s">
        <v>74</v>
      </c>
      <c r="E157" t="s">
        <v>74</v>
      </c>
      <c r="F157" t="s">
        <v>3467</v>
      </c>
      <c r="G157" t="s">
        <v>74</v>
      </c>
      <c r="H157" t="s">
        <v>74</v>
      </c>
      <c r="I157" t="s">
        <v>3468</v>
      </c>
      <c r="J157" t="s">
        <v>3446</v>
      </c>
      <c r="K157" t="s">
        <v>74</v>
      </c>
      <c r="L157" t="s">
        <v>74</v>
      </c>
      <c r="M157" t="s">
        <v>78</v>
      </c>
      <c r="N157" t="s">
        <v>79</v>
      </c>
      <c r="O157" t="s">
        <v>74</v>
      </c>
      <c r="P157" t="s">
        <v>74</v>
      </c>
      <c r="Q157" t="s">
        <v>74</v>
      </c>
      <c r="R157" t="s">
        <v>74</v>
      </c>
      <c r="S157" t="s">
        <v>74</v>
      </c>
      <c r="T157" t="s">
        <v>3469</v>
      </c>
      <c r="U157" t="s">
        <v>3470</v>
      </c>
      <c r="V157" t="s">
        <v>3471</v>
      </c>
      <c r="W157" t="s">
        <v>3472</v>
      </c>
      <c r="X157" t="s">
        <v>3473</v>
      </c>
      <c r="Y157" t="s">
        <v>3474</v>
      </c>
      <c r="Z157" t="s">
        <v>3475</v>
      </c>
      <c r="AA157" t="s">
        <v>3476</v>
      </c>
      <c r="AB157" t="s">
        <v>3477</v>
      </c>
      <c r="AC157" t="s">
        <v>3478</v>
      </c>
      <c r="AD157" t="s">
        <v>3479</v>
      </c>
      <c r="AE157" t="s">
        <v>3480</v>
      </c>
      <c r="AF157" t="s">
        <v>74</v>
      </c>
      <c r="AG157">
        <v>55</v>
      </c>
      <c r="AH157">
        <v>5</v>
      </c>
      <c r="AI157">
        <v>5</v>
      </c>
      <c r="AJ157">
        <v>2</v>
      </c>
      <c r="AK157">
        <v>9</v>
      </c>
      <c r="AL157" t="s">
        <v>605</v>
      </c>
      <c r="AM157" t="s">
        <v>606</v>
      </c>
      <c r="AN157" t="s">
        <v>607</v>
      </c>
      <c r="AO157" t="s">
        <v>3458</v>
      </c>
      <c r="AP157" t="s">
        <v>3459</v>
      </c>
      <c r="AQ157" t="s">
        <v>74</v>
      </c>
      <c r="AR157" t="s">
        <v>3460</v>
      </c>
      <c r="AS157" t="s">
        <v>3461</v>
      </c>
      <c r="AT157" t="s">
        <v>840</v>
      </c>
      <c r="AU157">
        <v>2022</v>
      </c>
      <c r="AV157">
        <v>127</v>
      </c>
      <c r="AW157">
        <v>2</v>
      </c>
      <c r="AX157" t="s">
        <v>74</v>
      </c>
      <c r="AY157" t="s">
        <v>74</v>
      </c>
      <c r="AZ157" t="s">
        <v>74</v>
      </c>
      <c r="BA157" t="s">
        <v>74</v>
      </c>
      <c r="BB157" t="s">
        <v>74</v>
      </c>
      <c r="BC157" t="s">
        <v>74</v>
      </c>
      <c r="BD157" t="s">
        <v>3481</v>
      </c>
      <c r="BE157" t="s">
        <v>3482</v>
      </c>
      <c r="BF157" t="str">
        <f>HYPERLINK("http://dx.doi.org/10.1029/2021JC017877","http://dx.doi.org/10.1029/2021JC017877")</f>
        <v>http://dx.doi.org/10.1029/2021JC017877</v>
      </c>
      <c r="BG157" t="s">
        <v>74</v>
      </c>
      <c r="BH157" t="s">
        <v>74</v>
      </c>
      <c r="BI157">
        <v>15</v>
      </c>
      <c r="BJ157" t="s">
        <v>1131</v>
      </c>
      <c r="BK157" t="s">
        <v>103</v>
      </c>
      <c r="BL157" t="s">
        <v>1131</v>
      </c>
      <c r="BM157" t="s">
        <v>3464</v>
      </c>
      <c r="BN157" t="s">
        <v>74</v>
      </c>
      <c r="BO157" t="s">
        <v>749</v>
      </c>
      <c r="BP157" t="s">
        <v>74</v>
      </c>
      <c r="BQ157" t="s">
        <v>74</v>
      </c>
      <c r="BR157" t="s">
        <v>106</v>
      </c>
      <c r="BS157" t="s">
        <v>3483</v>
      </c>
      <c r="BT157" t="str">
        <f>HYPERLINK("https%3A%2F%2Fwww.webofscience.com%2Fwos%2Fwoscc%2Ffull-record%2FWOS:000765614000012","View Full Record in Web of Science")</f>
        <v>View Full Record in Web of Science</v>
      </c>
    </row>
    <row r="158" spans="1:72" x14ac:dyDescent="0.15">
      <c r="A158" t="s">
        <v>72</v>
      </c>
      <c r="B158" t="s">
        <v>3484</v>
      </c>
      <c r="C158" t="s">
        <v>74</v>
      </c>
      <c r="D158" t="s">
        <v>74</v>
      </c>
      <c r="E158" t="s">
        <v>74</v>
      </c>
      <c r="F158" t="s">
        <v>3485</v>
      </c>
      <c r="G158" t="s">
        <v>74</v>
      </c>
      <c r="H158" t="s">
        <v>74</v>
      </c>
      <c r="I158" t="s">
        <v>3486</v>
      </c>
      <c r="J158" t="s">
        <v>3487</v>
      </c>
      <c r="K158" t="s">
        <v>74</v>
      </c>
      <c r="L158" t="s">
        <v>74</v>
      </c>
      <c r="M158" t="s">
        <v>78</v>
      </c>
      <c r="N158" t="s">
        <v>79</v>
      </c>
      <c r="O158" t="s">
        <v>74</v>
      </c>
      <c r="P158" t="s">
        <v>74</v>
      </c>
      <c r="Q158" t="s">
        <v>74</v>
      </c>
      <c r="R158" t="s">
        <v>74</v>
      </c>
      <c r="S158" t="s">
        <v>74</v>
      </c>
      <c r="T158" t="s">
        <v>3488</v>
      </c>
      <c r="U158" t="s">
        <v>3489</v>
      </c>
      <c r="V158" t="s">
        <v>3490</v>
      </c>
      <c r="W158" t="s">
        <v>3491</v>
      </c>
      <c r="X158" t="s">
        <v>3492</v>
      </c>
      <c r="Y158" t="s">
        <v>3493</v>
      </c>
      <c r="Z158" t="s">
        <v>3494</v>
      </c>
      <c r="AA158" t="s">
        <v>3495</v>
      </c>
      <c r="AB158" t="s">
        <v>3496</v>
      </c>
      <c r="AC158" t="s">
        <v>3497</v>
      </c>
      <c r="AD158" t="s">
        <v>3498</v>
      </c>
      <c r="AE158" t="s">
        <v>3499</v>
      </c>
      <c r="AF158" t="s">
        <v>74</v>
      </c>
      <c r="AG158">
        <v>87</v>
      </c>
      <c r="AH158">
        <v>19</v>
      </c>
      <c r="AI158">
        <v>19</v>
      </c>
      <c r="AJ158">
        <v>3</v>
      </c>
      <c r="AK158">
        <v>12</v>
      </c>
      <c r="AL158" t="s">
        <v>605</v>
      </c>
      <c r="AM158" t="s">
        <v>606</v>
      </c>
      <c r="AN158" t="s">
        <v>607</v>
      </c>
      <c r="AO158" t="s">
        <v>74</v>
      </c>
      <c r="AP158" t="s">
        <v>3500</v>
      </c>
      <c r="AQ158" t="s">
        <v>74</v>
      </c>
      <c r="AR158" t="s">
        <v>3501</v>
      </c>
      <c r="AS158" t="s">
        <v>3502</v>
      </c>
      <c r="AT158" t="s">
        <v>840</v>
      </c>
      <c r="AU158">
        <v>2022</v>
      </c>
      <c r="AV158">
        <v>20</v>
      </c>
      <c r="AW158">
        <v>2</v>
      </c>
      <c r="AX158" t="s">
        <v>74</v>
      </c>
      <c r="AY158" t="s">
        <v>74</v>
      </c>
      <c r="AZ158" t="s">
        <v>74</v>
      </c>
      <c r="BA158" t="s">
        <v>74</v>
      </c>
      <c r="BB158" t="s">
        <v>74</v>
      </c>
      <c r="BC158" t="s">
        <v>74</v>
      </c>
      <c r="BD158" t="s">
        <v>3503</v>
      </c>
      <c r="BE158" t="s">
        <v>3504</v>
      </c>
      <c r="BF158" t="str">
        <f>HYPERLINK("http://dx.doi.org/10.1029/2021SW002989","http://dx.doi.org/10.1029/2021SW002989")</f>
        <v>http://dx.doi.org/10.1029/2021SW002989</v>
      </c>
      <c r="BG158" t="s">
        <v>74</v>
      </c>
      <c r="BH158" t="s">
        <v>74</v>
      </c>
      <c r="BI158">
        <v>30</v>
      </c>
      <c r="BJ158" t="s">
        <v>3505</v>
      </c>
      <c r="BK158" t="s">
        <v>103</v>
      </c>
      <c r="BL158" t="s">
        <v>3505</v>
      </c>
      <c r="BM158" t="s">
        <v>3506</v>
      </c>
      <c r="BN158" t="s">
        <v>74</v>
      </c>
      <c r="BO158" t="s">
        <v>3307</v>
      </c>
      <c r="BP158" t="s">
        <v>74</v>
      </c>
      <c r="BQ158" t="s">
        <v>74</v>
      </c>
      <c r="BR158" t="s">
        <v>106</v>
      </c>
      <c r="BS158" t="s">
        <v>3507</v>
      </c>
      <c r="BT158" t="str">
        <f>HYPERLINK("https%3A%2F%2Fwww.webofscience.com%2Fwos%2Fwoscc%2Ffull-record%2FWOS:000763470300001","View Full Record in Web of Science")</f>
        <v>View Full Record in Web of Science</v>
      </c>
    </row>
    <row r="159" spans="1:72" x14ac:dyDescent="0.15">
      <c r="A159" t="s">
        <v>72</v>
      </c>
      <c r="B159" t="s">
        <v>3508</v>
      </c>
      <c r="C159" t="s">
        <v>74</v>
      </c>
      <c r="D159" t="s">
        <v>74</v>
      </c>
      <c r="E159" t="s">
        <v>74</v>
      </c>
      <c r="F159" t="s">
        <v>3509</v>
      </c>
      <c r="G159" t="s">
        <v>74</v>
      </c>
      <c r="H159" t="s">
        <v>74</v>
      </c>
      <c r="I159" t="s">
        <v>3510</v>
      </c>
      <c r="J159" t="s">
        <v>3487</v>
      </c>
      <c r="K159" t="s">
        <v>74</v>
      </c>
      <c r="L159" t="s">
        <v>74</v>
      </c>
      <c r="M159" t="s">
        <v>78</v>
      </c>
      <c r="N159" t="s">
        <v>79</v>
      </c>
      <c r="O159" t="s">
        <v>74</v>
      </c>
      <c r="P159" t="s">
        <v>74</v>
      </c>
      <c r="Q159" t="s">
        <v>74</v>
      </c>
      <c r="R159" t="s">
        <v>74</v>
      </c>
      <c r="S159" t="s">
        <v>74</v>
      </c>
      <c r="T159" t="s">
        <v>74</v>
      </c>
      <c r="U159" t="s">
        <v>3511</v>
      </c>
      <c r="V159" t="s">
        <v>3512</v>
      </c>
      <c r="W159" t="s">
        <v>3513</v>
      </c>
      <c r="X159" t="s">
        <v>3514</v>
      </c>
      <c r="Y159" t="s">
        <v>3515</v>
      </c>
      <c r="Z159" t="s">
        <v>3516</v>
      </c>
      <c r="AA159" t="s">
        <v>3517</v>
      </c>
      <c r="AB159" t="s">
        <v>3518</v>
      </c>
      <c r="AC159" t="s">
        <v>3519</v>
      </c>
      <c r="AD159" t="s">
        <v>3520</v>
      </c>
      <c r="AE159" t="s">
        <v>3521</v>
      </c>
      <c r="AF159" t="s">
        <v>74</v>
      </c>
      <c r="AG159">
        <v>31</v>
      </c>
      <c r="AH159">
        <v>11</v>
      </c>
      <c r="AI159">
        <v>11</v>
      </c>
      <c r="AJ159">
        <v>0</v>
      </c>
      <c r="AK159">
        <v>5</v>
      </c>
      <c r="AL159" t="s">
        <v>605</v>
      </c>
      <c r="AM159" t="s">
        <v>606</v>
      </c>
      <c r="AN159" t="s">
        <v>607</v>
      </c>
      <c r="AO159" t="s">
        <v>74</v>
      </c>
      <c r="AP159" t="s">
        <v>3500</v>
      </c>
      <c r="AQ159" t="s">
        <v>74</v>
      </c>
      <c r="AR159" t="s">
        <v>3501</v>
      </c>
      <c r="AS159" t="s">
        <v>3502</v>
      </c>
      <c r="AT159" t="s">
        <v>840</v>
      </c>
      <c r="AU159">
        <v>2022</v>
      </c>
      <c r="AV159">
        <v>20</v>
      </c>
      <c r="AW159">
        <v>2</v>
      </c>
      <c r="AX159" t="s">
        <v>74</v>
      </c>
      <c r="AY159" t="s">
        <v>74</v>
      </c>
      <c r="AZ159" t="s">
        <v>74</v>
      </c>
      <c r="BA159" t="s">
        <v>74</v>
      </c>
      <c r="BB159" t="s">
        <v>74</v>
      </c>
      <c r="BC159" t="s">
        <v>74</v>
      </c>
      <c r="BD159" t="s">
        <v>3522</v>
      </c>
      <c r="BE159" t="s">
        <v>3523</v>
      </c>
      <c r="BF159" t="str">
        <f>HYPERLINK("http://dx.doi.org/10.1029/2021SW002955","http://dx.doi.org/10.1029/2021SW002955")</f>
        <v>http://dx.doi.org/10.1029/2021SW002955</v>
      </c>
      <c r="BG159" t="s">
        <v>74</v>
      </c>
      <c r="BH159" t="s">
        <v>74</v>
      </c>
      <c r="BI159">
        <v>23</v>
      </c>
      <c r="BJ159" t="s">
        <v>3505</v>
      </c>
      <c r="BK159" t="s">
        <v>103</v>
      </c>
      <c r="BL159" t="s">
        <v>3505</v>
      </c>
      <c r="BM159" t="s">
        <v>3506</v>
      </c>
      <c r="BN159" t="s">
        <v>74</v>
      </c>
      <c r="BO159" t="s">
        <v>264</v>
      </c>
      <c r="BP159" t="s">
        <v>74</v>
      </c>
      <c r="BQ159" t="s">
        <v>74</v>
      </c>
      <c r="BR159" t="s">
        <v>106</v>
      </c>
      <c r="BS159" t="s">
        <v>3524</v>
      </c>
      <c r="BT159" t="str">
        <f>HYPERLINK("https%3A%2F%2Fwww.webofscience.com%2Fwos%2Fwoscc%2Ffull-record%2FWOS:000763470300011","View Full Record in Web of Science")</f>
        <v>View Full Record in Web of Science</v>
      </c>
    </row>
    <row r="160" spans="1:72" x14ac:dyDescent="0.15">
      <c r="A160" t="s">
        <v>72</v>
      </c>
      <c r="B160" t="s">
        <v>3525</v>
      </c>
      <c r="C160" t="s">
        <v>74</v>
      </c>
      <c r="D160" t="s">
        <v>74</v>
      </c>
      <c r="E160" t="s">
        <v>74</v>
      </c>
      <c r="F160" t="s">
        <v>3526</v>
      </c>
      <c r="G160" t="s">
        <v>74</v>
      </c>
      <c r="H160" t="s">
        <v>74</v>
      </c>
      <c r="I160" t="s">
        <v>3527</v>
      </c>
      <c r="J160" t="s">
        <v>3487</v>
      </c>
      <c r="K160" t="s">
        <v>74</v>
      </c>
      <c r="L160" t="s">
        <v>74</v>
      </c>
      <c r="M160" t="s">
        <v>78</v>
      </c>
      <c r="N160" t="s">
        <v>79</v>
      </c>
      <c r="O160" t="s">
        <v>74</v>
      </c>
      <c r="P160" t="s">
        <v>74</v>
      </c>
      <c r="Q160" t="s">
        <v>74</v>
      </c>
      <c r="R160" t="s">
        <v>74</v>
      </c>
      <c r="S160" t="s">
        <v>74</v>
      </c>
      <c r="T160" t="s">
        <v>3528</v>
      </c>
      <c r="U160" t="s">
        <v>3529</v>
      </c>
      <c r="V160" t="s">
        <v>3530</v>
      </c>
      <c r="W160" t="s">
        <v>3531</v>
      </c>
      <c r="X160" t="s">
        <v>3532</v>
      </c>
      <c r="Y160" t="s">
        <v>3533</v>
      </c>
      <c r="Z160" t="s">
        <v>3534</v>
      </c>
      <c r="AA160" t="s">
        <v>3535</v>
      </c>
      <c r="AB160" t="s">
        <v>3536</v>
      </c>
      <c r="AC160" t="s">
        <v>3537</v>
      </c>
      <c r="AD160" t="s">
        <v>3538</v>
      </c>
      <c r="AE160" t="s">
        <v>3539</v>
      </c>
      <c r="AF160" t="s">
        <v>74</v>
      </c>
      <c r="AG160">
        <v>27</v>
      </c>
      <c r="AH160">
        <v>0</v>
      </c>
      <c r="AI160">
        <v>0</v>
      </c>
      <c r="AJ160">
        <v>2</v>
      </c>
      <c r="AK160">
        <v>8</v>
      </c>
      <c r="AL160" t="s">
        <v>605</v>
      </c>
      <c r="AM160" t="s">
        <v>606</v>
      </c>
      <c r="AN160" t="s">
        <v>607</v>
      </c>
      <c r="AO160" t="s">
        <v>74</v>
      </c>
      <c r="AP160" t="s">
        <v>3500</v>
      </c>
      <c r="AQ160" t="s">
        <v>74</v>
      </c>
      <c r="AR160" t="s">
        <v>3501</v>
      </c>
      <c r="AS160" t="s">
        <v>3502</v>
      </c>
      <c r="AT160" t="s">
        <v>840</v>
      </c>
      <c r="AU160">
        <v>2022</v>
      </c>
      <c r="AV160">
        <v>20</v>
      </c>
      <c r="AW160">
        <v>2</v>
      </c>
      <c r="AX160" t="s">
        <v>74</v>
      </c>
      <c r="AY160" t="s">
        <v>74</v>
      </c>
      <c r="AZ160" t="s">
        <v>74</v>
      </c>
      <c r="BA160" t="s">
        <v>74</v>
      </c>
      <c r="BB160" t="s">
        <v>74</v>
      </c>
      <c r="BC160" t="s">
        <v>74</v>
      </c>
      <c r="BD160" t="s">
        <v>3540</v>
      </c>
      <c r="BE160" t="s">
        <v>3541</v>
      </c>
      <c r="BF160" t="str">
        <f>HYPERLINK("http://dx.doi.org/10.1029/2021SW002981","http://dx.doi.org/10.1029/2021SW002981")</f>
        <v>http://dx.doi.org/10.1029/2021SW002981</v>
      </c>
      <c r="BG160" t="s">
        <v>74</v>
      </c>
      <c r="BH160" t="s">
        <v>74</v>
      </c>
      <c r="BI160">
        <v>12</v>
      </c>
      <c r="BJ160" t="s">
        <v>3505</v>
      </c>
      <c r="BK160" t="s">
        <v>103</v>
      </c>
      <c r="BL160" t="s">
        <v>3505</v>
      </c>
      <c r="BM160" t="s">
        <v>3506</v>
      </c>
      <c r="BN160" t="s">
        <v>74</v>
      </c>
      <c r="BO160" t="s">
        <v>659</v>
      </c>
      <c r="BP160" t="s">
        <v>74</v>
      </c>
      <c r="BQ160" t="s">
        <v>74</v>
      </c>
      <c r="BR160" t="s">
        <v>106</v>
      </c>
      <c r="BS160" t="s">
        <v>3542</v>
      </c>
      <c r="BT160" t="str">
        <f>HYPERLINK("https%3A%2F%2Fwww.webofscience.com%2Fwos%2Fwoscc%2Ffull-record%2FWOS:000763470300012","View Full Record in Web of Science")</f>
        <v>View Full Record in Web of Science</v>
      </c>
    </row>
    <row r="161" spans="1:72" x14ac:dyDescent="0.15">
      <c r="A161" t="s">
        <v>72</v>
      </c>
      <c r="B161" t="s">
        <v>3543</v>
      </c>
      <c r="C161" t="s">
        <v>74</v>
      </c>
      <c r="D161" t="s">
        <v>74</v>
      </c>
      <c r="E161" t="s">
        <v>74</v>
      </c>
      <c r="F161" t="s">
        <v>3544</v>
      </c>
      <c r="G161" t="s">
        <v>74</v>
      </c>
      <c r="H161" t="s">
        <v>74</v>
      </c>
      <c r="I161" t="s">
        <v>3545</v>
      </c>
      <c r="J161" t="s">
        <v>3546</v>
      </c>
      <c r="K161" t="s">
        <v>74</v>
      </c>
      <c r="L161" t="s">
        <v>74</v>
      </c>
      <c r="M161" t="s">
        <v>78</v>
      </c>
      <c r="N161" t="s">
        <v>79</v>
      </c>
      <c r="O161" t="s">
        <v>74</v>
      </c>
      <c r="P161" t="s">
        <v>74</v>
      </c>
      <c r="Q161" t="s">
        <v>74</v>
      </c>
      <c r="R161" t="s">
        <v>74</v>
      </c>
      <c r="S161" t="s">
        <v>74</v>
      </c>
      <c r="T161" t="s">
        <v>3547</v>
      </c>
      <c r="U161" t="s">
        <v>3548</v>
      </c>
      <c r="V161" t="s">
        <v>3549</v>
      </c>
      <c r="W161" t="s">
        <v>3550</v>
      </c>
      <c r="X161" t="s">
        <v>3551</v>
      </c>
      <c r="Y161" t="s">
        <v>3552</v>
      </c>
      <c r="Z161" t="s">
        <v>3553</v>
      </c>
      <c r="AA161" t="s">
        <v>3554</v>
      </c>
      <c r="AB161" t="s">
        <v>3555</v>
      </c>
      <c r="AC161" t="s">
        <v>3556</v>
      </c>
      <c r="AD161" t="s">
        <v>3557</v>
      </c>
      <c r="AE161" t="s">
        <v>3558</v>
      </c>
      <c r="AF161" t="s">
        <v>74</v>
      </c>
      <c r="AG161">
        <v>85</v>
      </c>
      <c r="AH161">
        <v>1</v>
      </c>
      <c r="AI161">
        <v>1</v>
      </c>
      <c r="AJ161">
        <v>3</v>
      </c>
      <c r="AK161">
        <v>8</v>
      </c>
      <c r="AL161" t="s">
        <v>605</v>
      </c>
      <c r="AM161" t="s">
        <v>606</v>
      </c>
      <c r="AN161" t="s">
        <v>607</v>
      </c>
      <c r="AO161" t="s">
        <v>3559</v>
      </c>
      <c r="AP161" t="s">
        <v>3560</v>
      </c>
      <c r="AQ161" t="s">
        <v>74</v>
      </c>
      <c r="AR161" t="s">
        <v>3561</v>
      </c>
      <c r="AS161" t="s">
        <v>3562</v>
      </c>
      <c r="AT161" t="s">
        <v>840</v>
      </c>
      <c r="AU161">
        <v>2022</v>
      </c>
      <c r="AV161">
        <v>37</v>
      </c>
      <c r="AW161">
        <v>2</v>
      </c>
      <c r="AX161" t="s">
        <v>74</v>
      </c>
      <c r="AY161" t="s">
        <v>74</v>
      </c>
      <c r="AZ161" t="s">
        <v>74</v>
      </c>
      <c r="BA161" t="s">
        <v>74</v>
      </c>
      <c r="BB161" t="s">
        <v>74</v>
      </c>
      <c r="BC161" t="s">
        <v>74</v>
      </c>
      <c r="BD161" t="s">
        <v>3563</v>
      </c>
      <c r="BE161" t="s">
        <v>3564</v>
      </c>
      <c r="BF161" t="str">
        <f>HYPERLINK("http://dx.doi.org/10.1029/2021PA004238","http://dx.doi.org/10.1029/2021PA004238")</f>
        <v>http://dx.doi.org/10.1029/2021PA004238</v>
      </c>
      <c r="BG161" t="s">
        <v>74</v>
      </c>
      <c r="BH161" t="s">
        <v>74</v>
      </c>
      <c r="BI161">
        <v>15</v>
      </c>
      <c r="BJ161" t="s">
        <v>3565</v>
      </c>
      <c r="BK161" t="s">
        <v>103</v>
      </c>
      <c r="BL161" t="s">
        <v>3566</v>
      </c>
      <c r="BM161" t="s">
        <v>3567</v>
      </c>
      <c r="BN161" t="s">
        <v>74</v>
      </c>
      <c r="BO161" t="s">
        <v>74</v>
      </c>
      <c r="BP161" t="s">
        <v>74</v>
      </c>
      <c r="BQ161" t="s">
        <v>74</v>
      </c>
      <c r="BR161" t="s">
        <v>106</v>
      </c>
      <c r="BS161" t="s">
        <v>3568</v>
      </c>
      <c r="BT161" t="str">
        <f>HYPERLINK("https%3A%2F%2Fwww.webofscience.com%2Fwos%2Fwoscc%2Ffull-record%2FWOS:000763496800007","View Full Record in Web of Science")</f>
        <v>View Full Record in Web of Science</v>
      </c>
    </row>
    <row r="162" spans="1:72" x14ac:dyDescent="0.15">
      <c r="A162" t="s">
        <v>72</v>
      </c>
      <c r="B162" t="s">
        <v>3569</v>
      </c>
      <c r="C162" t="s">
        <v>74</v>
      </c>
      <c r="D162" t="s">
        <v>74</v>
      </c>
      <c r="E162" t="s">
        <v>74</v>
      </c>
      <c r="F162" t="s">
        <v>3570</v>
      </c>
      <c r="G162" t="s">
        <v>74</v>
      </c>
      <c r="H162" t="s">
        <v>74</v>
      </c>
      <c r="I162" t="s">
        <v>3571</v>
      </c>
      <c r="J162" t="s">
        <v>3572</v>
      </c>
      <c r="K162" t="s">
        <v>74</v>
      </c>
      <c r="L162" t="s">
        <v>74</v>
      </c>
      <c r="M162" t="s">
        <v>78</v>
      </c>
      <c r="N162" t="s">
        <v>79</v>
      </c>
      <c r="O162" t="s">
        <v>74</v>
      </c>
      <c r="P162" t="s">
        <v>74</v>
      </c>
      <c r="Q162" t="s">
        <v>74</v>
      </c>
      <c r="R162" t="s">
        <v>74</v>
      </c>
      <c r="S162" t="s">
        <v>74</v>
      </c>
      <c r="T162" t="s">
        <v>3573</v>
      </c>
      <c r="U162" t="s">
        <v>3574</v>
      </c>
      <c r="V162" t="s">
        <v>3575</v>
      </c>
      <c r="W162" t="s">
        <v>3576</v>
      </c>
      <c r="X162" t="s">
        <v>3577</v>
      </c>
      <c r="Y162" t="s">
        <v>3578</v>
      </c>
      <c r="Z162" t="s">
        <v>3579</v>
      </c>
      <c r="AA162" t="s">
        <v>3580</v>
      </c>
      <c r="AB162" t="s">
        <v>3581</v>
      </c>
      <c r="AC162" t="s">
        <v>3582</v>
      </c>
      <c r="AD162" t="s">
        <v>3583</v>
      </c>
      <c r="AE162" t="s">
        <v>3584</v>
      </c>
      <c r="AF162" t="s">
        <v>74</v>
      </c>
      <c r="AG162">
        <v>90</v>
      </c>
      <c r="AH162">
        <v>9</v>
      </c>
      <c r="AI162">
        <v>9</v>
      </c>
      <c r="AJ162">
        <v>2</v>
      </c>
      <c r="AK162">
        <v>18</v>
      </c>
      <c r="AL162" t="s">
        <v>310</v>
      </c>
      <c r="AM162" t="s">
        <v>311</v>
      </c>
      <c r="AN162" t="s">
        <v>312</v>
      </c>
      <c r="AO162" t="s">
        <v>3585</v>
      </c>
      <c r="AP162" t="s">
        <v>3586</v>
      </c>
      <c r="AQ162" t="s">
        <v>74</v>
      </c>
      <c r="AR162" t="s">
        <v>3587</v>
      </c>
      <c r="AS162" t="s">
        <v>3588</v>
      </c>
      <c r="AT162" t="s">
        <v>99</v>
      </c>
      <c r="AU162">
        <v>2022</v>
      </c>
      <c r="AV162">
        <v>136</v>
      </c>
      <c r="AW162" t="s">
        <v>74</v>
      </c>
      <c r="AX162" t="s">
        <v>74</v>
      </c>
      <c r="AY162" t="s">
        <v>74</v>
      </c>
      <c r="AZ162" t="s">
        <v>74</v>
      </c>
      <c r="BA162" t="s">
        <v>74</v>
      </c>
      <c r="BB162" t="s">
        <v>74</v>
      </c>
      <c r="BC162" t="s">
        <v>74</v>
      </c>
      <c r="BD162">
        <v>108596</v>
      </c>
      <c r="BE162" t="s">
        <v>3589</v>
      </c>
      <c r="BF162" t="str">
        <f>HYPERLINK("http://dx.doi.org/10.1016/j.ecolind.2022.108596","http://dx.doi.org/10.1016/j.ecolind.2022.108596")</f>
        <v>http://dx.doi.org/10.1016/j.ecolind.2022.108596</v>
      </c>
      <c r="BG162" t="s">
        <v>74</v>
      </c>
      <c r="BH162" t="s">
        <v>101</v>
      </c>
      <c r="BI162">
        <v>9</v>
      </c>
      <c r="BJ162" t="s">
        <v>3590</v>
      </c>
      <c r="BK162" t="s">
        <v>103</v>
      </c>
      <c r="BL162" t="s">
        <v>1082</v>
      </c>
      <c r="BM162" t="s">
        <v>3591</v>
      </c>
      <c r="BN162" t="s">
        <v>74</v>
      </c>
      <c r="BO162" t="s">
        <v>445</v>
      </c>
      <c r="BP162" t="s">
        <v>74</v>
      </c>
      <c r="BQ162" t="s">
        <v>74</v>
      </c>
      <c r="BR162" t="s">
        <v>106</v>
      </c>
      <c r="BS162" t="s">
        <v>3592</v>
      </c>
      <c r="BT162" t="str">
        <f>HYPERLINK("https%3A%2F%2Fwww.webofscience.com%2Fwos%2Fwoscc%2Ffull-record%2FWOS:000761394300003","View Full Record in Web of Science")</f>
        <v>View Full Record in Web of Science</v>
      </c>
    </row>
    <row r="163" spans="1:72" x14ac:dyDescent="0.15">
      <c r="A163" t="s">
        <v>72</v>
      </c>
      <c r="B163" t="s">
        <v>3593</v>
      </c>
      <c r="C163" t="s">
        <v>74</v>
      </c>
      <c r="D163" t="s">
        <v>74</v>
      </c>
      <c r="E163" t="s">
        <v>74</v>
      </c>
      <c r="F163" t="s">
        <v>3594</v>
      </c>
      <c r="G163" t="s">
        <v>74</v>
      </c>
      <c r="H163" t="s">
        <v>74</v>
      </c>
      <c r="I163" t="s">
        <v>3595</v>
      </c>
      <c r="J163" t="s">
        <v>3572</v>
      </c>
      <c r="K163" t="s">
        <v>74</v>
      </c>
      <c r="L163" t="s">
        <v>74</v>
      </c>
      <c r="M163" t="s">
        <v>78</v>
      </c>
      <c r="N163" t="s">
        <v>79</v>
      </c>
      <c r="O163" t="s">
        <v>74</v>
      </c>
      <c r="P163" t="s">
        <v>74</v>
      </c>
      <c r="Q163" t="s">
        <v>74</v>
      </c>
      <c r="R163" t="s">
        <v>74</v>
      </c>
      <c r="S163" t="s">
        <v>74</v>
      </c>
      <c r="T163" t="s">
        <v>3596</v>
      </c>
      <c r="U163" t="s">
        <v>3597</v>
      </c>
      <c r="V163" t="s">
        <v>3598</v>
      </c>
      <c r="W163" t="s">
        <v>3599</v>
      </c>
      <c r="X163" t="s">
        <v>3600</v>
      </c>
      <c r="Y163" t="s">
        <v>3601</v>
      </c>
      <c r="Z163" t="s">
        <v>3602</v>
      </c>
      <c r="AA163" t="s">
        <v>74</v>
      </c>
      <c r="AB163" t="s">
        <v>3603</v>
      </c>
      <c r="AC163" t="s">
        <v>3604</v>
      </c>
      <c r="AD163" t="s">
        <v>3605</v>
      </c>
      <c r="AE163" t="s">
        <v>3606</v>
      </c>
      <c r="AF163" t="s">
        <v>74</v>
      </c>
      <c r="AG163">
        <v>71</v>
      </c>
      <c r="AH163">
        <v>18</v>
      </c>
      <c r="AI163">
        <v>18</v>
      </c>
      <c r="AJ163">
        <v>14</v>
      </c>
      <c r="AK163">
        <v>61</v>
      </c>
      <c r="AL163" t="s">
        <v>310</v>
      </c>
      <c r="AM163" t="s">
        <v>311</v>
      </c>
      <c r="AN163" t="s">
        <v>312</v>
      </c>
      <c r="AO163" t="s">
        <v>3585</v>
      </c>
      <c r="AP163" t="s">
        <v>3586</v>
      </c>
      <c r="AQ163" t="s">
        <v>74</v>
      </c>
      <c r="AR163" t="s">
        <v>3587</v>
      </c>
      <c r="AS163" t="s">
        <v>3588</v>
      </c>
      <c r="AT163" t="s">
        <v>840</v>
      </c>
      <c r="AU163">
        <v>2022</v>
      </c>
      <c r="AV163">
        <v>135</v>
      </c>
      <c r="AW163" t="s">
        <v>74</v>
      </c>
      <c r="AX163" t="s">
        <v>74</v>
      </c>
      <c r="AY163" t="s">
        <v>74</v>
      </c>
      <c r="AZ163" t="s">
        <v>74</v>
      </c>
      <c r="BA163" t="s">
        <v>74</v>
      </c>
      <c r="BB163" t="s">
        <v>74</v>
      </c>
      <c r="BC163" t="s">
        <v>74</v>
      </c>
      <c r="BD163">
        <v>108509</v>
      </c>
      <c r="BE163" t="s">
        <v>3607</v>
      </c>
      <c r="BF163" t="str">
        <f>HYPERLINK("http://dx.doi.org/10.1016/j.ecolind.2021.108509","http://dx.doi.org/10.1016/j.ecolind.2021.108509")</f>
        <v>http://dx.doi.org/10.1016/j.ecolind.2021.108509</v>
      </c>
      <c r="BG163" t="s">
        <v>74</v>
      </c>
      <c r="BH163" t="s">
        <v>74</v>
      </c>
      <c r="BI163">
        <v>10</v>
      </c>
      <c r="BJ163" t="s">
        <v>3590</v>
      </c>
      <c r="BK163" t="s">
        <v>103</v>
      </c>
      <c r="BL163" t="s">
        <v>1082</v>
      </c>
      <c r="BM163" t="s">
        <v>3608</v>
      </c>
      <c r="BN163" t="s">
        <v>74</v>
      </c>
      <c r="BO163" t="s">
        <v>445</v>
      </c>
      <c r="BP163" t="s">
        <v>74</v>
      </c>
      <c r="BQ163" t="s">
        <v>74</v>
      </c>
      <c r="BR163" t="s">
        <v>106</v>
      </c>
      <c r="BS163" t="s">
        <v>3609</v>
      </c>
      <c r="BT163" t="str">
        <f>HYPERLINK("https%3A%2F%2Fwww.webofscience.com%2Fwos%2Fwoscc%2Ffull-record%2FWOS:000761393800001","View Full Record in Web of Science")</f>
        <v>View Full Record in Web of Science</v>
      </c>
    </row>
    <row r="164" spans="1:72" x14ac:dyDescent="0.15">
      <c r="A164" t="s">
        <v>72</v>
      </c>
      <c r="B164" t="s">
        <v>3610</v>
      </c>
      <c r="C164" t="s">
        <v>74</v>
      </c>
      <c r="D164" t="s">
        <v>74</v>
      </c>
      <c r="E164" t="s">
        <v>74</v>
      </c>
      <c r="F164" t="s">
        <v>3611</v>
      </c>
      <c r="G164" t="s">
        <v>74</v>
      </c>
      <c r="H164" t="s">
        <v>74</v>
      </c>
      <c r="I164" t="s">
        <v>3612</v>
      </c>
      <c r="J164" t="s">
        <v>3613</v>
      </c>
      <c r="K164" t="s">
        <v>74</v>
      </c>
      <c r="L164" t="s">
        <v>74</v>
      </c>
      <c r="M164" t="s">
        <v>78</v>
      </c>
      <c r="N164" t="s">
        <v>79</v>
      </c>
      <c r="O164" t="s">
        <v>74</v>
      </c>
      <c r="P164" t="s">
        <v>74</v>
      </c>
      <c r="Q164" t="s">
        <v>74</v>
      </c>
      <c r="R164" t="s">
        <v>74</v>
      </c>
      <c r="S164" t="s">
        <v>74</v>
      </c>
      <c r="T164" t="s">
        <v>3614</v>
      </c>
      <c r="U164" t="s">
        <v>3615</v>
      </c>
      <c r="V164" t="s">
        <v>3616</v>
      </c>
      <c r="W164" t="s">
        <v>3617</v>
      </c>
      <c r="X164" t="s">
        <v>3618</v>
      </c>
      <c r="Y164" t="s">
        <v>3619</v>
      </c>
      <c r="Z164" t="s">
        <v>3620</v>
      </c>
      <c r="AA164" t="s">
        <v>3621</v>
      </c>
      <c r="AB164" t="s">
        <v>3622</v>
      </c>
      <c r="AC164" t="s">
        <v>74</v>
      </c>
      <c r="AD164" t="s">
        <v>74</v>
      </c>
      <c r="AE164" t="s">
        <v>74</v>
      </c>
      <c r="AF164" t="s">
        <v>74</v>
      </c>
      <c r="AG164">
        <v>87</v>
      </c>
      <c r="AH164">
        <v>6</v>
      </c>
      <c r="AI164">
        <v>7</v>
      </c>
      <c r="AJ164">
        <v>1</v>
      </c>
      <c r="AK164">
        <v>11</v>
      </c>
      <c r="AL164" t="s">
        <v>171</v>
      </c>
      <c r="AM164" t="s">
        <v>172</v>
      </c>
      <c r="AN164" t="s">
        <v>173</v>
      </c>
      <c r="AO164" t="s">
        <v>3623</v>
      </c>
      <c r="AP164" t="s">
        <v>74</v>
      </c>
      <c r="AQ164" t="s">
        <v>74</v>
      </c>
      <c r="AR164" t="s">
        <v>3624</v>
      </c>
      <c r="AS164" t="s">
        <v>3625</v>
      </c>
      <c r="AT164" t="s">
        <v>840</v>
      </c>
      <c r="AU164">
        <v>2022</v>
      </c>
      <c r="AV164">
        <v>12</v>
      </c>
      <c r="AW164">
        <v>2</v>
      </c>
      <c r="AX164" t="s">
        <v>74</v>
      </c>
      <c r="AY164" t="s">
        <v>74</v>
      </c>
      <c r="AZ164" t="s">
        <v>74</v>
      </c>
      <c r="BA164" t="s">
        <v>74</v>
      </c>
      <c r="BB164" t="s">
        <v>74</v>
      </c>
      <c r="BC164" t="s">
        <v>74</v>
      </c>
      <c r="BD164" t="s">
        <v>3626</v>
      </c>
      <c r="BE164" t="s">
        <v>3627</v>
      </c>
      <c r="BF164" t="str">
        <f>HYPERLINK("http://dx.doi.org/10.1002/ece3.8571","http://dx.doi.org/10.1002/ece3.8571")</f>
        <v>http://dx.doi.org/10.1002/ece3.8571</v>
      </c>
      <c r="BG164" t="s">
        <v>74</v>
      </c>
      <c r="BH164" t="s">
        <v>74</v>
      </c>
      <c r="BI164">
        <v>13</v>
      </c>
      <c r="BJ164" t="s">
        <v>3628</v>
      </c>
      <c r="BK164" t="s">
        <v>103</v>
      </c>
      <c r="BL164" t="s">
        <v>3629</v>
      </c>
      <c r="BM164" t="s">
        <v>3630</v>
      </c>
      <c r="BN164">
        <v>35154653</v>
      </c>
      <c r="BO164" t="s">
        <v>640</v>
      </c>
      <c r="BP164" t="s">
        <v>74</v>
      </c>
      <c r="BQ164" t="s">
        <v>74</v>
      </c>
      <c r="BR164" t="s">
        <v>106</v>
      </c>
      <c r="BS164" t="s">
        <v>3631</v>
      </c>
      <c r="BT164" t="str">
        <f>HYPERLINK("https%3A%2F%2Fwww.webofscience.com%2Fwos%2Fwoscc%2Ffull-record%2FWOS:000760366500059","View Full Record in Web of Science")</f>
        <v>View Full Record in Web of Science</v>
      </c>
    </row>
    <row r="165" spans="1:72" x14ac:dyDescent="0.15">
      <c r="A165" t="s">
        <v>72</v>
      </c>
      <c r="B165" t="s">
        <v>3632</v>
      </c>
      <c r="C165" t="s">
        <v>74</v>
      </c>
      <c r="D165" t="s">
        <v>74</v>
      </c>
      <c r="E165" t="s">
        <v>74</v>
      </c>
      <c r="F165" t="s">
        <v>3633</v>
      </c>
      <c r="G165" t="s">
        <v>74</v>
      </c>
      <c r="H165" t="s">
        <v>74</v>
      </c>
      <c r="I165" t="s">
        <v>3634</v>
      </c>
      <c r="J165" t="s">
        <v>3635</v>
      </c>
      <c r="K165" t="s">
        <v>74</v>
      </c>
      <c r="L165" t="s">
        <v>74</v>
      </c>
      <c r="M165" t="s">
        <v>78</v>
      </c>
      <c r="N165" t="s">
        <v>79</v>
      </c>
      <c r="O165" t="s">
        <v>74</v>
      </c>
      <c r="P165" t="s">
        <v>74</v>
      </c>
      <c r="Q165" t="s">
        <v>74</v>
      </c>
      <c r="R165" t="s">
        <v>74</v>
      </c>
      <c r="S165" t="s">
        <v>74</v>
      </c>
      <c r="T165" t="s">
        <v>74</v>
      </c>
      <c r="U165" t="s">
        <v>3636</v>
      </c>
      <c r="V165" t="s">
        <v>3637</v>
      </c>
      <c r="W165" t="s">
        <v>3638</v>
      </c>
      <c r="X165" t="s">
        <v>3639</v>
      </c>
      <c r="Y165" t="s">
        <v>3640</v>
      </c>
      <c r="Z165" t="s">
        <v>3641</v>
      </c>
      <c r="AA165" t="s">
        <v>74</v>
      </c>
      <c r="AB165" t="s">
        <v>3642</v>
      </c>
      <c r="AC165" t="s">
        <v>3643</v>
      </c>
      <c r="AD165" t="s">
        <v>3644</v>
      </c>
      <c r="AE165" t="s">
        <v>3645</v>
      </c>
      <c r="AF165" t="s">
        <v>74</v>
      </c>
      <c r="AG165">
        <v>101</v>
      </c>
      <c r="AH165">
        <v>4</v>
      </c>
      <c r="AI165">
        <v>6</v>
      </c>
      <c r="AJ165">
        <v>3</v>
      </c>
      <c r="AK165">
        <v>12</v>
      </c>
      <c r="AL165" t="s">
        <v>3646</v>
      </c>
      <c r="AM165" t="s">
        <v>3647</v>
      </c>
      <c r="AN165" t="s">
        <v>3648</v>
      </c>
      <c r="AO165" t="s">
        <v>3649</v>
      </c>
      <c r="AP165" t="s">
        <v>3650</v>
      </c>
      <c r="AQ165" t="s">
        <v>74</v>
      </c>
      <c r="AR165" t="s">
        <v>3651</v>
      </c>
      <c r="AS165" t="s">
        <v>3652</v>
      </c>
      <c r="AT165" t="s">
        <v>840</v>
      </c>
      <c r="AU165">
        <v>2022</v>
      </c>
      <c r="AV165">
        <v>151</v>
      </c>
      <c r="AW165">
        <v>2</v>
      </c>
      <c r="AX165" t="s">
        <v>74</v>
      </c>
      <c r="AY165" t="s">
        <v>74</v>
      </c>
      <c r="AZ165" t="s">
        <v>74</v>
      </c>
      <c r="BA165" t="s">
        <v>74</v>
      </c>
      <c r="BB165">
        <v>1380</v>
      </c>
      <c r="BC165">
        <v>1392</v>
      </c>
      <c r="BD165" t="s">
        <v>74</v>
      </c>
      <c r="BE165" t="s">
        <v>3653</v>
      </c>
      <c r="BF165" t="str">
        <f>HYPERLINK("http://dx.doi.org/10.1121/10.0009429","http://dx.doi.org/10.1121/10.0009429")</f>
        <v>http://dx.doi.org/10.1121/10.0009429</v>
      </c>
      <c r="BG165" t="s">
        <v>74</v>
      </c>
      <c r="BH165" t="s">
        <v>74</v>
      </c>
      <c r="BI165">
        <v>13</v>
      </c>
      <c r="BJ165" t="s">
        <v>3654</v>
      </c>
      <c r="BK165" t="s">
        <v>103</v>
      </c>
      <c r="BL165" t="s">
        <v>3654</v>
      </c>
      <c r="BM165" t="s">
        <v>3655</v>
      </c>
      <c r="BN165">
        <v>35232073</v>
      </c>
      <c r="BO165" t="s">
        <v>749</v>
      </c>
      <c r="BP165" t="s">
        <v>74</v>
      </c>
      <c r="BQ165" t="s">
        <v>74</v>
      </c>
      <c r="BR165" t="s">
        <v>106</v>
      </c>
      <c r="BS165" t="s">
        <v>3656</v>
      </c>
      <c r="BT165" t="str">
        <f>HYPERLINK("https%3A%2F%2Fwww.webofscience.com%2Fwos%2Fwoscc%2Ffull-record%2FWOS:000763370100002","View Full Record in Web of Science")</f>
        <v>View Full Record in Web of Science</v>
      </c>
    </row>
    <row r="166" spans="1:72" x14ac:dyDescent="0.15">
      <c r="A166" t="s">
        <v>72</v>
      </c>
      <c r="B166" t="s">
        <v>3657</v>
      </c>
      <c r="C166" t="s">
        <v>74</v>
      </c>
      <c r="D166" t="s">
        <v>74</v>
      </c>
      <c r="E166" t="s">
        <v>74</v>
      </c>
      <c r="F166" t="s">
        <v>3658</v>
      </c>
      <c r="G166" t="s">
        <v>74</v>
      </c>
      <c r="H166" t="s">
        <v>74</v>
      </c>
      <c r="I166" t="s">
        <v>3659</v>
      </c>
      <c r="J166" t="s">
        <v>3660</v>
      </c>
      <c r="K166" t="s">
        <v>74</v>
      </c>
      <c r="L166" t="s">
        <v>74</v>
      </c>
      <c r="M166" t="s">
        <v>78</v>
      </c>
      <c r="N166" t="s">
        <v>79</v>
      </c>
      <c r="O166" t="s">
        <v>74</v>
      </c>
      <c r="P166" t="s">
        <v>74</v>
      </c>
      <c r="Q166" t="s">
        <v>74</v>
      </c>
      <c r="R166" t="s">
        <v>74</v>
      </c>
      <c r="S166" t="s">
        <v>74</v>
      </c>
      <c r="T166" t="s">
        <v>3661</v>
      </c>
      <c r="U166" t="s">
        <v>3662</v>
      </c>
      <c r="V166" t="s">
        <v>3663</v>
      </c>
      <c r="W166" t="s">
        <v>3664</v>
      </c>
      <c r="X166" t="s">
        <v>3665</v>
      </c>
      <c r="Y166" t="s">
        <v>3666</v>
      </c>
      <c r="Z166" t="s">
        <v>3667</v>
      </c>
      <c r="AA166" t="s">
        <v>3668</v>
      </c>
      <c r="AB166" t="s">
        <v>3669</v>
      </c>
      <c r="AC166" t="s">
        <v>3670</v>
      </c>
      <c r="AD166" t="s">
        <v>3671</v>
      </c>
      <c r="AE166" t="s">
        <v>3672</v>
      </c>
      <c r="AF166" t="s">
        <v>74</v>
      </c>
      <c r="AG166">
        <v>50</v>
      </c>
      <c r="AH166">
        <v>1</v>
      </c>
      <c r="AI166">
        <v>1</v>
      </c>
      <c r="AJ166">
        <v>1</v>
      </c>
      <c r="AK166">
        <v>8</v>
      </c>
      <c r="AL166" t="s">
        <v>2632</v>
      </c>
      <c r="AM166" t="s">
        <v>2633</v>
      </c>
      <c r="AN166" t="s">
        <v>2634</v>
      </c>
      <c r="AO166" t="s">
        <v>74</v>
      </c>
      <c r="AP166" t="s">
        <v>3673</v>
      </c>
      <c r="AQ166" t="s">
        <v>74</v>
      </c>
      <c r="AR166" t="s">
        <v>3660</v>
      </c>
      <c r="AS166" t="s">
        <v>3674</v>
      </c>
      <c r="AT166" t="s">
        <v>840</v>
      </c>
      <c r="AU166">
        <v>2022</v>
      </c>
      <c r="AV166">
        <v>12</v>
      </c>
      <c r="AW166">
        <v>2</v>
      </c>
      <c r="AX166" t="s">
        <v>74</v>
      </c>
      <c r="AY166" t="s">
        <v>74</v>
      </c>
      <c r="AZ166" t="s">
        <v>74</v>
      </c>
      <c r="BA166" t="s">
        <v>74</v>
      </c>
      <c r="BB166" t="s">
        <v>74</v>
      </c>
      <c r="BC166" t="s">
        <v>74</v>
      </c>
      <c r="BD166">
        <v>535</v>
      </c>
      <c r="BE166" t="s">
        <v>3675</v>
      </c>
      <c r="BF166" t="str">
        <f>HYPERLINK("http://dx.doi.org/10.3390/agronomy12020535","http://dx.doi.org/10.3390/agronomy12020535")</f>
        <v>http://dx.doi.org/10.3390/agronomy12020535</v>
      </c>
      <c r="BG166" t="s">
        <v>74</v>
      </c>
      <c r="BH166" t="s">
        <v>74</v>
      </c>
      <c r="BI166">
        <v>14</v>
      </c>
      <c r="BJ166" t="s">
        <v>3676</v>
      </c>
      <c r="BK166" t="s">
        <v>103</v>
      </c>
      <c r="BL166" t="s">
        <v>3677</v>
      </c>
      <c r="BM166" t="s">
        <v>3678</v>
      </c>
      <c r="BN166" t="s">
        <v>74</v>
      </c>
      <c r="BO166" t="s">
        <v>445</v>
      </c>
      <c r="BP166" t="s">
        <v>74</v>
      </c>
      <c r="BQ166" t="s">
        <v>74</v>
      </c>
      <c r="BR166" t="s">
        <v>106</v>
      </c>
      <c r="BS166" t="s">
        <v>3679</v>
      </c>
      <c r="BT166" t="str">
        <f>HYPERLINK("https%3A%2F%2Fwww.webofscience.com%2Fwos%2Fwoscc%2Ffull-record%2FWOS:000763929300001","View Full Record in Web of Science")</f>
        <v>View Full Record in Web of Science</v>
      </c>
    </row>
    <row r="167" spans="1:72" x14ac:dyDescent="0.15">
      <c r="A167" t="s">
        <v>72</v>
      </c>
      <c r="B167" t="s">
        <v>3680</v>
      </c>
      <c r="C167" t="s">
        <v>74</v>
      </c>
      <c r="D167" t="s">
        <v>74</v>
      </c>
      <c r="E167" t="s">
        <v>74</v>
      </c>
      <c r="F167" t="s">
        <v>3681</v>
      </c>
      <c r="G167" t="s">
        <v>74</v>
      </c>
      <c r="H167" t="s">
        <v>74</v>
      </c>
      <c r="I167" t="s">
        <v>3682</v>
      </c>
      <c r="J167" t="s">
        <v>3683</v>
      </c>
      <c r="K167" t="s">
        <v>74</v>
      </c>
      <c r="L167" t="s">
        <v>74</v>
      </c>
      <c r="M167" t="s">
        <v>78</v>
      </c>
      <c r="N167" t="s">
        <v>79</v>
      </c>
      <c r="O167" t="s">
        <v>74</v>
      </c>
      <c r="P167" t="s">
        <v>74</v>
      </c>
      <c r="Q167" t="s">
        <v>74</v>
      </c>
      <c r="R167" t="s">
        <v>74</v>
      </c>
      <c r="S167" t="s">
        <v>74</v>
      </c>
      <c r="T167" t="s">
        <v>3684</v>
      </c>
      <c r="U167" t="s">
        <v>74</v>
      </c>
      <c r="V167" t="s">
        <v>3685</v>
      </c>
      <c r="W167" t="s">
        <v>3686</v>
      </c>
      <c r="X167" t="s">
        <v>3687</v>
      </c>
      <c r="Y167" t="s">
        <v>3688</v>
      </c>
      <c r="Z167" t="s">
        <v>3689</v>
      </c>
      <c r="AA167" t="s">
        <v>74</v>
      </c>
      <c r="AB167" t="s">
        <v>3690</v>
      </c>
      <c r="AC167" t="s">
        <v>3691</v>
      </c>
      <c r="AD167" t="s">
        <v>3692</v>
      </c>
      <c r="AE167" t="s">
        <v>3693</v>
      </c>
      <c r="AF167" t="s">
        <v>74</v>
      </c>
      <c r="AG167">
        <v>21</v>
      </c>
      <c r="AH167">
        <v>2</v>
      </c>
      <c r="AI167">
        <v>3</v>
      </c>
      <c r="AJ167">
        <v>1</v>
      </c>
      <c r="AK167">
        <v>4</v>
      </c>
      <c r="AL167" t="s">
        <v>2632</v>
      </c>
      <c r="AM167" t="s">
        <v>2633</v>
      </c>
      <c r="AN167" t="s">
        <v>2634</v>
      </c>
      <c r="AO167" t="s">
        <v>74</v>
      </c>
      <c r="AP167" t="s">
        <v>3694</v>
      </c>
      <c r="AQ167" t="s">
        <v>74</v>
      </c>
      <c r="AR167" t="s">
        <v>3683</v>
      </c>
      <c r="AS167" t="s">
        <v>3695</v>
      </c>
      <c r="AT167" t="s">
        <v>840</v>
      </c>
      <c r="AU167">
        <v>2022</v>
      </c>
      <c r="AV167">
        <v>10</v>
      </c>
      <c r="AW167">
        <v>2</v>
      </c>
      <c r="AX167" t="s">
        <v>74</v>
      </c>
      <c r="AY167" t="s">
        <v>74</v>
      </c>
      <c r="AZ167" t="s">
        <v>74</v>
      </c>
      <c r="BA167" t="s">
        <v>74</v>
      </c>
      <c r="BB167" t="s">
        <v>74</v>
      </c>
      <c r="BC167" t="s">
        <v>74</v>
      </c>
      <c r="BD167">
        <v>448</v>
      </c>
      <c r="BE167" t="s">
        <v>3696</v>
      </c>
      <c r="BF167" t="str">
        <f>HYPERLINK("http://dx.doi.org/10.3390/biomedicines10020448","http://dx.doi.org/10.3390/biomedicines10020448")</f>
        <v>http://dx.doi.org/10.3390/biomedicines10020448</v>
      </c>
      <c r="BG167" t="s">
        <v>74</v>
      </c>
      <c r="BH167" t="s">
        <v>74</v>
      </c>
      <c r="BI167">
        <v>15</v>
      </c>
      <c r="BJ167" t="s">
        <v>3697</v>
      </c>
      <c r="BK167" t="s">
        <v>103</v>
      </c>
      <c r="BL167" t="s">
        <v>3698</v>
      </c>
      <c r="BM167" t="s">
        <v>3699</v>
      </c>
      <c r="BN167">
        <v>35203657</v>
      </c>
      <c r="BO167" t="s">
        <v>211</v>
      </c>
      <c r="BP167" t="s">
        <v>74</v>
      </c>
      <c r="BQ167" t="s">
        <v>74</v>
      </c>
      <c r="BR167" t="s">
        <v>106</v>
      </c>
      <c r="BS167" t="s">
        <v>3700</v>
      </c>
      <c r="BT167" t="str">
        <f>HYPERLINK("https%3A%2F%2Fwww.webofscience.com%2Fwos%2Fwoscc%2Ffull-record%2FWOS:000765527800001","View Full Record in Web of Science")</f>
        <v>View Full Record in Web of Science</v>
      </c>
    </row>
    <row r="168" spans="1:72" x14ac:dyDescent="0.15">
      <c r="A168" t="s">
        <v>72</v>
      </c>
      <c r="B168" t="s">
        <v>3701</v>
      </c>
      <c r="C168" t="s">
        <v>74</v>
      </c>
      <c r="D168" t="s">
        <v>74</v>
      </c>
      <c r="E168" t="s">
        <v>74</v>
      </c>
      <c r="F168" t="s">
        <v>3702</v>
      </c>
      <c r="G168" t="s">
        <v>74</v>
      </c>
      <c r="H168" t="s">
        <v>74</v>
      </c>
      <c r="I168" t="s">
        <v>3703</v>
      </c>
      <c r="J168" t="s">
        <v>3704</v>
      </c>
      <c r="K168" t="s">
        <v>74</v>
      </c>
      <c r="L168" t="s">
        <v>74</v>
      </c>
      <c r="M168" t="s">
        <v>78</v>
      </c>
      <c r="N168" t="s">
        <v>79</v>
      </c>
      <c r="O168" t="s">
        <v>74</v>
      </c>
      <c r="P168" t="s">
        <v>74</v>
      </c>
      <c r="Q168" t="s">
        <v>74</v>
      </c>
      <c r="R168" t="s">
        <v>74</v>
      </c>
      <c r="S168" t="s">
        <v>74</v>
      </c>
      <c r="T168" t="s">
        <v>3705</v>
      </c>
      <c r="U168" t="s">
        <v>3706</v>
      </c>
      <c r="V168" t="s">
        <v>3707</v>
      </c>
      <c r="W168" t="s">
        <v>3708</v>
      </c>
      <c r="X168" t="s">
        <v>3709</v>
      </c>
      <c r="Y168" t="s">
        <v>3710</v>
      </c>
      <c r="Z168" t="s">
        <v>3711</v>
      </c>
      <c r="AA168" t="s">
        <v>3712</v>
      </c>
      <c r="AB168" t="s">
        <v>3713</v>
      </c>
      <c r="AC168" t="s">
        <v>74</v>
      </c>
      <c r="AD168" t="s">
        <v>74</v>
      </c>
      <c r="AE168" t="s">
        <v>74</v>
      </c>
      <c r="AF168" t="s">
        <v>74</v>
      </c>
      <c r="AG168">
        <v>58</v>
      </c>
      <c r="AH168">
        <v>5</v>
      </c>
      <c r="AI168">
        <v>6</v>
      </c>
      <c r="AJ168">
        <v>1</v>
      </c>
      <c r="AK168">
        <v>22</v>
      </c>
      <c r="AL168" t="s">
        <v>2632</v>
      </c>
      <c r="AM168" t="s">
        <v>2633</v>
      </c>
      <c r="AN168" t="s">
        <v>2634</v>
      </c>
      <c r="AO168" t="s">
        <v>74</v>
      </c>
      <c r="AP168" t="s">
        <v>3714</v>
      </c>
      <c r="AQ168" t="s">
        <v>74</v>
      </c>
      <c r="AR168" t="s">
        <v>3704</v>
      </c>
      <c r="AS168" t="s">
        <v>3715</v>
      </c>
      <c r="AT168" t="s">
        <v>840</v>
      </c>
      <c r="AU168">
        <v>2022</v>
      </c>
      <c r="AV168">
        <v>11</v>
      </c>
      <c r="AW168">
        <v>2</v>
      </c>
      <c r="AX168" t="s">
        <v>74</v>
      </c>
      <c r="AY168" t="s">
        <v>74</v>
      </c>
      <c r="AZ168" t="s">
        <v>74</v>
      </c>
      <c r="BA168" t="s">
        <v>74</v>
      </c>
      <c r="BB168" t="s">
        <v>74</v>
      </c>
      <c r="BC168" t="s">
        <v>74</v>
      </c>
      <c r="BD168">
        <v>182</v>
      </c>
      <c r="BE168" t="s">
        <v>3716</v>
      </c>
      <c r="BF168" t="str">
        <f>HYPERLINK("http://dx.doi.org/10.3390/biology11020182","http://dx.doi.org/10.3390/biology11020182")</f>
        <v>http://dx.doi.org/10.3390/biology11020182</v>
      </c>
      <c r="BG168" t="s">
        <v>74</v>
      </c>
      <c r="BH168" t="s">
        <v>74</v>
      </c>
      <c r="BI168">
        <v>15</v>
      </c>
      <c r="BJ168" t="s">
        <v>1177</v>
      </c>
      <c r="BK168" t="s">
        <v>103</v>
      </c>
      <c r="BL168" t="s">
        <v>1178</v>
      </c>
      <c r="BM168" t="s">
        <v>3717</v>
      </c>
      <c r="BN168">
        <v>35205051</v>
      </c>
      <c r="BO168" t="s">
        <v>292</v>
      </c>
      <c r="BP168" t="s">
        <v>74</v>
      </c>
      <c r="BQ168" t="s">
        <v>74</v>
      </c>
      <c r="BR168" t="s">
        <v>106</v>
      </c>
      <c r="BS168" t="s">
        <v>3718</v>
      </c>
      <c r="BT168" t="str">
        <f>HYPERLINK("https%3A%2F%2Fwww.webofscience.com%2Fwos%2Fwoscc%2Ffull-record%2FWOS:000763922900001","View Full Record in Web of Science")</f>
        <v>View Full Record in Web of Science</v>
      </c>
    </row>
    <row r="169" spans="1:72" x14ac:dyDescent="0.15">
      <c r="A169" t="s">
        <v>72</v>
      </c>
      <c r="B169" t="s">
        <v>3719</v>
      </c>
      <c r="C169" t="s">
        <v>74</v>
      </c>
      <c r="D169" t="s">
        <v>74</v>
      </c>
      <c r="E169" t="s">
        <v>74</v>
      </c>
      <c r="F169" t="s">
        <v>3720</v>
      </c>
      <c r="G169" t="s">
        <v>74</v>
      </c>
      <c r="H169" t="s">
        <v>74</v>
      </c>
      <c r="I169" t="s">
        <v>3721</v>
      </c>
      <c r="J169" t="s">
        <v>3722</v>
      </c>
      <c r="K169" t="s">
        <v>74</v>
      </c>
      <c r="L169" t="s">
        <v>74</v>
      </c>
      <c r="M169" t="s">
        <v>78</v>
      </c>
      <c r="N169" t="s">
        <v>79</v>
      </c>
      <c r="O169" t="s">
        <v>74</v>
      </c>
      <c r="P169" t="s">
        <v>74</v>
      </c>
      <c r="Q169" t="s">
        <v>74</v>
      </c>
      <c r="R169" t="s">
        <v>74</v>
      </c>
      <c r="S169" t="s">
        <v>74</v>
      </c>
      <c r="T169" t="s">
        <v>3723</v>
      </c>
      <c r="U169" t="s">
        <v>3724</v>
      </c>
      <c r="V169" t="s">
        <v>3725</v>
      </c>
      <c r="W169" t="s">
        <v>3726</v>
      </c>
      <c r="X169" t="s">
        <v>3727</v>
      </c>
      <c r="Y169" t="s">
        <v>3728</v>
      </c>
      <c r="Z169" t="s">
        <v>3729</v>
      </c>
      <c r="AA169" t="s">
        <v>3730</v>
      </c>
      <c r="AB169" t="s">
        <v>3731</v>
      </c>
      <c r="AC169" t="s">
        <v>3732</v>
      </c>
      <c r="AD169" t="s">
        <v>3733</v>
      </c>
      <c r="AE169" t="s">
        <v>3734</v>
      </c>
      <c r="AF169" t="s">
        <v>74</v>
      </c>
      <c r="AG169">
        <v>44</v>
      </c>
      <c r="AH169">
        <v>5</v>
      </c>
      <c r="AI169">
        <v>5</v>
      </c>
      <c r="AJ169">
        <v>6</v>
      </c>
      <c r="AK169">
        <v>33</v>
      </c>
      <c r="AL169" t="s">
        <v>2632</v>
      </c>
      <c r="AM169" t="s">
        <v>2633</v>
      </c>
      <c r="AN169" t="s">
        <v>2634</v>
      </c>
      <c r="AO169" t="s">
        <v>74</v>
      </c>
      <c r="AP169" t="s">
        <v>3735</v>
      </c>
      <c r="AQ169" t="s">
        <v>74</v>
      </c>
      <c r="AR169" t="s">
        <v>3736</v>
      </c>
      <c r="AS169" t="s">
        <v>3737</v>
      </c>
      <c r="AT169" t="s">
        <v>840</v>
      </c>
      <c r="AU169">
        <v>2022</v>
      </c>
      <c r="AV169">
        <v>11</v>
      </c>
      <c r="AW169">
        <v>2</v>
      </c>
      <c r="AX169" t="s">
        <v>74</v>
      </c>
      <c r="AY169" t="s">
        <v>74</v>
      </c>
      <c r="AZ169" t="s">
        <v>74</v>
      </c>
      <c r="BA169" t="s">
        <v>74</v>
      </c>
      <c r="BB169" t="s">
        <v>74</v>
      </c>
      <c r="BC169" t="s">
        <v>74</v>
      </c>
      <c r="BD169">
        <v>240</v>
      </c>
      <c r="BE169" t="s">
        <v>3738</v>
      </c>
      <c r="BF169" t="str">
        <f>HYPERLINK("http://dx.doi.org/10.3390/land11020240","http://dx.doi.org/10.3390/land11020240")</f>
        <v>http://dx.doi.org/10.3390/land11020240</v>
      </c>
      <c r="BG169" t="s">
        <v>74</v>
      </c>
      <c r="BH169" t="s">
        <v>74</v>
      </c>
      <c r="BI169">
        <v>15</v>
      </c>
      <c r="BJ169" t="s">
        <v>3739</v>
      </c>
      <c r="BK169" t="s">
        <v>863</v>
      </c>
      <c r="BL169" t="s">
        <v>1561</v>
      </c>
      <c r="BM169" t="s">
        <v>3740</v>
      </c>
      <c r="BN169" t="s">
        <v>74</v>
      </c>
      <c r="BO169" t="s">
        <v>445</v>
      </c>
      <c r="BP169" t="s">
        <v>74</v>
      </c>
      <c r="BQ169" t="s">
        <v>74</v>
      </c>
      <c r="BR169" t="s">
        <v>106</v>
      </c>
      <c r="BS169" t="s">
        <v>3741</v>
      </c>
      <c r="BT169" t="str">
        <f>HYPERLINK("https%3A%2F%2Fwww.webofscience.com%2Fwos%2Fwoscc%2Ffull-record%2FWOS:000764719100001","View Full Record in Web of Science")</f>
        <v>View Full Record in Web of Science</v>
      </c>
    </row>
    <row r="170" spans="1:72" x14ac:dyDescent="0.15">
      <c r="A170" t="s">
        <v>72</v>
      </c>
      <c r="B170" t="s">
        <v>3742</v>
      </c>
      <c r="C170" t="s">
        <v>74</v>
      </c>
      <c r="D170" t="s">
        <v>74</v>
      </c>
      <c r="E170" t="s">
        <v>74</v>
      </c>
      <c r="F170" t="s">
        <v>3743</v>
      </c>
      <c r="G170" t="s">
        <v>74</v>
      </c>
      <c r="H170" t="s">
        <v>74</v>
      </c>
      <c r="I170" t="s">
        <v>3744</v>
      </c>
      <c r="J170" t="s">
        <v>2724</v>
      </c>
      <c r="K170" t="s">
        <v>74</v>
      </c>
      <c r="L170" t="s">
        <v>74</v>
      </c>
      <c r="M170" t="s">
        <v>78</v>
      </c>
      <c r="N170" t="s">
        <v>79</v>
      </c>
      <c r="O170" t="s">
        <v>74</v>
      </c>
      <c r="P170" t="s">
        <v>74</v>
      </c>
      <c r="Q170" t="s">
        <v>74</v>
      </c>
      <c r="R170" t="s">
        <v>74</v>
      </c>
      <c r="S170" t="s">
        <v>74</v>
      </c>
      <c r="T170" t="s">
        <v>3745</v>
      </c>
      <c r="U170" t="s">
        <v>3746</v>
      </c>
      <c r="V170" t="s">
        <v>3747</v>
      </c>
      <c r="W170" t="s">
        <v>3748</v>
      </c>
      <c r="X170" t="s">
        <v>3749</v>
      </c>
      <c r="Y170" t="s">
        <v>3750</v>
      </c>
      <c r="Z170" t="s">
        <v>3751</v>
      </c>
      <c r="AA170" t="s">
        <v>74</v>
      </c>
      <c r="AB170" t="s">
        <v>3752</v>
      </c>
      <c r="AC170" t="s">
        <v>74</v>
      </c>
      <c r="AD170" t="s">
        <v>74</v>
      </c>
      <c r="AE170" t="s">
        <v>74</v>
      </c>
      <c r="AF170" t="s">
        <v>74</v>
      </c>
      <c r="AG170">
        <v>32</v>
      </c>
      <c r="AH170">
        <v>3</v>
      </c>
      <c r="AI170">
        <v>3</v>
      </c>
      <c r="AJ170">
        <v>2</v>
      </c>
      <c r="AK170">
        <v>31</v>
      </c>
      <c r="AL170" t="s">
        <v>2632</v>
      </c>
      <c r="AM170" t="s">
        <v>2633</v>
      </c>
      <c r="AN170" t="s">
        <v>2634</v>
      </c>
      <c r="AO170" t="s">
        <v>74</v>
      </c>
      <c r="AP170" t="s">
        <v>2737</v>
      </c>
      <c r="AQ170" t="s">
        <v>74</v>
      </c>
      <c r="AR170" t="s">
        <v>2738</v>
      </c>
      <c r="AS170" t="s">
        <v>2739</v>
      </c>
      <c r="AT170" t="s">
        <v>840</v>
      </c>
      <c r="AU170">
        <v>2022</v>
      </c>
      <c r="AV170">
        <v>14</v>
      </c>
      <c r="AW170">
        <v>4</v>
      </c>
      <c r="AX170" t="s">
        <v>74</v>
      </c>
      <c r="AY170" t="s">
        <v>74</v>
      </c>
      <c r="AZ170" t="s">
        <v>74</v>
      </c>
      <c r="BA170" t="s">
        <v>74</v>
      </c>
      <c r="BB170" t="s">
        <v>74</v>
      </c>
      <c r="BC170" t="s">
        <v>74</v>
      </c>
      <c r="BD170">
        <v>898</v>
      </c>
      <c r="BE170" t="s">
        <v>3753</v>
      </c>
      <c r="BF170" t="str">
        <f>HYPERLINK("http://dx.doi.org/10.3390/rs14040898","http://dx.doi.org/10.3390/rs14040898")</f>
        <v>http://dx.doi.org/10.3390/rs14040898</v>
      </c>
      <c r="BG170" t="s">
        <v>74</v>
      </c>
      <c r="BH170" t="s">
        <v>74</v>
      </c>
      <c r="BI170">
        <v>13</v>
      </c>
      <c r="BJ170" t="s">
        <v>2741</v>
      </c>
      <c r="BK170" t="s">
        <v>103</v>
      </c>
      <c r="BL170" t="s">
        <v>2742</v>
      </c>
      <c r="BM170" t="s">
        <v>3754</v>
      </c>
      <c r="BN170" t="s">
        <v>74</v>
      </c>
      <c r="BO170" t="s">
        <v>445</v>
      </c>
      <c r="BP170" t="s">
        <v>74</v>
      </c>
      <c r="BQ170" t="s">
        <v>74</v>
      </c>
      <c r="BR170" t="s">
        <v>106</v>
      </c>
      <c r="BS170" t="s">
        <v>3755</v>
      </c>
      <c r="BT170" t="str">
        <f>HYPERLINK("https%3A%2F%2Fwww.webofscience.com%2Fwos%2Fwoscc%2Ffull-record%2FWOS:000765117200001","View Full Record in Web of Science")</f>
        <v>View Full Record in Web of Science</v>
      </c>
    </row>
    <row r="171" spans="1:72" x14ac:dyDescent="0.15">
      <c r="A171" t="s">
        <v>72</v>
      </c>
      <c r="B171" t="s">
        <v>3756</v>
      </c>
      <c r="C171" t="s">
        <v>74</v>
      </c>
      <c r="D171" t="s">
        <v>74</v>
      </c>
      <c r="E171" t="s">
        <v>74</v>
      </c>
      <c r="F171" t="s">
        <v>3757</v>
      </c>
      <c r="G171" t="s">
        <v>74</v>
      </c>
      <c r="H171" t="s">
        <v>74</v>
      </c>
      <c r="I171" t="s">
        <v>3758</v>
      </c>
      <c r="J171" t="s">
        <v>3759</v>
      </c>
      <c r="K171" t="s">
        <v>74</v>
      </c>
      <c r="L171" t="s">
        <v>74</v>
      </c>
      <c r="M171" t="s">
        <v>78</v>
      </c>
      <c r="N171" t="s">
        <v>79</v>
      </c>
      <c r="O171" t="s">
        <v>74</v>
      </c>
      <c r="P171" t="s">
        <v>74</v>
      </c>
      <c r="Q171" t="s">
        <v>74</v>
      </c>
      <c r="R171" t="s">
        <v>74</v>
      </c>
      <c r="S171" t="s">
        <v>74</v>
      </c>
      <c r="T171" t="s">
        <v>3760</v>
      </c>
      <c r="U171" t="s">
        <v>3761</v>
      </c>
      <c r="V171" t="s">
        <v>3762</v>
      </c>
      <c r="W171" t="s">
        <v>3763</v>
      </c>
      <c r="X171" t="s">
        <v>3764</v>
      </c>
      <c r="Y171" t="s">
        <v>3765</v>
      </c>
      <c r="Z171" t="s">
        <v>3766</v>
      </c>
      <c r="AA171" t="s">
        <v>3767</v>
      </c>
      <c r="AB171" t="s">
        <v>3768</v>
      </c>
      <c r="AC171" t="s">
        <v>3769</v>
      </c>
      <c r="AD171" t="s">
        <v>3770</v>
      </c>
      <c r="AE171" t="s">
        <v>3771</v>
      </c>
      <c r="AF171" t="s">
        <v>74</v>
      </c>
      <c r="AG171">
        <v>55</v>
      </c>
      <c r="AH171">
        <v>5</v>
      </c>
      <c r="AI171">
        <v>6</v>
      </c>
      <c r="AJ171">
        <v>8</v>
      </c>
      <c r="AK171">
        <v>27</v>
      </c>
      <c r="AL171" t="s">
        <v>2632</v>
      </c>
      <c r="AM171" t="s">
        <v>2633</v>
      </c>
      <c r="AN171" t="s">
        <v>2634</v>
      </c>
      <c r="AO171" t="s">
        <v>74</v>
      </c>
      <c r="AP171" t="s">
        <v>3772</v>
      </c>
      <c r="AQ171" t="s">
        <v>74</v>
      </c>
      <c r="AR171" t="s">
        <v>3773</v>
      </c>
      <c r="AS171" t="s">
        <v>3774</v>
      </c>
      <c r="AT171" t="s">
        <v>840</v>
      </c>
      <c r="AU171">
        <v>2022</v>
      </c>
      <c r="AV171">
        <v>10</v>
      </c>
      <c r="AW171">
        <v>2</v>
      </c>
      <c r="AX171" t="s">
        <v>74</v>
      </c>
      <c r="AY171" t="s">
        <v>74</v>
      </c>
      <c r="AZ171" t="s">
        <v>74</v>
      </c>
      <c r="BA171" t="s">
        <v>74</v>
      </c>
      <c r="BB171" t="s">
        <v>74</v>
      </c>
      <c r="BC171" t="s">
        <v>74</v>
      </c>
      <c r="BD171">
        <v>287</v>
      </c>
      <c r="BE171" t="s">
        <v>3775</v>
      </c>
      <c r="BF171" t="str">
        <f>HYPERLINK("http://dx.doi.org/10.3390/jmse10020287","http://dx.doi.org/10.3390/jmse10020287")</f>
        <v>http://dx.doi.org/10.3390/jmse10020287</v>
      </c>
      <c r="BG171" t="s">
        <v>74</v>
      </c>
      <c r="BH171" t="s">
        <v>74</v>
      </c>
      <c r="BI171">
        <v>22</v>
      </c>
      <c r="BJ171" t="s">
        <v>3776</v>
      </c>
      <c r="BK171" t="s">
        <v>103</v>
      </c>
      <c r="BL171" t="s">
        <v>3777</v>
      </c>
      <c r="BM171" t="s">
        <v>3778</v>
      </c>
      <c r="BN171" t="s">
        <v>74</v>
      </c>
      <c r="BO171" t="s">
        <v>445</v>
      </c>
      <c r="BP171" t="s">
        <v>74</v>
      </c>
      <c r="BQ171" t="s">
        <v>74</v>
      </c>
      <c r="BR171" t="s">
        <v>106</v>
      </c>
      <c r="BS171" t="s">
        <v>3779</v>
      </c>
      <c r="BT171" t="str">
        <f>HYPERLINK("https%3A%2F%2Fwww.webofscience.com%2Fwos%2Fwoscc%2Ffull-record%2FWOS:000763729200001","View Full Record in Web of Science")</f>
        <v>View Full Record in Web of Science</v>
      </c>
    </row>
    <row r="172" spans="1:72" x14ac:dyDescent="0.15">
      <c r="A172" t="s">
        <v>72</v>
      </c>
      <c r="B172" t="s">
        <v>3780</v>
      </c>
      <c r="C172" t="s">
        <v>74</v>
      </c>
      <c r="D172" t="s">
        <v>74</v>
      </c>
      <c r="E172" t="s">
        <v>74</v>
      </c>
      <c r="F172" t="s">
        <v>3781</v>
      </c>
      <c r="G172" t="s">
        <v>74</v>
      </c>
      <c r="H172" t="s">
        <v>74</v>
      </c>
      <c r="I172" t="s">
        <v>3782</v>
      </c>
      <c r="J172" t="s">
        <v>3783</v>
      </c>
      <c r="K172" t="s">
        <v>74</v>
      </c>
      <c r="L172" t="s">
        <v>74</v>
      </c>
      <c r="M172" t="s">
        <v>78</v>
      </c>
      <c r="N172" t="s">
        <v>79</v>
      </c>
      <c r="O172" t="s">
        <v>74</v>
      </c>
      <c r="P172" t="s">
        <v>74</v>
      </c>
      <c r="Q172" t="s">
        <v>74</v>
      </c>
      <c r="R172" t="s">
        <v>74</v>
      </c>
      <c r="S172" t="s">
        <v>74</v>
      </c>
      <c r="T172" t="s">
        <v>3784</v>
      </c>
      <c r="U172" t="s">
        <v>3785</v>
      </c>
      <c r="V172" t="s">
        <v>3786</v>
      </c>
      <c r="W172" t="s">
        <v>3787</v>
      </c>
      <c r="X172" t="s">
        <v>3788</v>
      </c>
      <c r="Y172" t="s">
        <v>3789</v>
      </c>
      <c r="Z172" t="s">
        <v>3790</v>
      </c>
      <c r="AA172" t="s">
        <v>3791</v>
      </c>
      <c r="AB172" t="s">
        <v>3792</v>
      </c>
      <c r="AC172" t="s">
        <v>74</v>
      </c>
      <c r="AD172" t="s">
        <v>74</v>
      </c>
      <c r="AE172" t="s">
        <v>74</v>
      </c>
      <c r="AF172" t="s">
        <v>74</v>
      </c>
      <c r="AG172">
        <v>75</v>
      </c>
      <c r="AH172">
        <v>4</v>
      </c>
      <c r="AI172">
        <v>4</v>
      </c>
      <c r="AJ172">
        <v>1</v>
      </c>
      <c r="AK172">
        <v>6</v>
      </c>
      <c r="AL172" t="s">
        <v>2632</v>
      </c>
      <c r="AM172" t="s">
        <v>2633</v>
      </c>
      <c r="AN172" t="s">
        <v>2634</v>
      </c>
      <c r="AO172" t="s">
        <v>74</v>
      </c>
      <c r="AP172" t="s">
        <v>3793</v>
      </c>
      <c r="AQ172" t="s">
        <v>74</v>
      </c>
      <c r="AR172" t="s">
        <v>3794</v>
      </c>
      <c r="AS172" t="s">
        <v>3795</v>
      </c>
      <c r="AT172" t="s">
        <v>840</v>
      </c>
      <c r="AU172">
        <v>2022</v>
      </c>
      <c r="AV172">
        <v>13</v>
      </c>
      <c r="AW172">
        <v>2</v>
      </c>
      <c r="AX172" t="s">
        <v>74</v>
      </c>
      <c r="AY172" t="s">
        <v>74</v>
      </c>
      <c r="AZ172" t="s">
        <v>74</v>
      </c>
      <c r="BA172" t="s">
        <v>74</v>
      </c>
      <c r="BB172" t="s">
        <v>74</v>
      </c>
      <c r="BC172" t="s">
        <v>74</v>
      </c>
      <c r="BD172">
        <v>240</v>
      </c>
      <c r="BE172" t="s">
        <v>3796</v>
      </c>
      <c r="BF172" t="str">
        <f>HYPERLINK("http://dx.doi.org/10.3390/genes13020240","http://dx.doi.org/10.3390/genes13020240")</f>
        <v>http://dx.doi.org/10.3390/genes13020240</v>
      </c>
      <c r="BG172" t="s">
        <v>74</v>
      </c>
      <c r="BH172" t="s">
        <v>74</v>
      </c>
      <c r="BI172">
        <v>13</v>
      </c>
      <c r="BJ172" t="s">
        <v>3797</v>
      </c>
      <c r="BK172" t="s">
        <v>103</v>
      </c>
      <c r="BL172" t="s">
        <v>3797</v>
      </c>
      <c r="BM172" t="s">
        <v>3798</v>
      </c>
      <c r="BN172">
        <v>35205285</v>
      </c>
      <c r="BO172" t="s">
        <v>292</v>
      </c>
      <c r="BP172" t="s">
        <v>74</v>
      </c>
      <c r="BQ172" t="s">
        <v>74</v>
      </c>
      <c r="BR172" t="s">
        <v>106</v>
      </c>
      <c r="BS172" t="s">
        <v>3799</v>
      </c>
      <c r="BT172" t="str">
        <f>HYPERLINK("https%3A%2F%2Fwww.webofscience.com%2Fwos%2Fwoscc%2Ffull-record%2FWOS:000763026000001","View Full Record in Web of Science")</f>
        <v>View Full Record in Web of Science</v>
      </c>
    </row>
    <row r="173" spans="1:72" x14ac:dyDescent="0.15">
      <c r="A173" t="s">
        <v>72</v>
      </c>
      <c r="B173" t="s">
        <v>3800</v>
      </c>
      <c r="C173" t="s">
        <v>74</v>
      </c>
      <c r="D173" t="s">
        <v>74</v>
      </c>
      <c r="E173" t="s">
        <v>74</v>
      </c>
      <c r="F173" t="s">
        <v>3801</v>
      </c>
      <c r="G173" t="s">
        <v>74</v>
      </c>
      <c r="H173" t="s">
        <v>74</v>
      </c>
      <c r="I173" t="s">
        <v>3802</v>
      </c>
      <c r="J173" t="s">
        <v>3803</v>
      </c>
      <c r="K173" t="s">
        <v>74</v>
      </c>
      <c r="L173" t="s">
        <v>74</v>
      </c>
      <c r="M173" t="s">
        <v>78</v>
      </c>
      <c r="N173" t="s">
        <v>79</v>
      </c>
      <c r="O173" t="s">
        <v>74</v>
      </c>
      <c r="P173" t="s">
        <v>74</v>
      </c>
      <c r="Q173" t="s">
        <v>74</v>
      </c>
      <c r="R173" t="s">
        <v>74</v>
      </c>
      <c r="S173" t="s">
        <v>74</v>
      </c>
      <c r="T173" t="s">
        <v>3804</v>
      </c>
      <c r="U173" t="s">
        <v>3805</v>
      </c>
      <c r="V173" t="s">
        <v>3806</v>
      </c>
      <c r="W173" t="s">
        <v>3807</v>
      </c>
      <c r="X173" t="s">
        <v>3808</v>
      </c>
      <c r="Y173" t="s">
        <v>3809</v>
      </c>
      <c r="Z173" t="s">
        <v>3810</v>
      </c>
      <c r="AA173" t="s">
        <v>3811</v>
      </c>
      <c r="AB173" t="s">
        <v>3812</v>
      </c>
      <c r="AC173" t="s">
        <v>3813</v>
      </c>
      <c r="AD173" t="s">
        <v>3814</v>
      </c>
      <c r="AE173" t="s">
        <v>3815</v>
      </c>
      <c r="AF173" t="s">
        <v>74</v>
      </c>
      <c r="AG173">
        <v>48</v>
      </c>
      <c r="AH173">
        <v>1</v>
      </c>
      <c r="AI173">
        <v>1</v>
      </c>
      <c r="AJ173">
        <v>0</v>
      </c>
      <c r="AK173">
        <v>19</v>
      </c>
      <c r="AL173" t="s">
        <v>3816</v>
      </c>
      <c r="AM173" t="s">
        <v>3817</v>
      </c>
      <c r="AN173" t="s">
        <v>3818</v>
      </c>
      <c r="AO173" t="s">
        <v>3819</v>
      </c>
      <c r="AP173" t="s">
        <v>74</v>
      </c>
      <c r="AQ173" t="s">
        <v>74</v>
      </c>
      <c r="AR173" t="s">
        <v>3820</v>
      </c>
      <c r="AS173" t="s">
        <v>3821</v>
      </c>
      <c r="AT173" t="s">
        <v>3228</v>
      </c>
      <c r="AU173">
        <v>2022</v>
      </c>
      <c r="AV173">
        <v>17</v>
      </c>
      <c r="AW173">
        <v>2</v>
      </c>
      <c r="AX173" t="s">
        <v>74</v>
      </c>
      <c r="AY173" t="s">
        <v>74</v>
      </c>
      <c r="AZ173" t="s">
        <v>74</v>
      </c>
      <c r="BA173" t="s">
        <v>74</v>
      </c>
      <c r="BB173" t="s">
        <v>74</v>
      </c>
      <c r="BC173" t="s">
        <v>74</v>
      </c>
      <c r="BD173">
        <v>24022</v>
      </c>
      <c r="BE173" t="s">
        <v>3822</v>
      </c>
      <c r="BF173" t="str">
        <f>HYPERLINK("http://dx.doi.org/10.1088/1748-9326/ac444e","http://dx.doi.org/10.1088/1748-9326/ac444e")</f>
        <v>http://dx.doi.org/10.1088/1748-9326/ac444e</v>
      </c>
      <c r="BG173" t="s">
        <v>74</v>
      </c>
      <c r="BH173" t="s">
        <v>74</v>
      </c>
      <c r="BI173">
        <v>10</v>
      </c>
      <c r="BJ173" t="s">
        <v>129</v>
      </c>
      <c r="BK173" t="s">
        <v>103</v>
      </c>
      <c r="BL173" t="s">
        <v>130</v>
      </c>
      <c r="BM173" t="s">
        <v>3823</v>
      </c>
      <c r="BN173" t="s">
        <v>74</v>
      </c>
      <c r="BO173" t="s">
        <v>211</v>
      </c>
      <c r="BP173" t="s">
        <v>74</v>
      </c>
      <c r="BQ173" t="s">
        <v>74</v>
      </c>
      <c r="BR173" t="s">
        <v>106</v>
      </c>
      <c r="BS173" t="s">
        <v>3824</v>
      </c>
      <c r="BT173" t="str">
        <f>HYPERLINK("https%3A%2F%2Fwww.webofscience.com%2Fwos%2Fwoscc%2Ffull-record%2FWOS:000753640300001","View Full Record in Web of Science")</f>
        <v>View Full Record in Web of Science</v>
      </c>
    </row>
    <row r="174" spans="1:72" x14ac:dyDescent="0.15">
      <c r="A174" t="s">
        <v>72</v>
      </c>
      <c r="B174" t="s">
        <v>3825</v>
      </c>
      <c r="C174" t="s">
        <v>74</v>
      </c>
      <c r="D174" t="s">
        <v>74</v>
      </c>
      <c r="E174" t="s">
        <v>74</v>
      </c>
      <c r="F174" t="s">
        <v>3826</v>
      </c>
      <c r="G174" t="s">
        <v>74</v>
      </c>
      <c r="H174" t="s">
        <v>74</v>
      </c>
      <c r="I174" t="s">
        <v>3827</v>
      </c>
      <c r="J174" t="s">
        <v>3828</v>
      </c>
      <c r="K174" t="s">
        <v>74</v>
      </c>
      <c r="L174" t="s">
        <v>74</v>
      </c>
      <c r="M174" t="s">
        <v>78</v>
      </c>
      <c r="N174" t="s">
        <v>79</v>
      </c>
      <c r="O174" t="s">
        <v>74</v>
      </c>
      <c r="P174" t="s">
        <v>74</v>
      </c>
      <c r="Q174" t="s">
        <v>74</v>
      </c>
      <c r="R174" t="s">
        <v>74</v>
      </c>
      <c r="S174" t="s">
        <v>74</v>
      </c>
      <c r="T174" t="s">
        <v>3829</v>
      </c>
      <c r="U174" t="s">
        <v>3830</v>
      </c>
      <c r="V174" t="s">
        <v>3831</v>
      </c>
      <c r="W174" t="s">
        <v>3832</v>
      </c>
      <c r="X174" t="s">
        <v>3833</v>
      </c>
      <c r="Y174" t="s">
        <v>3834</v>
      </c>
      <c r="Z174" t="s">
        <v>3835</v>
      </c>
      <c r="AA174" t="s">
        <v>74</v>
      </c>
      <c r="AB174" t="s">
        <v>3836</v>
      </c>
      <c r="AC174" t="s">
        <v>3837</v>
      </c>
      <c r="AD174" t="s">
        <v>3838</v>
      </c>
      <c r="AE174" t="s">
        <v>3839</v>
      </c>
      <c r="AF174" t="s">
        <v>74</v>
      </c>
      <c r="AG174">
        <v>53</v>
      </c>
      <c r="AH174">
        <v>1</v>
      </c>
      <c r="AI174">
        <v>1</v>
      </c>
      <c r="AJ174">
        <v>1</v>
      </c>
      <c r="AK174">
        <v>6</v>
      </c>
      <c r="AL174" t="s">
        <v>171</v>
      </c>
      <c r="AM174" t="s">
        <v>172</v>
      </c>
      <c r="AN174" t="s">
        <v>173</v>
      </c>
      <c r="AO174" t="s">
        <v>3840</v>
      </c>
      <c r="AP174" t="s">
        <v>3841</v>
      </c>
      <c r="AQ174" t="s">
        <v>74</v>
      </c>
      <c r="AR174" t="s">
        <v>3842</v>
      </c>
      <c r="AS174" t="s">
        <v>3843</v>
      </c>
      <c r="AT174" t="s">
        <v>1674</v>
      </c>
      <c r="AU174">
        <v>2022</v>
      </c>
      <c r="AV174">
        <v>57</v>
      </c>
      <c r="AW174">
        <v>6</v>
      </c>
      <c r="AX174" t="s">
        <v>74</v>
      </c>
      <c r="AY174" t="s">
        <v>74</v>
      </c>
      <c r="AZ174" t="s">
        <v>74</v>
      </c>
      <c r="BA174" t="s">
        <v>74</v>
      </c>
      <c r="BB174">
        <v>2209</v>
      </c>
      <c r="BC174">
        <v>2220</v>
      </c>
      <c r="BD174" t="s">
        <v>74</v>
      </c>
      <c r="BE174" t="s">
        <v>3844</v>
      </c>
      <c r="BF174" t="str">
        <f>HYPERLINK("http://dx.doi.org/10.1002/gj.4402","http://dx.doi.org/10.1002/gj.4402")</f>
        <v>http://dx.doi.org/10.1002/gj.4402</v>
      </c>
      <c r="BG174" t="s">
        <v>74</v>
      </c>
      <c r="BH174" t="s">
        <v>101</v>
      </c>
      <c r="BI174">
        <v>12</v>
      </c>
      <c r="BJ174" t="s">
        <v>151</v>
      </c>
      <c r="BK174" t="s">
        <v>103</v>
      </c>
      <c r="BL174" t="s">
        <v>152</v>
      </c>
      <c r="BM174" t="s">
        <v>3845</v>
      </c>
      <c r="BN174" t="s">
        <v>74</v>
      </c>
      <c r="BO174" t="s">
        <v>74</v>
      </c>
      <c r="BP174" t="s">
        <v>74</v>
      </c>
      <c r="BQ174" t="s">
        <v>74</v>
      </c>
      <c r="BR174" t="s">
        <v>106</v>
      </c>
      <c r="BS174" t="s">
        <v>3846</v>
      </c>
      <c r="BT174" t="str">
        <f>HYPERLINK("https%3A%2F%2Fwww.webofscience.com%2Fwos%2Fwoscc%2Ffull-record%2FWOS:000749422700001","View Full Record in Web of Science")</f>
        <v>View Full Record in Web of Science</v>
      </c>
    </row>
    <row r="175" spans="1:72" x14ac:dyDescent="0.15">
      <c r="A175" t="s">
        <v>72</v>
      </c>
      <c r="B175" t="s">
        <v>3847</v>
      </c>
      <c r="C175" t="s">
        <v>74</v>
      </c>
      <c r="D175" t="s">
        <v>74</v>
      </c>
      <c r="E175" t="s">
        <v>74</v>
      </c>
      <c r="F175" t="s">
        <v>3848</v>
      </c>
      <c r="G175" t="s">
        <v>74</v>
      </c>
      <c r="H175" t="s">
        <v>74</v>
      </c>
      <c r="I175" t="s">
        <v>3849</v>
      </c>
      <c r="J175" t="s">
        <v>3704</v>
      </c>
      <c r="K175" t="s">
        <v>74</v>
      </c>
      <c r="L175" t="s">
        <v>74</v>
      </c>
      <c r="M175" t="s">
        <v>78</v>
      </c>
      <c r="N175" t="s">
        <v>79</v>
      </c>
      <c r="O175" t="s">
        <v>74</v>
      </c>
      <c r="P175" t="s">
        <v>74</v>
      </c>
      <c r="Q175" t="s">
        <v>74</v>
      </c>
      <c r="R175" t="s">
        <v>74</v>
      </c>
      <c r="S175" t="s">
        <v>74</v>
      </c>
      <c r="T175" t="s">
        <v>3850</v>
      </c>
      <c r="U175" t="s">
        <v>3851</v>
      </c>
      <c r="V175" t="s">
        <v>3852</v>
      </c>
      <c r="W175" t="s">
        <v>3853</v>
      </c>
      <c r="X175" t="s">
        <v>3854</v>
      </c>
      <c r="Y175" t="s">
        <v>3855</v>
      </c>
      <c r="Z175" t="s">
        <v>3856</v>
      </c>
      <c r="AA175" t="s">
        <v>3857</v>
      </c>
      <c r="AB175" t="s">
        <v>3858</v>
      </c>
      <c r="AC175" t="s">
        <v>74</v>
      </c>
      <c r="AD175" t="s">
        <v>74</v>
      </c>
      <c r="AE175" t="s">
        <v>74</v>
      </c>
      <c r="AF175" t="s">
        <v>74</v>
      </c>
      <c r="AG175">
        <v>75</v>
      </c>
      <c r="AH175">
        <v>7</v>
      </c>
      <c r="AI175">
        <v>7</v>
      </c>
      <c r="AJ175">
        <v>4</v>
      </c>
      <c r="AK175">
        <v>29</v>
      </c>
      <c r="AL175" t="s">
        <v>2632</v>
      </c>
      <c r="AM175" t="s">
        <v>2633</v>
      </c>
      <c r="AN175" t="s">
        <v>2634</v>
      </c>
      <c r="AO175" t="s">
        <v>74</v>
      </c>
      <c r="AP175" t="s">
        <v>3714</v>
      </c>
      <c r="AQ175" t="s">
        <v>74</v>
      </c>
      <c r="AR175" t="s">
        <v>3704</v>
      </c>
      <c r="AS175" t="s">
        <v>3715</v>
      </c>
      <c r="AT175" t="s">
        <v>840</v>
      </c>
      <c r="AU175">
        <v>2022</v>
      </c>
      <c r="AV175">
        <v>11</v>
      </c>
      <c r="AW175">
        <v>2</v>
      </c>
      <c r="AX175" t="s">
        <v>74</v>
      </c>
      <c r="AY175" t="s">
        <v>74</v>
      </c>
      <c r="AZ175" t="s">
        <v>74</v>
      </c>
      <c r="BA175" t="s">
        <v>74</v>
      </c>
      <c r="BB175" t="s">
        <v>74</v>
      </c>
      <c r="BC175" t="s">
        <v>74</v>
      </c>
      <c r="BD175">
        <v>320</v>
      </c>
      <c r="BE175" t="s">
        <v>3859</v>
      </c>
      <c r="BF175" t="str">
        <f>HYPERLINK("http://dx.doi.org/10.3390/biology11020320","http://dx.doi.org/10.3390/biology11020320")</f>
        <v>http://dx.doi.org/10.3390/biology11020320</v>
      </c>
      <c r="BG175" t="s">
        <v>74</v>
      </c>
      <c r="BH175" t="s">
        <v>74</v>
      </c>
      <c r="BI175">
        <v>18</v>
      </c>
      <c r="BJ175" t="s">
        <v>1177</v>
      </c>
      <c r="BK175" t="s">
        <v>103</v>
      </c>
      <c r="BL175" t="s">
        <v>1178</v>
      </c>
      <c r="BM175" t="s">
        <v>3860</v>
      </c>
      <c r="BN175">
        <v>35205187</v>
      </c>
      <c r="BO175" t="s">
        <v>1494</v>
      </c>
      <c r="BP175" t="s">
        <v>74</v>
      </c>
      <c r="BQ175" t="s">
        <v>74</v>
      </c>
      <c r="BR175" t="s">
        <v>106</v>
      </c>
      <c r="BS175" t="s">
        <v>3861</v>
      </c>
      <c r="BT175" t="str">
        <f>HYPERLINK("https%3A%2F%2Fwww.webofscience.com%2Fwos%2Fwoscc%2Ffull-record%2FWOS:000762068300001","View Full Record in Web of Science")</f>
        <v>View Full Record in Web of Science</v>
      </c>
    </row>
    <row r="176" spans="1:72" x14ac:dyDescent="0.15">
      <c r="A176" t="s">
        <v>72</v>
      </c>
      <c r="B176" t="s">
        <v>3862</v>
      </c>
      <c r="C176" t="s">
        <v>74</v>
      </c>
      <c r="D176" t="s">
        <v>74</v>
      </c>
      <c r="E176" t="s">
        <v>74</v>
      </c>
      <c r="F176" t="s">
        <v>3863</v>
      </c>
      <c r="G176" t="s">
        <v>74</v>
      </c>
      <c r="H176" t="s">
        <v>74</v>
      </c>
      <c r="I176" t="s">
        <v>3864</v>
      </c>
      <c r="J176" t="s">
        <v>2724</v>
      </c>
      <c r="K176" t="s">
        <v>74</v>
      </c>
      <c r="L176" t="s">
        <v>74</v>
      </c>
      <c r="M176" t="s">
        <v>78</v>
      </c>
      <c r="N176" t="s">
        <v>79</v>
      </c>
      <c r="O176" t="s">
        <v>74</v>
      </c>
      <c r="P176" t="s">
        <v>74</v>
      </c>
      <c r="Q176" t="s">
        <v>74</v>
      </c>
      <c r="R176" t="s">
        <v>74</v>
      </c>
      <c r="S176" t="s">
        <v>74</v>
      </c>
      <c r="T176" t="s">
        <v>3865</v>
      </c>
      <c r="U176" t="s">
        <v>3866</v>
      </c>
      <c r="V176" t="s">
        <v>3867</v>
      </c>
      <c r="W176" t="s">
        <v>3868</v>
      </c>
      <c r="X176" t="s">
        <v>3869</v>
      </c>
      <c r="Y176" t="s">
        <v>3870</v>
      </c>
      <c r="Z176" t="s">
        <v>3871</v>
      </c>
      <c r="AA176" t="s">
        <v>3872</v>
      </c>
      <c r="AB176" t="s">
        <v>3873</v>
      </c>
      <c r="AC176" t="s">
        <v>74</v>
      </c>
      <c r="AD176" t="s">
        <v>74</v>
      </c>
      <c r="AE176" t="s">
        <v>74</v>
      </c>
      <c r="AF176" t="s">
        <v>74</v>
      </c>
      <c r="AG176">
        <v>35</v>
      </c>
      <c r="AH176">
        <v>1</v>
      </c>
      <c r="AI176">
        <v>1</v>
      </c>
      <c r="AJ176">
        <v>2</v>
      </c>
      <c r="AK176">
        <v>20</v>
      </c>
      <c r="AL176" t="s">
        <v>2632</v>
      </c>
      <c r="AM176" t="s">
        <v>2633</v>
      </c>
      <c r="AN176" t="s">
        <v>2634</v>
      </c>
      <c r="AO176" t="s">
        <v>74</v>
      </c>
      <c r="AP176" t="s">
        <v>2737</v>
      </c>
      <c r="AQ176" t="s">
        <v>74</v>
      </c>
      <c r="AR176" t="s">
        <v>2738</v>
      </c>
      <c r="AS176" t="s">
        <v>2739</v>
      </c>
      <c r="AT176" t="s">
        <v>840</v>
      </c>
      <c r="AU176">
        <v>2022</v>
      </c>
      <c r="AV176">
        <v>14</v>
      </c>
      <c r="AW176">
        <v>4</v>
      </c>
      <c r="AX176" t="s">
        <v>74</v>
      </c>
      <c r="AY176" t="s">
        <v>74</v>
      </c>
      <c r="AZ176" t="s">
        <v>74</v>
      </c>
      <c r="BA176" t="s">
        <v>74</v>
      </c>
      <c r="BB176" t="s">
        <v>74</v>
      </c>
      <c r="BC176" t="s">
        <v>74</v>
      </c>
      <c r="BD176">
        <v>1045</v>
      </c>
      <c r="BE176" t="s">
        <v>3874</v>
      </c>
      <c r="BF176" t="str">
        <f>HYPERLINK("http://dx.doi.org/10.3390/rs14041045","http://dx.doi.org/10.3390/rs14041045")</f>
        <v>http://dx.doi.org/10.3390/rs14041045</v>
      </c>
      <c r="BG176" t="s">
        <v>74</v>
      </c>
      <c r="BH176" t="s">
        <v>74</v>
      </c>
      <c r="BI176">
        <v>17</v>
      </c>
      <c r="BJ176" t="s">
        <v>2741</v>
      </c>
      <c r="BK176" t="s">
        <v>103</v>
      </c>
      <c r="BL176" t="s">
        <v>2742</v>
      </c>
      <c r="BM176" t="s">
        <v>3875</v>
      </c>
      <c r="BN176" t="s">
        <v>74</v>
      </c>
      <c r="BO176" t="s">
        <v>445</v>
      </c>
      <c r="BP176" t="s">
        <v>74</v>
      </c>
      <c r="BQ176" t="s">
        <v>74</v>
      </c>
      <c r="BR176" t="s">
        <v>106</v>
      </c>
      <c r="BS176" t="s">
        <v>3876</v>
      </c>
      <c r="BT176" t="str">
        <f>HYPERLINK("https%3A%2F%2Fwww.webofscience.com%2Fwos%2Fwoscc%2Ffull-record%2FWOS:000762691900001","View Full Record in Web of Science")</f>
        <v>View Full Record in Web of Science</v>
      </c>
    </row>
    <row r="177" spans="1:72" x14ac:dyDescent="0.15">
      <c r="A177" t="s">
        <v>72</v>
      </c>
      <c r="B177" t="s">
        <v>3877</v>
      </c>
      <c r="C177" t="s">
        <v>74</v>
      </c>
      <c r="D177" t="s">
        <v>74</v>
      </c>
      <c r="E177" t="s">
        <v>74</v>
      </c>
      <c r="F177" t="s">
        <v>3878</v>
      </c>
      <c r="G177" t="s">
        <v>74</v>
      </c>
      <c r="H177" t="s">
        <v>74</v>
      </c>
      <c r="I177" t="s">
        <v>3879</v>
      </c>
      <c r="J177" t="s">
        <v>3880</v>
      </c>
      <c r="K177" t="s">
        <v>74</v>
      </c>
      <c r="L177" t="s">
        <v>74</v>
      </c>
      <c r="M177" t="s">
        <v>78</v>
      </c>
      <c r="N177" t="s">
        <v>79</v>
      </c>
      <c r="O177" t="s">
        <v>74</v>
      </c>
      <c r="P177" t="s">
        <v>74</v>
      </c>
      <c r="Q177" t="s">
        <v>74</v>
      </c>
      <c r="R177" t="s">
        <v>74</v>
      </c>
      <c r="S177" t="s">
        <v>74</v>
      </c>
      <c r="T177" t="s">
        <v>3881</v>
      </c>
      <c r="U177" t="s">
        <v>3882</v>
      </c>
      <c r="V177" t="s">
        <v>3883</v>
      </c>
      <c r="W177" t="s">
        <v>3884</v>
      </c>
      <c r="X177" t="s">
        <v>3885</v>
      </c>
      <c r="Y177" t="s">
        <v>3886</v>
      </c>
      <c r="Z177" t="s">
        <v>3887</v>
      </c>
      <c r="AA177" t="s">
        <v>3888</v>
      </c>
      <c r="AB177" t="s">
        <v>3889</v>
      </c>
      <c r="AC177" t="s">
        <v>74</v>
      </c>
      <c r="AD177" t="s">
        <v>74</v>
      </c>
      <c r="AE177" t="s">
        <v>74</v>
      </c>
      <c r="AF177" t="s">
        <v>74</v>
      </c>
      <c r="AG177">
        <v>44</v>
      </c>
      <c r="AH177">
        <v>1</v>
      </c>
      <c r="AI177">
        <v>1</v>
      </c>
      <c r="AJ177">
        <v>3</v>
      </c>
      <c r="AK177">
        <v>28</v>
      </c>
      <c r="AL177" t="s">
        <v>2632</v>
      </c>
      <c r="AM177" t="s">
        <v>2633</v>
      </c>
      <c r="AN177" t="s">
        <v>2634</v>
      </c>
      <c r="AO177" t="s">
        <v>74</v>
      </c>
      <c r="AP177" t="s">
        <v>3890</v>
      </c>
      <c r="AQ177" t="s">
        <v>74</v>
      </c>
      <c r="AR177" t="s">
        <v>3891</v>
      </c>
      <c r="AS177" t="s">
        <v>3892</v>
      </c>
      <c r="AT177" t="s">
        <v>840</v>
      </c>
      <c r="AU177">
        <v>2022</v>
      </c>
      <c r="AV177">
        <v>13</v>
      </c>
      <c r="AW177">
        <v>2</v>
      </c>
      <c r="AX177" t="s">
        <v>74</v>
      </c>
      <c r="AY177" t="s">
        <v>74</v>
      </c>
      <c r="AZ177" t="s">
        <v>74</v>
      </c>
      <c r="BA177" t="s">
        <v>74</v>
      </c>
      <c r="BB177" t="s">
        <v>74</v>
      </c>
      <c r="BC177" t="s">
        <v>74</v>
      </c>
      <c r="BD177">
        <v>246</v>
      </c>
      <c r="BE177" t="s">
        <v>3893</v>
      </c>
      <c r="BF177" t="str">
        <f>HYPERLINK("http://dx.doi.org/10.3390/atmos13020246","http://dx.doi.org/10.3390/atmos13020246")</f>
        <v>http://dx.doi.org/10.3390/atmos13020246</v>
      </c>
      <c r="BG177" t="s">
        <v>74</v>
      </c>
      <c r="BH177" t="s">
        <v>74</v>
      </c>
      <c r="BI177">
        <v>15</v>
      </c>
      <c r="BJ177" t="s">
        <v>129</v>
      </c>
      <c r="BK177" t="s">
        <v>103</v>
      </c>
      <c r="BL177" t="s">
        <v>130</v>
      </c>
      <c r="BM177" t="s">
        <v>3894</v>
      </c>
      <c r="BN177" t="s">
        <v>74</v>
      </c>
      <c r="BO177" t="s">
        <v>445</v>
      </c>
      <c r="BP177" t="s">
        <v>74</v>
      </c>
      <c r="BQ177" t="s">
        <v>74</v>
      </c>
      <c r="BR177" t="s">
        <v>106</v>
      </c>
      <c r="BS177" t="s">
        <v>3895</v>
      </c>
      <c r="BT177" t="str">
        <f>HYPERLINK("https%3A%2F%2Fwww.webofscience.com%2Fwos%2Fwoscc%2Ffull-record%2FWOS:000762736400001","View Full Record in Web of Science")</f>
        <v>View Full Record in Web of Science</v>
      </c>
    </row>
    <row r="178" spans="1:72" x14ac:dyDescent="0.15">
      <c r="A178" t="s">
        <v>72</v>
      </c>
      <c r="B178" t="s">
        <v>3896</v>
      </c>
      <c r="C178" t="s">
        <v>74</v>
      </c>
      <c r="D178" t="s">
        <v>74</v>
      </c>
      <c r="E178" t="s">
        <v>74</v>
      </c>
      <c r="F178" t="s">
        <v>3897</v>
      </c>
      <c r="G178" t="s">
        <v>74</v>
      </c>
      <c r="H178" t="s">
        <v>74</v>
      </c>
      <c r="I178" t="s">
        <v>3898</v>
      </c>
      <c r="J178" t="s">
        <v>2724</v>
      </c>
      <c r="K178" t="s">
        <v>74</v>
      </c>
      <c r="L178" t="s">
        <v>74</v>
      </c>
      <c r="M178" t="s">
        <v>78</v>
      </c>
      <c r="N178" t="s">
        <v>79</v>
      </c>
      <c r="O178" t="s">
        <v>74</v>
      </c>
      <c r="P178" t="s">
        <v>74</v>
      </c>
      <c r="Q178" t="s">
        <v>74</v>
      </c>
      <c r="R178" t="s">
        <v>74</v>
      </c>
      <c r="S178" t="s">
        <v>74</v>
      </c>
      <c r="T178" t="s">
        <v>3899</v>
      </c>
      <c r="U178" t="s">
        <v>3900</v>
      </c>
      <c r="V178" t="s">
        <v>3901</v>
      </c>
      <c r="W178" t="s">
        <v>3902</v>
      </c>
      <c r="X178" t="s">
        <v>3903</v>
      </c>
      <c r="Y178" t="s">
        <v>3904</v>
      </c>
      <c r="Z178" t="s">
        <v>3905</v>
      </c>
      <c r="AA178" t="s">
        <v>3906</v>
      </c>
      <c r="AB178" t="s">
        <v>74</v>
      </c>
      <c r="AC178" t="s">
        <v>3907</v>
      </c>
      <c r="AD178" t="s">
        <v>3908</v>
      </c>
      <c r="AE178" t="s">
        <v>3909</v>
      </c>
      <c r="AF178" t="s">
        <v>74</v>
      </c>
      <c r="AG178">
        <v>56</v>
      </c>
      <c r="AH178">
        <v>8</v>
      </c>
      <c r="AI178">
        <v>9</v>
      </c>
      <c r="AJ178">
        <v>3</v>
      </c>
      <c r="AK178">
        <v>50</v>
      </c>
      <c r="AL178" t="s">
        <v>2632</v>
      </c>
      <c r="AM178" t="s">
        <v>2633</v>
      </c>
      <c r="AN178" t="s">
        <v>2634</v>
      </c>
      <c r="AO178" t="s">
        <v>74</v>
      </c>
      <c r="AP178" t="s">
        <v>2737</v>
      </c>
      <c r="AQ178" t="s">
        <v>74</v>
      </c>
      <c r="AR178" t="s">
        <v>2738</v>
      </c>
      <c r="AS178" t="s">
        <v>2739</v>
      </c>
      <c r="AT178" t="s">
        <v>840</v>
      </c>
      <c r="AU178">
        <v>2022</v>
      </c>
      <c r="AV178">
        <v>14</v>
      </c>
      <c r="AW178">
        <v>3</v>
      </c>
      <c r="AX178" t="s">
        <v>74</v>
      </c>
      <c r="AY178" t="s">
        <v>74</v>
      </c>
      <c r="AZ178" t="s">
        <v>74</v>
      </c>
      <c r="BA178" t="s">
        <v>74</v>
      </c>
      <c r="BB178" t="s">
        <v>74</v>
      </c>
      <c r="BC178" t="s">
        <v>74</v>
      </c>
      <c r="BD178">
        <v>487</v>
      </c>
      <c r="BE178" t="s">
        <v>3910</v>
      </c>
      <c r="BF178" t="str">
        <f>HYPERLINK("http://dx.doi.org/10.3390/rs14030487","http://dx.doi.org/10.3390/rs14030487")</f>
        <v>http://dx.doi.org/10.3390/rs14030487</v>
      </c>
      <c r="BG178" t="s">
        <v>74</v>
      </c>
      <c r="BH178" t="s">
        <v>74</v>
      </c>
      <c r="BI178">
        <v>20</v>
      </c>
      <c r="BJ178" t="s">
        <v>2741</v>
      </c>
      <c r="BK178" t="s">
        <v>103</v>
      </c>
      <c r="BL178" t="s">
        <v>2742</v>
      </c>
      <c r="BM178" t="s">
        <v>3911</v>
      </c>
      <c r="BN178" t="s">
        <v>74</v>
      </c>
      <c r="BO178" t="s">
        <v>445</v>
      </c>
      <c r="BP178" t="s">
        <v>74</v>
      </c>
      <c r="BQ178" t="s">
        <v>74</v>
      </c>
      <c r="BR178" t="s">
        <v>106</v>
      </c>
      <c r="BS178" t="s">
        <v>3912</v>
      </c>
      <c r="BT178" t="str">
        <f>HYPERLINK("https%3A%2F%2Fwww.webofscience.com%2Fwos%2Fwoscc%2Ffull-record%2FWOS:000760126000001","View Full Record in Web of Science")</f>
        <v>View Full Record in Web of Science</v>
      </c>
    </row>
    <row r="179" spans="1:72" x14ac:dyDescent="0.15">
      <c r="A179" t="s">
        <v>72</v>
      </c>
      <c r="B179" t="s">
        <v>3913</v>
      </c>
      <c r="C179" t="s">
        <v>74</v>
      </c>
      <c r="D179" t="s">
        <v>74</v>
      </c>
      <c r="E179" t="s">
        <v>74</v>
      </c>
      <c r="F179" t="s">
        <v>3914</v>
      </c>
      <c r="G179" t="s">
        <v>74</v>
      </c>
      <c r="H179" t="s">
        <v>74</v>
      </c>
      <c r="I179" t="s">
        <v>3915</v>
      </c>
      <c r="J179" t="s">
        <v>3916</v>
      </c>
      <c r="K179" t="s">
        <v>74</v>
      </c>
      <c r="L179" t="s">
        <v>74</v>
      </c>
      <c r="M179" t="s">
        <v>78</v>
      </c>
      <c r="N179" t="s">
        <v>79</v>
      </c>
      <c r="O179" t="s">
        <v>74</v>
      </c>
      <c r="P179" t="s">
        <v>74</v>
      </c>
      <c r="Q179" t="s">
        <v>74</v>
      </c>
      <c r="R179" t="s">
        <v>74</v>
      </c>
      <c r="S179" t="s">
        <v>74</v>
      </c>
      <c r="T179" t="s">
        <v>74</v>
      </c>
      <c r="U179" t="s">
        <v>3917</v>
      </c>
      <c r="V179" t="s">
        <v>3918</v>
      </c>
      <c r="W179" t="s">
        <v>3919</v>
      </c>
      <c r="X179" t="s">
        <v>3920</v>
      </c>
      <c r="Y179" t="s">
        <v>3921</v>
      </c>
      <c r="Z179" t="s">
        <v>3922</v>
      </c>
      <c r="AA179" t="s">
        <v>3923</v>
      </c>
      <c r="AB179" t="s">
        <v>3924</v>
      </c>
      <c r="AC179" t="s">
        <v>3925</v>
      </c>
      <c r="AD179" t="s">
        <v>3926</v>
      </c>
      <c r="AE179" t="s">
        <v>3927</v>
      </c>
      <c r="AF179" t="s">
        <v>74</v>
      </c>
      <c r="AG179">
        <v>72</v>
      </c>
      <c r="AH179">
        <v>12</v>
      </c>
      <c r="AI179">
        <v>14</v>
      </c>
      <c r="AJ179">
        <v>11</v>
      </c>
      <c r="AK179">
        <v>14</v>
      </c>
      <c r="AL179" t="s">
        <v>1074</v>
      </c>
      <c r="AM179" t="s">
        <v>506</v>
      </c>
      <c r="AN179" t="s">
        <v>1075</v>
      </c>
      <c r="AO179" t="s">
        <v>3928</v>
      </c>
      <c r="AP179" t="s">
        <v>3929</v>
      </c>
      <c r="AQ179" t="s">
        <v>74</v>
      </c>
      <c r="AR179" t="s">
        <v>3930</v>
      </c>
      <c r="AS179" t="s">
        <v>3931</v>
      </c>
      <c r="AT179" t="s">
        <v>840</v>
      </c>
      <c r="AU179">
        <v>2022</v>
      </c>
      <c r="AV179">
        <v>82</v>
      </c>
      <c r="AW179">
        <v>2</v>
      </c>
      <c r="AX179" t="s">
        <v>74</v>
      </c>
      <c r="AY179" t="s">
        <v>74</v>
      </c>
      <c r="AZ179" t="s">
        <v>74</v>
      </c>
      <c r="BA179" t="s">
        <v>74</v>
      </c>
      <c r="BB179" t="s">
        <v>74</v>
      </c>
      <c r="BC179" t="s">
        <v>74</v>
      </c>
      <c r="BD179">
        <v>147</v>
      </c>
      <c r="BE179" t="s">
        <v>3932</v>
      </c>
      <c r="BF179" t="str">
        <f>HYPERLINK("http://dx.doi.org/10.1140/epjc/s10052-022-10034-4","http://dx.doi.org/10.1140/epjc/s10052-022-10034-4")</f>
        <v>http://dx.doi.org/10.1140/epjc/s10052-022-10034-4</v>
      </c>
      <c r="BG179" t="s">
        <v>74</v>
      </c>
      <c r="BH179" t="s">
        <v>74</v>
      </c>
      <c r="BI179">
        <v>23</v>
      </c>
      <c r="BJ179" t="s">
        <v>3933</v>
      </c>
      <c r="BK179" t="s">
        <v>103</v>
      </c>
      <c r="BL179" t="s">
        <v>3934</v>
      </c>
      <c r="BM179" t="s">
        <v>3935</v>
      </c>
      <c r="BN179" t="s">
        <v>74</v>
      </c>
      <c r="BO179" t="s">
        <v>371</v>
      </c>
      <c r="BP179" t="s">
        <v>74</v>
      </c>
      <c r="BQ179" t="s">
        <v>74</v>
      </c>
      <c r="BR179" t="s">
        <v>106</v>
      </c>
      <c r="BS179" t="s">
        <v>3936</v>
      </c>
      <c r="BT179" t="str">
        <f>HYPERLINK("https%3A%2F%2Fwww.webofscience.com%2Fwos%2Fwoscc%2Ffull-record%2FWOS:000756842100004","View Full Record in Web of Science")</f>
        <v>View Full Record in Web of Science</v>
      </c>
    </row>
    <row r="180" spans="1:72" x14ac:dyDescent="0.15">
      <c r="A180" t="s">
        <v>72</v>
      </c>
      <c r="B180" t="s">
        <v>3937</v>
      </c>
      <c r="C180" t="s">
        <v>74</v>
      </c>
      <c r="D180" t="s">
        <v>74</v>
      </c>
      <c r="E180" t="s">
        <v>74</v>
      </c>
      <c r="F180" t="s">
        <v>3938</v>
      </c>
      <c r="G180" t="s">
        <v>74</v>
      </c>
      <c r="H180" t="s">
        <v>74</v>
      </c>
      <c r="I180" t="s">
        <v>3939</v>
      </c>
      <c r="J180" t="s">
        <v>2724</v>
      </c>
      <c r="K180" t="s">
        <v>74</v>
      </c>
      <c r="L180" t="s">
        <v>74</v>
      </c>
      <c r="M180" t="s">
        <v>78</v>
      </c>
      <c r="N180" t="s">
        <v>79</v>
      </c>
      <c r="O180" t="s">
        <v>74</v>
      </c>
      <c r="P180" t="s">
        <v>74</v>
      </c>
      <c r="Q180" t="s">
        <v>74</v>
      </c>
      <c r="R180" t="s">
        <v>74</v>
      </c>
      <c r="S180" t="s">
        <v>74</v>
      </c>
      <c r="T180" t="s">
        <v>3940</v>
      </c>
      <c r="U180" t="s">
        <v>3941</v>
      </c>
      <c r="V180" t="s">
        <v>3942</v>
      </c>
      <c r="W180" t="s">
        <v>3943</v>
      </c>
      <c r="X180" t="s">
        <v>3944</v>
      </c>
      <c r="Y180" t="s">
        <v>3945</v>
      </c>
      <c r="Z180" t="s">
        <v>3946</v>
      </c>
      <c r="AA180" t="s">
        <v>74</v>
      </c>
      <c r="AB180" t="s">
        <v>3947</v>
      </c>
      <c r="AC180" t="s">
        <v>3948</v>
      </c>
      <c r="AD180" t="s">
        <v>3949</v>
      </c>
      <c r="AE180" t="s">
        <v>3950</v>
      </c>
      <c r="AF180" t="s">
        <v>74</v>
      </c>
      <c r="AG180">
        <v>37</v>
      </c>
      <c r="AH180">
        <v>6</v>
      </c>
      <c r="AI180">
        <v>7</v>
      </c>
      <c r="AJ180">
        <v>2</v>
      </c>
      <c r="AK180">
        <v>13</v>
      </c>
      <c r="AL180" t="s">
        <v>2632</v>
      </c>
      <c r="AM180" t="s">
        <v>2633</v>
      </c>
      <c r="AN180" t="s">
        <v>2634</v>
      </c>
      <c r="AO180" t="s">
        <v>74</v>
      </c>
      <c r="AP180" t="s">
        <v>2737</v>
      </c>
      <c r="AQ180" t="s">
        <v>74</v>
      </c>
      <c r="AR180" t="s">
        <v>2738</v>
      </c>
      <c r="AS180" t="s">
        <v>2739</v>
      </c>
      <c r="AT180" t="s">
        <v>840</v>
      </c>
      <c r="AU180">
        <v>2022</v>
      </c>
      <c r="AV180">
        <v>14</v>
      </c>
      <c r="AW180">
        <v>3</v>
      </c>
      <c r="AX180" t="s">
        <v>74</v>
      </c>
      <c r="AY180" t="s">
        <v>74</v>
      </c>
      <c r="AZ180" t="s">
        <v>74</v>
      </c>
      <c r="BA180" t="s">
        <v>74</v>
      </c>
      <c r="BB180" t="s">
        <v>74</v>
      </c>
      <c r="BC180" t="s">
        <v>74</v>
      </c>
      <c r="BD180">
        <v>619</v>
      </c>
      <c r="BE180" t="s">
        <v>3951</v>
      </c>
      <c r="BF180" t="str">
        <f>HYPERLINK("http://dx.doi.org/10.3390/rs14030619","http://dx.doi.org/10.3390/rs14030619")</f>
        <v>http://dx.doi.org/10.3390/rs14030619</v>
      </c>
      <c r="BG180" t="s">
        <v>74</v>
      </c>
      <c r="BH180" t="s">
        <v>74</v>
      </c>
      <c r="BI180">
        <v>16</v>
      </c>
      <c r="BJ180" t="s">
        <v>2741</v>
      </c>
      <c r="BK180" t="s">
        <v>103</v>
      </c>
      <c r="BL180" t="s">
        <v>2742</v>
      </c>
      <c r="BM180" t="s">
        <v>3952</v>
      </c>
      <c r="BN180" t="s">
        <v>74</v>
      </c>
      <c r="BO180" t="s">
        <v>445</v>
      </c>
      <c r="BP180" t="s">
        <v>74</v>
      </c>
      <c r="BQ180" t="s">
        <v>74</v>
      </c>
      <c r="BR180" t="s">
        <v>106</v>
      </c>
      <c r="BS180" t="s">
        <v>3953</v>
      </c>
      <c r="BT180" t="str">
        <f>HYPERLINK("https%3A%2F%2Fwww.webofscience.com%2Fwos%2Fwoscc%2Ffull-record%2FWOS:000756222900001","View Full Record in Web of Science")</f>
        <v>View Full Record in Web of Science</v>
      </c>
    </row>
    <row r="181" spans="1:72" x14ac:dyDescent="0.15">
      <c r="A181" t="s">
        <v>72</v>
      </c>
      <c r="B181" t="s">
        <v>3954</v>
      </c>
      <c r="C181" t="s">
        <v>74</v>
      </c>
      <c r="D181" t="s">
        <v>74</v>
      </c>
      <c r="E181" t="s">
        <v>74</v>
      </c>
      <c r="F181" t="s">
        <v>3955</v>
      </c>
      <c r="G181" t="s">
        <v>74</v>
      </c>
      <c r="H181" t="s">
        <v>74</v>
      </c>
      <c r="I181" t="s">
        <v>3956</v>
      </c>
      <c r="J181" t="s">
        <v>2724</v>
      </c>
      <c r="K181" t="s">
        <v>74</v>
      </c>
      <c r="L181" t="s">
        <v>74</v>
      </c>
      <c r="M181" t="s">
        <v>78</v>
      </c>
      <c r="N181" t="s">
        <v>79</v>
      </c>
      <c r="O181" t="s">
        <v>74</v>
      </c>
      <c r="P181" t="s">
        <v>74</v>
      </c>
      <c r="Q181" t="s">
        <v>74</v>
      </c>
      <c r="R181" t="s">
        <v>74</v>
      </c>
      <c r="S181" t="s">
        <v>74</v>
      </c>
      <c r="T181" t="s">
        <v>3957</v>
      </c>
      <c r="U181" t="s">
        <v>3958</v>
      </c>
      <c r="V181" t="s">
        <v>3959</v>
      </c>
      <c r="W181" t="s">
        <v>3960</v>
      </c>
      <c r="X181" t="s">
        <v>3961</v>
      </c>
      <c r="Y181" t="s">
        <v>3962</v>
      </c>
      <c r="Z181" t="s">
        <v>3963</v>
      </c>
      <c r="AA181" t="s">
        <v>3964</v>
      </c>
      <c r="AB181" t="s">
        <v>3965</v>
      </c>
      <c r="AC181" t="s">
        <v>74</v>
      </c>
      <c r="AD181" t="s">
        <v>74</v>
      </c>
      <c r="AE181" t="s">
        <v>74</v>
      </c>
      <c r="AF181" t="s">
        <v>74</v>
      </c>
      <c r="AG181">
        <v>48</v>
      </c>
      <c r="AH181">
        <v>0</v>
      </c>
      <c r="AI181">
        <v>0</v>
      </c>
      <c r="AJ181">
        <v>9</v>
      </c>
      <c r="AK181">
        <v>37</v>
      </c>
      <c r="AL181" t="s">
        <v>2632</v>
      </c>
      <c r="AM181" t="s">
        <v>2633</v>
      </c>
      <c r="AN181" t="s">
        <v>2634</v>
      </c>
      <c r="AO181" t="s">
        <v>74</v>
      </c>
      <c r="AP181" t="s">
        <v>2737</v>
      </c>
      <c r="AQ181" t="s">
        <v>74</v>
      </c>
      <c r="AR181" t="s">
        <v>2738</v>
      </c>
      <c r="AS181" t="s">
        <v>2739</v>
      </c>
      <c r="AT181" t="s">
        <v>840</v>
      </c>
      <c r="AU181">
        <v>2022</v>
      </c>
      <c r="AV181">
        <v>14</v>
      </c>
      <c r="AW181">
        <v>3</v>
      </c>
      <c r="AX181" t="s">
        <v>74</v>
      </c>
      <c r="AY181" t="s">
        <v>74</v>
      </c>
      <c r="AZ181" t="s">
        <v>74</v>
      </c>
      <c r="BA181" t="s">
        <v>74</v>
      </c>
      <c r="BB181" t="s">
        <v>74</v>
      </c>
      <c r="BC181" t="s">
        <v>74</v>
      </c>
      <c r="BD181">
        <v>556</v>
      </c>
      <c r="BE181" t="s">
        <v>3966</v>
      </c>
      <c r="BF181" t="str">
        <f>HYPERLINK("http://dx.doi.org/10.3390/rs14030556","http://dx.doi.org/10.3390/rs14030556")</f>
        <v>http://dx.doi.org/10.3390/rs14030556</v>
      </c>
      <c r="BG181" t="s">
        <v>74</v>
      </c>
      <c r="BH181" t="s">
        <v>74</v>
      </c>
      <c r="BI181">
        <v>18</v>
      </c>
      <c r="BJ181" t="s">
        <v>2741</v>
      </c>
      <c r="BK181" t="s">
        <v>103</v>
      </c>
      <c r="BL181" t="s">
        <v>2742</v>
      </c>
      <c r="BM181" t="s">
        <v>3967</v>
      </c>
      <c r="BN181" t="s">
        <v>74</v>
      </c>
      <c r="BO181" t="s">
        <v>445</v>
      </c>
      <c r="BP181" t="s">
        <v>74</v>
      </c>
      <c r="BQ181" t="s">
        <v>74</v>
      </c>
      <c r="BR181" t="s">
        <v>106</v>
      </c>
      <c r="BS181" t="s">
        <v>3968</v>
      </c>
      <c r="BT181" t="str">
        <f>HYPERLINK("https%3A%2F%2Fwww.webofscience.com%2Fwos%2Fwoscc%2Ffull-record%2FWOS:000755564200001","View Full Record in Web of Science")</f>
        <v>View Full Record in Web of Science</v>
      </c>
    </row>
    <row r="182" spans="1:72" x14ac:dyDescent="0.15">
      <c r="A182" t="s">
        <v>72</v>
      </c>
      <c r="B182" t="s">
        <v>3969</v>
      </c>
      <c r="C182" t="s">
        <v>74</v>
      </c>
      <c r="D182" t="s">
        <v>74</v>
      </c>
      <c r="E182" t="s">
        <v>74</v>
      </c>
      <c r="F182" t="s">
        <v>3970</v>
      </c>
      <c r="G182" t="s">
        <v>74</v>
      </c>
      <c r="H182" t="s">
        <v>74</v>
      </c>
      <c r="I182" t="s">
        <v>3971</v>
      </c>
      <c r="J182" t="s">
        <v>2724</v>
      </c>
      <c r="K182" t="s">
        <v>74</v>
      </c>
      <c r="L182" t="s">
        <v>74</v>
      </c>
      <c r="M182" t="s">
        <v>78</v>
      </c>
      <c r="N182" t="s">
        <v>79</v>
      </c>
      <c r="O182" t="s">
        <v>74</v>
      </c>
      <c r="P182" t="s">
        <v>74</v>
      </c>
      <c r="Q182" t="s">
        <v>74</v>
      </c>
      <c r="R182" t="s">
        <v>74</v>
      </c>
      <c r="S182" t="s">
        <v>74</v>
      </c>
      <c r="T182" t="s">
        <v>3972</v>
      </c>
      <c r="U182" t="s">
        <v>3973</v>
      </c>
      <c r="V182" t="s">
        <v>3974</v>
      </c>
      <c r="W182" t="s">
        <v>3975</v>
      </c>
      <c r="X182" t="s">
        <v>3976</v>
      </c>
      <c r="Y182" t="s">
        <v>3977</v>
      </c>
      <c r="Z182" t="s">
        <v>3978</v>
      </c>
      <c r="AA182" t="s">
        <v>74</v>
      </c>
      <c r="AB182" t="s">
        <v>3979</v>
      </c>
      <c r="AC182" t="s">
        <v>3980</v>
      </c>
      <c r="AD182" t="s">
        <v>3981</v>
      </c>
      <c r="AE182" t="s">
        <v>3982</v>
      </c>
      <c r="AF182" t="s">
        <v>74</v>
      </c>
      <c r="AG182">
        <v>34</v>
      </c>
      <c r="AH182">
        <v>2</v>
      </c>
      <c r="AI182">
        <v>2</v>
      </c>
      <c r="AJ182">
        <v>2</v>
      </c>
      <c r="AK182">
        <v>10</v>
      </c>
      <c r="AL182" t="s">
        <v>2632</v>
      </c>
      <c r="AM182" t="s">
        <v>2633</v>
      </c>
      <c r="AN182" t="s">
        <v>2634</v>
      </c>
      <c r="AO182" t="s">
        <v>74</v>
      </c>
      <c r="AP182" t="s">
        <v>2737</v>
      </c>
      <c r="AQ182" t="s">
        <v>74</v>
      </c>
      <c r="AR182" t="s">
        <v>2738</v>
      </c>
      <c r="AS182" t="s">
        <v>2739</v>
      </c>
      <c r="AT182" t="s">
        <v>840</v>
      </c>
      <c r="AU182">
        <v>2022</v>
      </c>
      <c r="AV182">
        <v>14</v>
      </c>
      <c r="AW182">
        <v>3</v>
      </c>
      <c r="AX182" t="s">
        <v>74</v>
      </c>
      <c r="AY182" t="s">
        <v>74</v>
      </c>
      <c r="AZ182" t="s">
        <v>74</v>
      </c>
      <c r="BA182" t="s">
        <v>74</v>
      </c>
      <c r="BB182" t="s">
        <v>74</v>
      </c>
      <c r="BC182" t="s">
        <v>74</v>
      </c>
      <c r="BD182">
        <v>665</v>
      </c>
      <c r="BE182" t="s">
        <v>3983</v>
      </c>
      <c r="BF182" t="str">
        <f>HYPERLINK("http://dx.doi.org/10.3390/rs14030665","http://dx.doi.org/10.3390/rs14030665")</f>
        <v>http://dx.doi.org/10.3390/rs14030665</v>
      </c>
      <c r="BG182" t="s">
        <v>74</v>
      </c>
      <c r="BH182" t="s">
        <v>74</v>
      </c>
      <c r="BI182">
        <v>14</v>
      </c>
      <c r="BJ182" t="s">
        <v>2741</v>
      </c>
      <c r="BK182" t="s">
        <v>103</v>
      </c>
      <c r="BL182" t="s">
        <v>2742</v>
      </c>
      <c r="BM182" t="s">
        <v>3984</v>
      </c>
      <c r="BN182" t="s">
        <v>74</v>
      </c>
      <c r="BO182" t="s">
        <v>445</v>
      </c>
      <c r="BP182" t="s">
        <v>74</v>
      </c>
      <c r="BQ182" t="s">
        <v>74</v>
      </c>
      <c r="BR182" t="s">
        <v>106</v>
      </c>
      <c r="BS182" t="s">
        <v>3985</v>
      </c>
      <c r="BT182" t="str">
        <f>HYPERLINK("https%3A%2F%2Fwww.webofscience.com%2Fwos%2Fwoscc%2Ffull-record%2FWOS:000756381500001","View Full Record in Web of Science")</f>
        <v>View Full Record in Web of Science</v>
      </c>
    </row>
    <row r="183" spans="1:72" x14ac:dyDescent="0.15">
      <c r="A183" t="s">
        <v>72</v>
      </c>
      <c r="B183" t="s">
        <v>3986</v>
      </c>
      <c r="C183" t="s">
        <v>74</v>
      </c>
      <c r="D183" t="s">
        <v>74</v>
      </c>
      <c r="E183" t="s">
        <v>74</v>
      </c>
      <c r="F183" t="s">
        <v>3987</v>
      </c>
      <c r="G183" t="s">
        <v>74</v>
      </c>
      <c r="H183" t="s">
        <v>74</v>
      </c>
      <c r="I183" t="s">
        <v>3988</v>
      </c>
      <c r="J183" t="s">
        <v>2724</v>
      </c>
      <c r="K183" t="s">
        <v>74</v>
      </c>
      <c r="L183" t="s">
        <v>74</v>
      </c>
      <c r="M183" t="s">
        <v>78</v>
      </c>
      <c r="N183" t="s">
        <v>79</v>
      </c>
      <c r="O183" t="s">
        <v>74</v>
      </c>
      <c r="P183" t="s">
        <v>74</v>
      </c>
      <c r="Q183" t="s">
        <v>74</v>
      </c>
      <c r="R183" t="s">
        <v>74</v>
      </c>
      <c r="S183" t="s">
        <v>74</v>
      </c>
      <c r="T183" t="s">
        <v>3989</v>
      </c>
      <c r="U183" t="s">
        <v>3990</v>
      </c>
      <c r="V183" t="s">
        <v>3991</v>
      </c>
      <c r="W183" t="s">
        <v>3992</v>
      </c>
      <c r="X183" t="s">
        <v>597</v>
      </c>
      <c r="Y183" t="s">
        <v>3993</v>
      </c>
      <c r="Z183" t="s">
        <v>3994</v>
      </c>
      <c r="AA183" t="s">
        <v>74</v>
      </c>
      <c r="AB183" t="s">
        <v>3995</v>
      </c>
      <c r="AC183" t="s">
        <v>3996</v>
      </c>
      <c r="AD183" t="s">
        <v>3997</v>
      </c>
      <c r="AE183" t="s">
        <v>3998</v>
      </c>
      <c r="AF183" t="s">
        <v>74</v>
      </c>
      <c r="AG183">
        <v>48</v>
      </c>
      <c r="AH183">
        <v>3</v>
      </c>
      <c r="AI183">
        <v>3</v>
      </c>
      <c r="AJ183">
        <v>1</v>
      </c>
      <c r="AK183">
        <v>26</v>
      </c>
      <c r="AL183" t="s">
        <v>2632</v>
      </c>
      <c r="AM183" t="s">
        <v>2633</v>
      </c>
      <c r="AN183" t="s">
        <v>2634</v>
      </c>
      <c r="AO183" t="s">
        <v>74</v>
      </c>
      <c r="AP183" t="s">
        <v>2737</v>
      </c>
      <c r="AQ183" t="s">
        <v>74</v>
      </c>
      <c r="AR183" t="s">
        <v>2738</v>
      </c>
      <c r="AS183" t="s">
        <v>2739</v>
      </c>
      <c r="AT183" t="s">
        <v>840</v>
      </c>
      <c r="AU183">
        <v>2022</v>
      </c>
      <c r="AV183">
        <v>14</v>
      </c>
      <c r="AW183">
        <v>3</v>
      </c>
      <c r="AX183" t="s">
        <v>74</v>
      </c>
      <c r="AY183" t="s">
        <v>74</v>
      </c>
      <c r="AZ183" t="s">
        <v>74</v>
      </c>
      <c r="BA183" t="s">
        <v>74</v>
      </c>
      <c r="BB183" t="s">
        <v>74</v>
      </c>
      <c r="BC183" t="s">
        <v>74</v>
      </c>
      <c r="BD183">
        <v>510</v>
      </c>
      <c r="BE183" t="s">
        <v>3999</v>
      </c>
      <c r="BF183" t="str">
        <f>HYPERLINK("http://dx.doi.org/10.3390/rs14030510","http://dx.doi.org/10.3390/rs14030510")</f>
        <v>http://dx.doi.org/10.3390/rs14030510</v>
      </c>
      <c r="BG183" t="s">
        <v>74</v>
      </c>
      <c r="BH183" t="s">
        <v>74</v>
      </c>
      <c r="BI183">
        <v>16</v>
      </c>
      <c r="BJ183" t="s">
        <v>2741</v>
      </c>
      <c r="BK183" t="s">
        <v>103</v>
      </c>
      <c r="BL183" t="s">
        <v>2742</v>
      </c>
      <c r="BM183" t="s">
        <v>4000</v>
      </c>
      <c r="BN183" t="s">
        <v>74</v>
      </c>
      <c r="BO183" t="s">
        <v>445</v>
      </c>
      <c r="BP183" t="s">
        <v>74</v>
      </c>
      <c r="BQ183" t="s">
        <v>74</v>
      </c>
      <c r="BR183" t="s">
        <v>106</v>
      </c>
      <c r="BS183" t="s">
        <v>4001</v>
      </c>
      <c r="BT183" t="str">
        <f>HYPERLINK("https%3A%2F%2Fwww.webofscience.com%2Fwos%2Fwoscc%2Ffull-record%2FWOS:000757453300001","View Full Record in Web of Science")</f>
        <v>View Full Record in Web of Science</v>
      </c>
    </row>
    <row r="184" spans="1:72" x14ac:dyDescent="0.15">
      <c r="A184" t="s">
        <v>72</v>
      </c>
      <c r="B184" t="s">
        <v>4002</v>
      </c>
      <c r="C184" t="s">
        <v>74</v>
      </c>
      <c r="D184" t="s">
        <v>74</v>
      </c>
      <c r="E184" t="s">
        <v>74</v>
      </c>
      <c r="F184" t="s">
        <v>4003</v>
      </c>
      <c r="G184" t="s">
        <v>74</v>
      </c>
      <c r="H184" t="s">
        <v>74</v>
      </c>
      <c r="I184" t="s">
        <v>4004</v>
      </c>
      <c r="J184" t="s">
        <v>4005</v>
      </c>
      <c r="K184" t="s">
        <v>74</v>
      </c>
      <c r="L184" t="s">
        <v>74</v>
      </c>
      <c r="M184" t="s">
        <v>78</v>
      </c>
      <c r="N184" t="s">
        <v>79</v>
      </c>
      <c r="O184" t="s">
        <v>74</v>
      </c>
      <c r="P184" t="s">
        <v>74</v>
      </c>
      <c r="Q184" t="s">
        <v>74</v>
      </c>
      <c r="R184" t="s">
        <v>74</v>
      </c>
      <c r="S184" t="s">
        <v>74</v>
      </c>
      <c r="T184" t="s">
        <v>4006</v>
      </c>
      <c r="U184" t="s">
        <v>4007</v>
      </c>
      <c r="V184" t="s">
        <v>4008</v>
      </c>
      <c r="W184" t="s">
        <v>4009</v>
      </c>
      <c r="X184" t="s">
        <v>4010</v>
      </c>
      <c r="Y184" t="s">
        <v>4011</v>
      </c>
      <c r="Z184" t="s">
        <v>4012</v>
      </c>
      <c r="AA184" t="s">
        <v>4013</v>
      </c>
      <c r="AB184" t="s">
        <v>74</v>
      </c>
      <c r="AC184" t="s">
        <v>4014</v>
      </c>
      <c r="AD184" t="s">
        <v>4015</v>
      </c>
      <c r="AE184" t="s">
        <v>4016</v>
      </c>
      <c r="AF184" t="s">
        <v>74</v>
      </c>
      <c r="AG184">
        <v>49</v>
      </c>
      <c r="AH184">
        <v>1</v>
      </c>
      <c r="AI184">
        <v>1</v>
      </c>
      <c r="AJ184">
        <v>3</v>
      </c>
      <c r="AK184">
        <v>38</v>
      </c>
      <c r="AL184" t="s">
        <v>2632</v>
      </c>
      <c r="AM184" t="s">
        <v>2633</v>
      </c>
      <c r="AN184" t="s">
        <v>2634</v>
      </c>
      <c r="AO184" t="s">
        <v>4017</v>
      </c>
      <c r="AP184" t="s">
        <v>4018</v>
      </c>
      <c r="AQ184" t="s">
        <v>74</v>
      </c>
      <c r="AR184" t="s">
        <v>4019</v>
      </c>
      <c r="AS184" t="s">
        <v>4020</v>
      </c>
      <c r="AT184" t="s">
        <v>840</v>
      </c>
      <c r="AU184">
        <v>2022</v>
      </c>
      <c r="AV184">
        <v>23</v>
      </c>
      <c r="AW184">
        <v>3</v>
      </c>
      <c r="AX184" t="s">
        <v>74</v>
      </c>
      <c r="AY184" t="s">
        <v>74</v>
      </c>
      <c r="AZ184" t="s">
        <v>74</v>
      </c>
      <c r="BA184" t="s">
        <v>74</v>
      </c>
      <c r="BB184" t="s">
        <v>74</v>
      </c>
      <c r="BC184" t="s">
        <v>74</v>
      </c>
      <c r="BD184">
        <v>1313</v>
      </c>
      <c r="BE184" t="s">
        <v>4021</v>
      </c>
      <c r="BF184" t="str">
        <f>HYPERLINK("http://dx.doi.org/10.3390/ijms23031313","http://dx.doi.org/10.3390/ijms23031313")</f>
        <v>http://dx.doi.org/10.3390/ijms23031313</v>
      </c>
      <c r="BG184" t="s">
        <v>74</v>
      </c>
      <c r="BH184" t="s">
        <v>74</v>
      </c>
      <c r="BI184">
        <v>16</v>
      </c>
      <c r="BJ184" t="s">
        <v>4022</v>
      </c>
      <c r="BK184" t="s">
        <v>103</v>
      </c>
      <c r="BL184" t="s">
        <v>4023</v>
      </c>
      <c r="BM184" t="s">
        <v>4024</v>
      </c>
      <c r="BN184">
        <v>35163237</v>
      </c>
      <c r="BO184" t="s">
        <v>211</v>
      </c>
      <c r="BP184" t="s">
        <v>74</v>
      </c>
      <c r="BQ184" t="s">
        <v>74</v>
      </c>
      <c r="BR184" t="s">
        <v>106</v>
      </c>
      <c r="BS184" t="s">
        <v>4025</v>
      </c>
      <c r="BT184" t="str">
        <f>HYPERLINK("https%3A%2F%2Fwww.webofscience.com%2Fwos%2Fwoscc%2Ffull-record%2FWOS:000755704600001","View Full Record in Web of Science")</f>
        <v>View Full Record in Web of Science</v>
      </c>
    </row>
    <row r="185" spans="1:72" x14ac:dyDescent="0.15">
      <c r="A185" t="s">
        <v>72</v>
      </c>
      <c r="B185" t="s">
        <v>4026</v>
      </c>
      <c r="C185" t="s">
        <v>74</v>
      </c>
      <c r="D185" t="s">
        <v>74</v>
      </c>
      <c r="E185" t="s">
        <v>74</v>
      </c>
      <c r="F185" t="s">
        <v>4027</v>
      </c>
      <c r="G185" t="s">
        <v>74</v>
      </c>
      <c r="H185" t="s">
        <v>74</v>
      </c>
      <c r="I185" t="s">
        <v>4028</v>
      </c>
      <c r="J185" t="s">
        <v>4029</v>
      </c>
      <c r="K185" t="s">
        <v>74</v>
      </c>
      <c r="L185" t="s">
        <v>74</v>
      </c>
      <c r="M185" t="s">
        <v>78</v>
      </c>
      <c r="N185" t="s">
        <v>4030</v>
      </c>
      <c r="O185" t="s">
        <v>74</v>
      </c>
      <c r="P185" t="s">
        <v>74</v>
      </c>
      <c r="Q185" t="s">
        <v>74</v>
      </c>
      <c r="R185" t="s">
        <v>74</v>
      </c>
      <c r="S185" t="s">
        <v>74</v>
      </c>
      <c r="T185" t="s">
        <v>74</v>
      </c>
      <c r="U185" t="s">
        <v>74</v>
      </c>
      <c r="V185" t="s">
        <v>74</v>
      </c>
      <c r="W185" t="s">
        <v>4031</v>
      </c>
      <c r="X185" t="s">
        <v>4032</v>
      </c>
      <c r="Y185" t="s">
        <v>4033</v>
      </c>
      <c r="Z185" t="s">
        <v>74</v>
      </c>
      <c r="AA185" t="s">
        <v>74</v>
      </c>
      <c r="AB185" t="s">
        <v>74</v>
      </c>
      <c r="AC185" t="s">
        <v>74</v>
      </c>
      <c r="AD185" t="s">
        <v>74</v>
      </c>
      <c r="AE185" t="s">
        <v>74</v>
      </c>
      <c r="AF185" t="s">
        <v>74</v>
      </c>
      <c r="AG185">
        <v>5</v>
      </c>
      <c r="AH185">
        <v>0</v>
      </c>
      <c r="AI185">
        <v>0</v>
      </c>
      <c r="AJ185">
        <v>0</v>
      </c>
      <c r="AK185">
        <v>1</v>
      </c>
      <c r="AL185" t="s">
        <v>171</v>
      </c>
      <c r="AM185" t="s">
        <v>172</v>
      </c>
      <c r="AN185" t="s">
        <v>173</v>
      </c>
      <c r="AO185" t="s">
        <v>4034</v>
      </c>
      <c r="AP185" t="s">
        <v>4035</v>
      </c>
      <c r="AQ185" t="s">
        <v>74</v>
      </c>
      <c r="AR185" t="s">
        <v>4036</v>
      </c>
      <c r="AS185" t="s">
        <v>4037</v>
      </c>
      <c r="AT185" t="s">
        <v>840</v>
      </c>
      <c r="AU185">
        <v>2022</v>
      </c>
      <c r="AV185">
        <v>20</v>
      </c>
      <c r="AW185">
        <v>1</v>
      </c>
      <c r="AX185" t="s">
        <v>74</v>
      </c>
      <c r="AY185" t="s">
        <v>74</v>
      </c>
      <c r="AZ185" t="s">
        <v>74</v>
      </c>
      <c r="BA185" t="s">
        <v>74</v>
      </c>
      <c r="BB185">
        <v>7</v>
      </c>
      <c r="BC185">
        <v>7</v>
      </c>
      <c r="BD185" t="s">
        <v>74</v>
      </c>
      <c r="BE185" t="s">
        <v>4038</v>
      </c>
      <c r="BF185" t="str">
        <f>HYPERLINK("http://dx.doi.org/10.1002/fee.2461","http://dx.doi.org/10.1002/fee.2461")</f>
        <v>http://dx.doi.org/10.1002/fee.2461</v>
      </c>
      <c r="BG185" t="s">
        <v>74</v>
      </c>
      <c r="BH185" t="s">
        <v>74</v>
      </c>
      <c r="BI185">
        <v>1</v>
      </c>
      <c r="BJ185" t="s">
        <v>4039</v>
      </c>
      <c r="BK185" t="s">
        <v>103</v>
      </c>
      <c r="BL185" t="s">
        <v>1561</v>
      </c>
      <c r="BM185" t="s">
        <v>4040</v>
      </c>
      <c r="BN185" t="s">
        <v>74</v>
      </c>
      <c r="BO185" t="s">
        <v>1613</v>
      </c>
      <c r="BP185" t="s">
        <v>74</v>
      </c>
      <c r="BQ185" t="s">
        <v>74</v>
      </c>
      <c r="BR185" t="s">
        <v>106</v>
      </c>
      <c r="BS185" t="s">
        <v>4041</v>
      </c>
      <c r="BT185" t="str">
        <f>HYPERLINK("https%3A%2F%2Fwww.webofscience.com%2Fwos%2Fwoscc%2Ffull-record%2FWOS:000748955200009","View Full Record in Web of Science")</f>
        <v>View Full Record in Web of Science</v>
      </c>
    </row>
    <row r="186" spans="1:72" x14ac:dyDescent="0.15">
      <c r="A186" t="s">
        <v>72</v>
      </c>
      <c r="B186" t="s">
        <v>4042</v>
      </c>
      <c r="C186" t="s">
        <v>74</v>
      </c>
      <c r="D186" t="s">
        <v>74</v>
      </c>
      <c r="E186" t="s">
        <v>74</v>
      </c>
      <c r="F186" t="s">
        <v>4043</v>
      </c>
      <c r="G186" t="s">
        <v>74</v>
      </c>
      <c r="H186" t="s">
        <v>74</v>
      </c>
      <c r="I186" t="s">
        <v>4044</v>
      </c>
      <c r="J186" t="s">
        <v>111</v>
      </c>
      <c r="K186" t="s">
        <v>74</v>
      </c>
      <c r="L186" t="s">
        <v>74</v>
      </c>
      <c r="M186" t="s">
        <v>78</v>
      </c>
      <c r="N186" t="s">
        <v>79</v>
      </c>
      <c r="O186" t="s">
        <v>74</v>
      </c>
      <c r="P186" t="s">
        <v>74</v>
      </c>
      <c r="Q186" t="s">
        <v>74</v>
      </c>
      <c r="R186" t="s">
        <v>74</v>
      </c>
      <c r="S186" t="s">
        <v>74</v>
      </c>
      <c r="T186" t="s">
        <v>74</v>
      </c>
      <c r="U186" t="s">
        <v>4045</v>
      </c>
      <c r="V186" t="s">
        <v>4046</v>
      </c>
      <c r="W186" t="s">
        <v>4047</v>
      </c>
      <c r="X186" t="s">
        <v>4048</v>
      </c>
      <c r="Y186" t="s">
        <v>4049</v>
      </c>
      <c r="Z186" t="s">
        <v>4050</v>
      </c>
      <c r="AA186" t="s">
        <v>4051</v>
      </c>
      <c r="AB186" t="s">
        <v>4052</v>
      </c>
      <c r="AC186" t="s">
        <v>4053</v>
      </c>
      <c r="AD186" t="s">
        <v>4054</v>
      </c>
      <c r="AE186" t="s">
        <v>4055</v>
      </c>
      <c r="AF186" t="s">
        <v>74</v>
      </c>
      <c r="AG186">
        <v>68</v>
      </c>
      <c r="AH186">
        <v>6</v>
      </c>
      <c r="AI186">
        <v>6</v>
      </c>
      <c r="AJ186">
        <v>7</v>
      </c>
      <c r="AK186">
        <v>9</v>
      </c>
      <c r="AL186" t="s">
        <v>120</v>
      </c>
      <c r="AM186" t="s">
        <v>121</v>
      </c>
      <c r="AN186" t="s">
        <v>122</v>
      </c>
      <c r="AO186" t="s">
        <v>123</v>
      </c>
      <c r="AP186" t="s">
        <v>124</v>
      </c>
      <c r="AQ186" t="s">
        <v>74</v>
      </c>
      <c r="AR186" t="s">
        <v>125</v>
      </c>
      <c r="AS186" t="s">
        <v>126</v>
      </c>
      <c r="AT186" t="s">
        <v>3228</v>
      </c>
      <c r="AU186">
        <v>2022</v>
      </c>
      <c r="AV186">
        <v>22</v>
      </c>
      <c r="AW186">
        <v>2</v>
      </c>
      <c r="AX186" t="s">
        <v>74</v>
      </c>
      <c r="AY186" t="s">
        <v>74</v>
      </c>
      <c r="AZ186" t="s">
        <v>74</v>
      </c>
      <c r="BA186" t="s">
        <v>74</v>
      </c>
      <c r="BB186">
        <v>1529</v>
      </c>
      <c r="BC186">
        <v>1548</v>
      </c>
      <c r="BD186" t="s">
        <v>74</v>
      </c>
      <c r="BE186" t="s">
        <v>4056</v>
      </c>
      <c r="BF186" t="str">
        <f>HYPERLINK("http://dx.doi.org/10.5194/acp-22-1529-2022","http://dx.doi.org/10.5194/acp-22-1529-2022")</f>
        <v>http://dx.doi.org/10.5194/acp-22-1529-2022</v>
      </c>
      <c r="BG186" t="s">
        <v>74</v>
      </c>
      <c r="BH186" t="s">
        <v>74</v>
      </c>
      <c r="BI186">
        <v>20</v>
      </c>
      <c r="BJ186" t="s">
        <v>129</v>
      </c>
      <c r="BK186" t="s">
        <v>103</v>
      </c>
      <c r="BL186" t="s">
        <v>130</v>
      </c>
      <c r="BM186" t="s">
        <v>4057</v>
      </c>
      <c r="BN186" t="s">
        <v>74</v>
      </c>
      <c r="BO186" t="s">
        <v>132</v>
      </c>
      <c r="BP186" t="s">
        <v>74</v>
      </c>
      <c r="BQ186" t="s">
        <v>74</v>
      </c>
      <c r="BR186" t="s">
        <v>106</v>
      </c>
      <c r="BS186" t="s">
        <v>4058</v>
      </c>
      <c r="BT186" t="str">
        <f>HYPERLINK("https%3A%2F%2Fwww.webofscience.com%2Fwos%2Fwoscc%2Ffull-record%2FWOS:000751425500001","View Full Record in Web of Science")</f>
        <v>View Full Record in Web of Science</v>
      </c>
    </row>
    <row r="187" spans="1:72" x14ac:dyDescent="0.15">
      <c r="A187" t="s">
        <v>72</v>
      </c>
      <c r="B187" t="s">
        <v>4059</v>
      </c>
      <c r="C187" t="s">
        <v>74</v>
      </c>
      <c r="D187" t="s">
        <v>74</v>
      </c>
      <c r="E187" t="s">
        <v>74</v>
      </c>
      <c r="F187" t="s">
        <v>4060</v>
      </c>
      <c r="G187" t="s">
        <v>74</v>
      </c>
      <c r="H187" t="s">
        <v>74</v>
      </c>
      <c r="I187" t="s">
        <v>4061</v>
      </c>
      <c r="J187" t="s">
        <v>111</v>
      </c>
      <c r="K187" t="s">
        <v>74</v>
      </c>
      <c r="L187" t="s">
        <v>74</v>
      </c>
      <c r="M187" t="s">
        <v>78</v>
      </c>
      <c r="N187" t="s">
        <v>79</v>
      </c>
      <c r="O187" t="s">
        <v>74</v>
      </c>
      <c r="P187" t="s">
        <v>74</v>
      </c>
      <c r="Q187" t="s">
        <v>74</v>
      </c>
      <c r="R187" t="s">
        <v>74</v>
      </c>
      <c r="S187" t="s">
        <v>74</v>
      </c>
      <c r="T187" t="s">
        <v>74</v>
      </c>
      <c r="U187" t="s">
        <v>4062</v>
      </c>
      <c r="V187" t="s">
        <v>4063</v>
      </c>
      <c r="W187" t="s">
        <v>4064</v>
      </c>
      <c r="X187" t="s">
        <v>4065</v>
      </c>
      <c r="Y187" t="s">
        <v>4066</v>
      </c>
      <c r="Z187" t="s">
        <v>4067</v>
      </c>
      <c r="AA187" t="s">
        <v>4068</v>
      </c>
      <c r="AB187" t="s">
        <v>4069</v>
      </c>
      <c r="AC187" t="s">
        <v>4070</v>
      </c>
      <c r="AD187" t="s">
        <v>4071</v>
      </c>
      <c r="AE187" t="s">
        <v>4072</v>
      </c>
      <c r="AF187" t="s">
        <v>74</v>
      </c>
      <c r="AG187">
        <v>78</v>
      </c>
      <c r="AH187">
        <v>3</v>
      </c>
      <c r="AI187">
        <v>4</v>
      </c>
      <c r="AJ187">
        <v>6</v>
      </c>
      <c r="AK187">
        <v>33</v>
      </c>
      <c r="AL187" t="s">
        <v>120</v>
      </c>
      <c r="AM187" t="s">
        <v>121</v>
      </c>
      <c r="AN187" t="s">
        <v>122</v>
      </c>
      <c r="AO187" t="s">
        <v>123</v>
      </c>
      <c r="AP187" t="s">
        <v>124</v>
      </c>
      <c r="AQ187" t="s">
        <v>74</v>
      </c>
      <c r="AR187" t="s">
        <v>125</v>
      </c>
      <c r="AS187" t="s">
        <v>126</v>
      </c>
      <c r="AT187" t="s">
        <v>3228</v>
      </c>
      <c r="AU187">
        <v>2022</v>
      </c>
      <c r="AV187">
        <v>22</v>
      </c>
      <c r="AW187">
        <v>2</v>
      </c>
      <c r="AX187" t="s">
        <v>74</v>
      </c>
      <c r="AY187" t="s">
        <v>74</v>
      </c>
      <c r="AZ187" t="s">
        <v>74</v>
      </c>
      <c r="BA187" t="s">
        <v>74</v>
      </c>
      <c r="BB187">
        <v>1575</v>
      </c>
      <c r="BC187">
        <v>1600</v>
      </c>
      <c r="BD187" t="s">
        <v>74</v>
      </c>
      <c r="BE187" t="s">
        <v>4073</v>
      </c>
      <c r="BF187" t="str">
        <f>HYPERLINK("http://dx.doi.org/10.5194/acp-22-1575-2022","http://dx.doi.org/10.5194/acp-22-1575-2022")</f>
        <v>http://dx.doi.org/10.5194/acp-22-1575-2022</v>
      </c>
      <c r="BG187" t="s">
        <v>74</v>
      </c>
      <c r="BH187" t="s">
        <v>74</v>
      </c>
      <c r="BI187">
        <v>26</v>
      </c>
      <c r="BJ187" t="s">
        <v>129</v>
      </c>
      <c r="BK187" t="s">
        <v>103</v>
      </c>
      <c r="BL187" t="s">
        <v>130</v>
      </c>
      <c r="BM187" t="s">
        <v>4074</v>
      </c>
      <c r="BN187" t="s">
        <v>74</v>
      </c>
      <c r="BO187" t="s">
        <v>132</v>
      </c>
      <c r="BP187" t="s">
        <v>74</v>
      </c>
      <c r="BQ187" t="s">
        <v>74</v>
      </c>
      <c r="BR187" t="s">
        <v>106</v>
      </c>
      <c r="BS187" t="s">
        <v>4075</v>
      </c>
      <c r="BT187" t="str">
        <f>HYPERLINK("https%3A%2F%2Fwww.webofscience.com%2Fwos%2Fwoscc%2Ffull-record%2FWOS:000751426600001","View Full Record in Web of Science")</f>
        <v>View Full Record in Web of Science</v>
      </c>
    </row>
    <row r="188" spans="1:72" x14ac:dyDescent="0.15">
      <c r="A188" t="s">
        <v>72</v>
      </c>
      <c r="B188" t="s">
        <v>4076</v>
      </c>
      <c r="C188" t="s">
        <v>74</v>
      </c>
      <c r="D188" t="s">
        <v>74</v>
      </c>
      <c r="E188" t="s">
        <v>74</v>
      </c>
      <c r="F188" t="s">
        <v>4077</v>
      </c>
      <c r="G188" t="s">
        <v>74</v>
      </c>
      <c r="H188" t="s">
        <v>74</v>
      </c>
      <c r="I188" t="s">
        <v>4078</v>
      </c>
      <c r="J188" t="s">
        <v>137</v>
      </c>
      <c r="K188" t="s">
        <v>74</v>
      </c>
      <c r="L188" t="s">
        <v>74</v>
      </c>
      <c r="M188" t="s">
        <v>78</v>
      </c>
      <c r="N188" t="s">
        <v>79</v>
      </c>
      <c r="O188" t="s">
        <v>74</v>
      </c>
      <c r="P188" t="s">
        <v>74</v>
      </c>
      <c r="Q188" t="s">
        <v>74</v>
      </c>
      <c r="R188" t="s">
        <v>74</v>
      </c>
      <c r="S188" t="s">
        <v>74</v>
      </c>
      <c r="T188" t="s">
        <v>74</v>
      </c>
      <c r="U188" t="s">
        <v>4079</v>
      </c>
      <c r="V188" t="s">
        <v>4080</v>
      </c>
      <c r="W188" t="s">
        <v>4081</v>
      </c>
      <c r="X188" t="s">
        <v>4082</v>
      </c>
      <c r="Y188" t="s">
        <v>4083</v>
      </c>
      <c r="Z188" t="s">
        <v>4084</v>
      </c>
      <c r="AA188" t="s">
        <v>4085</v>
      </c>
      <c r="AB188" t="s">
        <v>4086</v>
      </c>
      <c r="AC188" t="s">
        <v>4087</v>
      </c>
      <c r="AD188" t="s">
        <v>4088</v>
      </c>
      <c r="AE188" t="s">
        <v>4089</v>
      </c>
      <c r="AF188" t="s">
        <v>74</v>
      </c>
      <c r="AG188">
        <v>102</v>
      </c>
      <c r="AH188">
        <v>5</v>
      </c>
      <c r="AI188">
        <v>5</v>
      </c>
      <c r="AJ188">
        <v>2</v>
      </c>
      <c r="AK188">
        <v>11</v>
      </c>
      <c r="AL188" t="s">
        <v>120</v>
      </c>
      <c r="AM188" t="s">
        <v>121</v>
      </c>
      <c r="AN188" t="s">
        <v>122</v>
      </c>
      <c r="AO188" t="s">
        <v>146</v>
      </c>
      <c r="AP188" t="s">
        <v>147</v>
      </c>
      <c r="AQ188" t="s">
        <v>74</v>
      </c>
      <c r="AR188" t="s">
        <v>148</v>
      </c>
      <c r="AS188" t="s">
        <v>149</v>
      </c>
      <c r="AT188" t="s">
        <v>3228</v>
      </c>
      <c r="AU188">
        <v>2022</v>
      </c>
      <c r="AV188">
        <v>15</v>
      </c>
      <c r="AW188">
        <v>2</v>
      </c>
      <c r="AX188" t="s">
        <v>74</v>
      </c>
      <c r="AY188" t="s">
        <v>74</v>
      </c>
      <c r="AZ188" t="s">
        <v>74</v>
      </c>
      <c r="BA188" t="s">
        <v>74</v>
      </c>
      <c r="BB188">
        <v>901</v>
      </c>
      <c r="BC188">
        <v>927</v>
      </c>
      <c r="BD188" t="s">
        <v>74</v>
      </c>
      <c r="BE188" t="s">
        <v>4090</v>
      </c>
      <c r="BF188" t="str">
        <f>HYPERLINK("http://dx.doi.org/10.5194/gmd-15-901-2022","http://dx.doi.org/10.5194/gmd-15-901-2022")</f>
        <v>http://dx.doi.org/10.5194/gmd-15-901-2022</v>
      </c>
      <c r="BG188" t="s">
        <v>74</v>
      </c>
      <c r="BH188" t="s">
        <v>74</v>
      </c>
      <c r="BI188">
        <v>27</v>
      </c>
      <c r="BJ188" t="s">
        <v>151</v>
      </c>
      <c r="BK188" t="s">
        <v>103</v>
      </c>
      <c r="BL188" t="s">
        <v>152</v>
      </c>
      <c r="BM188" t="s">
        <v>4091</v>
      </c>
      <c r="BN188" t="s">
        <v>74</v>
      </c>
      <c r="BO188" t="s">
        <v>154</v>
      </c>
      <c r="BP188" t="s">
        <v>74</v>
      </c>
      <c r="BQ188" t="s">
        <v>74</v>
      </c>
      <c r="BR188" t="s">
        <v>106</v>
      </c>
      <c r="BS188" t="s">
        <v>4092</v>
      </c>
      <c r="BT188" t="str">
        <f>HYPERLINK("https%3A%2F%2Fwww.webofscience.com%2Fwos%2Fwoscc%2Ffull-record%2FWOS:000751433700001","View Full Record in Web of Science")</f>
        <v>View Full Record in Web of Science</v>
      </c>
    </row>
    <row r="189" spans="1:72" x14ac:dyDescent="0.15">
      <c r="A189" t="s">
        <v>72</v>
      </c>
      <c r="B189" t="s">
        <v>4093</v>
      </c>
      <c r="C189" t="s">
        <v>74</v>
      </c>
      <c r="D189" t="s">
        <v>74</v>
      </c>
      <c r="E189" t="s">
        <v>74</v>
      </c>
      <c r="F189" t="s">
        <v>4094</v>
      </c>
      <c r="G189" t="s">
        <v>74</v>
      </c>
      <c r="H189" t="s">
        <v>74</v>
      </c>
      <c r="I189" t="s">
        <v>4095</v>
      </c>
      <c r="J189" t="s">
        <v>4096</v>
      </c>
      <c r="K189" t="s">
        <v>74</v>
      </c>
      <c r="L189" t="s">
        <v>74</v>
      </c>
      <c r="M189" t="s">
        <v>78</v>
      </c>
      <c r="N189" t="s">
        <v>79</v>
      </c>
      <c r="O189" t="s">
        <v>74</v>
      </c>
      <c r="P189" t="s">
        <v>74</v>
      </c>
      <c r="Q189" t="s">
        <v>74</v>
      </c>
      <c r="R189" t="s">
        <v>74</v>
      </c>
      <c r="S189" t="s">
        <v>74</v>
      </c>
      <c r="T189" t="s">
        <v>74</v>
      </c>
      <c r="U189" t="s">
        <v>4097</v>
      </c>
      <c r="V189" t="s">
        <v>4098</v>
      </c>
      <c r="W189" t="s">
        <v>4099</v>
      </c>
      <c r="X189" t="s">
        <v>4100</v>
      </c>
      <c r="Y189" t="s">
        <v>4101</v>
      </c>
      <c r="Z189" t="s">
        <v>4102</v>
      </c>
      <c r="AA189" t="s">
        <v>74</v>
      </c>
      <c r="AB189" t="s">
        <v>74</v>
      </c>
      <c r="AC189" t="s">
        <v>4103</v>
      </c>
      <c r="AD189" t="s">
        <v>4104</v>
      </c>
      <c r="AE189" t="s">
        <v>4105</v>
      </c>
      <c r="AF189" t="s">
        <v>74</v>
      </c>
      <c r="AG189">
        <v>55</v>
      </c>
      <c r="AH189">
        <v>1</v>
      </c>
      <c r="AI189">
        <v>1</v>
      </c>
      <c r="AJ189">
        <v>0</v>
      </c>
      <c r="AK189">
        <v>2</v>
      </c>
      <c r="AL189" t="s">
        <v>3816</v>
      </c>
      <c r="AM189" t="s">
        <v>3817</v>
      </c>
      <c r="AN189" t="s">
        <v>3818</v>
      </c>
      <c r="AO189" t="s">
        <v>4106</v>
      </c>
      <c r="AP189" t="s">
        <v>4107</v>
      </c>
      <c r="AQ189" t="s">
        <v>74</v>
      </c>
      <c r="AR189" t="s">
        <v>4108</v>
      </c>
      <c r="AS189" t="s">
        <v>4109</v>
      </c>
      <c r="AT189" t="s">
        <v>3228</v>
      </c>
      <c r="AU189">
        <v>2022</v>
      </c>
      <c r="AV189">
        <v>925</v>
      </c>
      <c r="AW189">
        <v>2</v>
      </c>
      <c r="AX189" t="s">
        <v>74</v>
      </c>
      <c r="AY189" t="s">
        <v>74</v>
      </c>
      <c r="AZ189" t="s">
        <v>74</v>
      </c>
      <c r="BA189" t="s">
        <v>74</v>
      </c>
      <c r="BB189" t="s">
        <v>74</v>
      </c>
      <c r="BC189" t="s">
        <v>74</v>
      </c>
      <c r="BD189">
        <v>114</v>
      </c>
      <c r="BE189" t="s">
        <v>4110</v>
      </c>
      <c r="BF189" t="str">
        <f>HYPERLINK("http://dx.doi.org/10.3847/1538-4357/ac37c0","http://dx.doi.org/10.3847/1538-4357/ac37c0")</f>
        <v>http://dx.doi.org/10.3847/1538-4357/ac37c0</v>
      </c>
      <c r="BG189" t="s">
        <v>74</v>
      </c>
      <c r="BH189" t="s">
        <v>74</v>
      </c>
      <c r="BI189">
        <v>11</v>
      </c>
      <c r="BJ189" t="s">
        <v>262</v>
      </c>
      <c r="BK189" t="s">
        <v>103</v>
      </c>
      <c r="BL189" t="s">
        <v>262</v>
      </c>
      <c r="BM189" t="s">
        <v>4111</v>
      </c>
      <c r="BN189" t="s">
        <v>74</v>
      </c>
      <c r="BO189" t="s">
        <v>2468</v>
      </c>
      <c r="BP189" t="s">
        <v>74</v>
      </c>
      <c r="BQ189" t="s">
        <v>74</v>
      </c>
      <c r="BR189" t="s">
        <v>106</v>
      </c>
      <c r="BS189" t="s">
        <v>4112</v>
      </c>
      <c r="BT189" t="str">
        <f>HYPERLINK("https%3A%2F%2Fwww.webofscience.com%2Fwos%2Fwoscc%2Ffull-record%2FWOS:000749511700001","View Full Record in Web of Science")</f>
        <v>View Full Record in Web of Science</v>
      </c>
    </row>
    <row r="190" spans="1:72" x14ac:dyDescent="0.15">
      <c r="A190" t="s">
        <v>72</v>
      </c>
      <c r="B190" t="s">
        <v>4113</v>
      </c>
      <c r="C190" t="s">
        <v>74</v>
      </c>
      <c r="D190" t="s">
        <v>74</v>
      </c>
      <c r="E190" t="s">
        <v>74</v>
      </c>
      <c r="F190" t="s">
        <v>4114</v>
      </c>
      <c r="G190" t="s">
        <v>74</v>
      </c>
      <c r="H190" t="s">
        <v>74</v>
      </c>
      <c r="I190" t="s">
        <v>4115</v>
      </c>
      <c r="J190" t="s">
        <v>4116</v>
      </c>
      <c r="K190" t="s">
        <v>74</v>
      </c>
      <c r="L190" t="s">
        <v>74</v>
      </c>
      <c r="M190" t="s">
        <v>78</v>
      </c>
      <c r="N190" t="s">
        <v>79</v>
      </c>
      <c r="O190" t="s">
        <v>74</v>
      </c>
      <c r="P190" t="s">
        <v>74</v>
      </c>
      <c r="Q190" t="s">
        <v>74</v>
      </c>
      <c r="R190" t="s">
        <v>74</v>
      </c>
      <c r="S190" t="s">
        <v>74</v>
      </c>
      <c r="T190" t="s">
        <v>4117</v>
      </c>
      <c r="U190" t="s">
        <v>4118</v>
      </c>
      <c r="V190" t="s">
        <v>4119</v>
      </c>
      <c r="W190" t="s">
        <v>4120</v>
      </c>
      <c r="X190" t="s">
        <v>4121</v>
      </c>
      <c r="Y190" t="s">
        <v>4122</v>
      </c>
      <c r="Z190" t="s">
        <v>4123</v>
      </c>
      <c r="AA190" t="s">
        <v>4124</v>
      </c>
      <c r="AB190" t="s">
        <v>4125</v>
      </c>
      <c r="AC190" t="s">
        <v>4126</v>
      </c>
      <c r="AD190" t="s">
        <v>4127</v>
      </c>
      <c r="AE190" t="s">
        <v>4128</v>
      </c>
      <c r="AF190" t="s">
        <v>74</v>
      </c>
      <c r="AG190">
        <v>65</v>
      </c>
      <c r="AH190">
        <v>2</v>
      </c>
      <c r="AI190">
        <v>2</v>
      </c>
      <c r="AJ190">
        <v>1</v>
      </c>
      <c r="AK190">
        <v>5</v>
      </c>
      <c r="AL190" t="s">
        <v>4129</v>
      </c>
      <c r="AM190" t="s">
        <v>4130</v>
      </c>
      <c r="AN190" t="s">
        <v>4131</v>
      </c>
      <c r="AO190" t="s">
        <v>4132</v>
      </c>
      <c r="AP190" t="s">
        <v>4133</v>
      </c>
      <c r="AQ190" t="s">
        <v>74</v>
      </c>
      <c r="AR190" t="s">
        <v>4134</v>
      </c>
      <c r="AS190" t="s">
        <v>4135</v>
      </c>
      <c r="AT190" t="s">
        <v>840</v>
      </c>
      <c r="AU190">
        <v>2022</v>
      </c>
      <c r="AV190">
        <v>169</v>
      </c>
      <c r="AW190">
        <v>2</v>
      </c>
      <c r="AX190" t="s">
        <v>74</v>
      </c>
      <c r="AY190" t="s">
        <v>74</v>
      </c>
      <c r="AZ190" t="s">
        <v>74</v>
      </c>
      <c r="BA190" t="s">
        <v>74</v>
      </c>
      <c r="BB190" t="s">
        <v>74</v>
      </c>
      <c r="BC190" t="s">
        <v>74</v>
      </c>
      <c r="BD190">
        <v>24</v>
      </c>
      <c r="BE190" t="s">
        <v>4136</v>
      </c>
      <c r="BF190" t="str">
        <f>HYPERLINK("http://dx.doi.org/10.1007/s00227-021-04014-7","http://dx.doi.org/10.1007/s00227-021-04014-7")</f>
        <v>http://dx.doi.org/10.1007/s00227-021-04014-7</v>
      </c>
      <c r="BG190" t="s">
        <v>74</v>
      </c>
      <c r="BH190" t="s">
        <v>74</v>
      </c>
      <c r="BI190">
        <v>12</v>
      </c>
      <c r="BJ190" t="s">
        <v>4137</v>
      </c>
      <c r="BK190" t="s">
        <v>103</v>
      </c>
      <c r="BL190" t="s">
        <v>4137</v>
      </c>
      <c r="BM190" t="s">
        <v>4138</v>
      </c>
      <c r="BN190" t="s">
        <v>74</v>
      </c>
      <c r="BO190" t="s">
        <v>796</v>
      </c>
      <c r="BP190" t="s">
        <v>74</v>
      </c>
      <c r="BQ190" t="s">
        <v>74</v>
      </c>
      <c r="BR190" t="s">
        <v>106</v>
      </c>
      <c r="BS190" t="s">
        <v>4139</v>
      </c>
      <c r="BT190" t="str">
        <f>HYPERLINK("https%3A%2F%2Fwww.webofscience.com%2Fwos%2Fwoscc%2Ffull-record%2FWOS:000743947700003","View Full Record in Web of Science")</f>
        <v>View Full Record in Web of Science</v>
      </c>
    </row>
    <row r="191" spans="1:72" x14ac:dyDescent="0.15">
      <c r="A191" t="s">
        <v>72</v>
      </c>
      <c r="B191" t="s">
        <v>4140</v>
      </c>
      <c r="C191" t="s">
        <v>74</v>
      </c>
      <c r="D191" t="s">
        <v>74</v>
      </c>
      <c r="E191" t="s">
        <v>74</v>
      </c>
      <c r="F191" t="s">
        <v>4141</v>
      </c>
      <c r="G191" t="s">
        <v>74</v>
      </c>
      <c r="H191" t="s">
        <v>74</v>
      </c>
      <c r="I191" t="s">
        <v>4142</v>
      </c>
      <c r="J191" t="s">
        <v>4143</v>
      </c>
      <c r="K191" t="s">
        <v>74</v>
      </c>
      <c r="L191" t="s">
        <v>74</v>
      </c>
      <c r="M191" t="s">
        <v>78</v>
      </c>
      <c r="N191" t="s">
        <v>79</v>
      </c>
      <c r="O191" t="s">
        <v>74</v>
      </c>
      <c r="P191" t="s">
        <v>74</v>
      </c>
      <c r="Q191" t="s">
        <v>74</v>
      </c>
      <c r="R191" t="s">
        <v>74</v>
      </c>
      <c r="S191" t="s">
        <v>74</v>
      </c>
      <c r="T191" t="s">
        <v>4144</v>
      </c>
      <c r="U191" t="s">
        <v>4145</v>
      </c>
      <c r="V191" t="s">
        <v>4146</v>
      </c>
      <c r="W191" t="s">
        <v>4147</v>
      </c>
      <c r="X191" t="s">
        <v>4148</v>
      </c>
      <c r="Y191" t="s">
        <v>4149</v>
      </c>
      <c r="Z191" t="s">
        <v>4150</v>
      </c>
      <c r="AA191" t="s">
        <v>4151</v>
      </c>
      <c r="AB191" t="s">
        <v>4152</v>
      </c>
      <c r="AC191" t="s">
        <v>4153</v>
      </c>
      <c r="AD191" t="s">
        <v>4153</v>
      </c>
      <c r="AE191" t="s">
        <v>4154</v>
      </c>
      <c r="AF191" t="s">
        <v>74</v>
      </c>
      <c r="AG191">
        <v>53</v>
      </c>
      <c r="AH191">
        <v>2</v>
      </c>
      <c r="AI191">
        <v>2</v>
      </c>
      <c r="AJ191">
        <v>2</v>
      </c>
      <c r="AK191">
        <v>12</v>
      </c>
      <c r="AL191" t="s">
        <v>1074</v>
      </c>
      <c r="AM191" t="s">
        <v>1098</v>
      </c>
      <c r="AN191" t="s">
        <v>1099</v>
      </c>
      <c r="AO191" t="s">
        <v>4155</v>
      </c>
      <c r="AP191" t="s">
        <v>4156</v>
      </c>
      <c r="AQ191" t="s">
        <v>74</v>
      </c>
      <c r="AR191" t="s">
        <v>4157</v>
      </c>
      <c r="AS191" t="s">
        <v>4158</v>
      </c>
      <c r="AT191" t="s">
        <v>840</v>
      </c>
      <c r="AU191">
        <v>2022</v>
      </c>
      <c r="AV191">
        <v>194</v>
      </c>
      <c r="AW191">
        <v>2</v>
      </c>
      <c r="AX191" t="s">
        <v>74</v>
      </c>
      <c r="AY191" t="s">
        <v>74</v>
      </c>
      <c r="AZ191" t="s">
        <v>74</v>
      </c>
      <c r="BA191" t="s">
        <v>74</v>
      </c>
      <c r="BB191" t="s">
        <v>74</v>
      </c>
      <c r="BC191" t="s">
        <v>74</v>
      </c>
      <c r="BD191">
        <v>102</v>
      </c>
      <c r="BE191" t="s">
        <v>4159</v>
      </c>
      <c r="BF191" t="str">
        <f>HYPERLINK("http://dx.doi.org/10.1007/s10661-022-09765-4","http://dx.doi.org/10.1007/s10661-022-09765-4")</f>
        <v>http://dx.doi.org/10.1007/s10661-022-09765-4</v>
      </c>
      <c r="BG191" t="s">
        <v>74</v>
      </c>
      <c r="BH191" t="s">
        <v>74</v>
      </c>
      <c r="BI191">
        <v>9</v>
      </c>
      <c r="BJ191" t="s">
        <v>1560</v>
      </c>
      <c r="BK191" t="s">
        <v>103</v>
      </c>
      <c r="BL191" t="s">
        <v>1561</v>
      </c>
      <c r="BM191" t="s">
        <v>4160</v>
      </c>
      <c r="BN191">
        <v>35038007</v>
      </c>
      <c r="BO191" t="s">
        <v>74</v>
      </c>
      <c r="BP191" t="s">
        <v>74</v>
      </c>
      <c r="BQ191" t="s">
        <v>74</v>
      </c>
      <c r="BR191" t="s">
        <v>106</v>
      </c>
      <c r="BS191" t="s">
        <v>4161</v>
      </c>
      <c r="BT191" t="str">
        <f>HYPERLINK("https%3A%2F%2Fwww.webofscience.com%2Fwos%2Fwoscc%2Ffull-record%2FWOS:000743549100002","View Full Record in Web of Science")</f>
        <v>View Full Record in Web of Science</v>
      </c>
    </row>
    <row r="192" spans="1:72" x14ac:dyDescent="0.15">
      <c r="A192" t="s">
        <v>72</v>
      </c>
      <c r="B192" t="s">
        <v>4162</v>
      </c>
      <c r="C192" t="s">
        <v>74</v>
      </c>
      <c r="D192" t="s">
        <v>74</v>
      </c>
      <c r="E192" t="s">
        <v>74</v>
      </c>
      <c r="F192" t="s">
        <v>4163</v>
      </c>
      <c r="G192" t="s">
        <v>74</v>
      </c>
      <c r="H192" t="s">
        <v>74</v>
      </c>
      <c r="I192" t="s">
        <v>4164</v>
      </c>
      <c r="J192" t="s">
        <v>4165</v>
      </c>
      <c r="K192" t="s">
        <v>74</v>
      </c>
      <c r="L192" t="s">
        <v>74</v>
      </c>
      <c r="M192" t="s">
        <v>78</v>
      </c>
      <c r="N192" t="s">
        <v>779</v>
      </c>
      <c r="O192" t="s">
        <v>74</v>
      </c>
      <c r="P192" t="s">
        <v>74</v>
      </c>
      <c r="Q192" t="s">
        <v>74</v>
      </c>
      <c r="R192" t="s">
        <v>74</v>
      </c>
      <c r="S192" t="s">
        <v>74</v>
      </c>
      <c r="T192" t="s">
        <v>74</v>
      </c>
      <c r="U192" t="s">
        <v>74</v>
      </c>
      <c r="V192" t="s">
        <v>74</v>
      </c>
      <c r="W192" t="s">
        <v>4166</v>
      </c>
      <c r="X192" t="s">
        <v>4167</v>
      </c>
      <c r="Y192" t="s">
        <v>4168</v>
      </c>
      <c r="Z192" t="s">
        <v>74</v>
      </c>
      <c r="AA192" t="s">
        <v>74</v>
      </c>
      <c r="AB192" t="s">
        <v>74</v>
      </c>
      <c r="AC192" t="s">
        <v>4169</v>
      </c>
      <c r="AD192" t="s">
        <v>4170</v>
      </c>
      <c r="AE192" t="s">
        <v>4171</v>
      </c>
      <c r="AF192" t="s">
        <v>74</v>
      </c>
      <c r="AG192">
        <v>22</v>
      </c>
      <c r="AH192">
        <v>0</v>
      </c>
      <c r="AI192">
        <v>0</v>
      </c>
      <c r="AJ192">
        <v>0</v>
      </c>
      <c r="AK192">
        <v>0</v>
      </c>
      <c r="AL192" t="s">
        <v>1603</v>
      </c>
      <c r="AM192" t="s">
        <v>93</v>
      </c>
      <c r="AN192" t="s">
        <v>1604</v>
      </c>
      <c r="AO192" t="s">
        <v>4172</v>
      </c>
      <c r="AP192" t="s">
        <v>4173</v>
      </c>
      <c r="AQ192" t="s">
        <v>74</v>
      </c>
      <c r="AR192" t="s">
        <v>4174</v>
      </c>
      <c r="AS192" t="s">
        <v>4175</v>
      </c>
      <c r="AT192" t="s">
        <v>840</v>
      </c>
      <c r="AU192">
        <v>2022</v>
      </c>
      <c r="AV192">
        <v>63</v>
      </c>
      <c r="AW192">
        <v>1</v>
      </c>
      <c r="AX192" t="s">
        <v>74</v>
      </c>
      <c r="AY192" t="s">
        <v>74</v>
      </c>
      <c r="AZ192" t="s">
        <v>74</v>
      </c>
      <c r="BA192" t="s">
        <v>74</v>
      </c>
      <c r="BB192" t="s">
        <v>74</v>
      </c>
      <c r="BC192" t="s">
        <v>74</v>
      </c>
      <c r="BD192" t="s">
        <v>74</v>
      </c>
      <c r="BE192" t="s">
        <v>74</v>
      </c>
      <c r="BF192" t="s">
        <v>74</v>
      </c>
      <c r="BG192" t="s">
        <v>74</v>
      </c>
      <c r="BH192" t="s">
        <v>74</v>
      </c>
      <c r="BI192">
        <v>5</v>
      </c>
      <c r="BJ192" t="s">
        <v>4176</v>
      </c>
      <c r="BK192" t="s">
        <v>103</v>
      </c>
      <c r="BL192" t="s">
        <v>4176</v>
      </c>
      <c r="BM192" t="s">
        <v>4177</v>
      </c>
      <c r="BN192" t="s">
        <v>74</v>
      </c>
      <c r="BO192" t="s">
        <v>74</v>
      </c>
      <c r="BP192" t="s">
        <v>74</v>
      </c>
      <c r="BQ192" t="s">
        <v>74</v>
      </c>
      <c r="BR192" t="s">
        <v>106</v>
      </c>
      <c r="BS192" t="s">
        <v>4178</v>
      </c>
      <c r="BT192" t="str">
        <f>HYPERLINK("https%3A%2F%2Fwww.webofscience.com%2Fwos%2Fwoscc%2Ffull-record%2FWOS:001186371400005","View Full Record in Web of Science")</f>
        <v>View Full Record in Web of Science</v>
      </c>
    </row>
    <row r="193" spans="1:72" x14ac:dyDescent="0.15">
      <c r="A193" t="s">
        <v>72</v>
      </c>
      <c r="B193" t="s">
        <v>4179</v>
      </c>
      <c r="C193" t="s">
        <v>74</v>
      </c>
      <c r="D193" t="s">
        <v>74</v>
      </c>
      <c r="E193" t="s">
        <v>74</v>
      </c>
      <c r="F193" t="s">
        <v>4180</v>
      </c>
      <c r="G193" t="s">
        <v>74</v>
      </c>
      <c r="H193" t="s">
        <v>74</v>
      </c>
      <c r="I193" t="s">
        <v>4181</v>
      </c>
      <c r="J193" t="s">
        <v>4165</v>
      </c>
      <c r="K193" t="s">
        <v>74</v>
      </c>
      <c r="L193" t="s">
        <v>74</v>
      </c>
      <c r="M193" t="s">
        <v>78</v>
      </c>
      <c r="N193" t="s">
        <v>779</v>
      </c>
      <c r="O193" t="s">
        <v>74</v>
      </c>
      <c r="P193" t="s">
        <v>74</v>
      </c>
      <c r="Q193" t="s">
        <v>74</v>
      </c>
      <c r="R193" t="s">
        <v>74</v>
      </c>
      <c r="S193" t="s">
        <v>74</v>
      </c>
      <c r="T193" t="s">
        <v>74</v>
      </c>
      <c r="U193" t="s">
        <v>74</v>
      </c>
      <c r="V193" t="s">
        <v>74</v>
      </c>
      <c r="W193" t="s">
        <v>4182</v>
      </c>
      <c r="X193" t="s">
        <v>4183</v>
      </c>
      <c r="Y193" t="s">
        <v>4184</v>
      </c>
      <c r="Z193" t="s">
        <v>4185</v>
      </c>
      <c r="AA193" t="s">
        <v>74</v>
      </c>
      <c r="AB193" t="s">
        <v>74</v>
      </c>
      <c r="AC193" t="s">
        <v>4186</v>
      </c>
      <c r="AD193" t="s">
        <v>4187</v>
      </c>
      <c r="AE193" t="s">
        <v>4188</v>
      </c>
      <c r="AF193" t="s">
        <v>74</v>
      </c>
      <c r="AG193">
        <v>5</v>
      </c>
      <c r="AH193">
        <v>0</v>
      </c>
      <c r="AI193">
        <v>0</v>
      </c>
      <c r="AJ193">
        <v>0</v>
      </c>
      <c r="AK193">
        <v>0</v>
      </c>
      <c r="AL193" t="s">
        <v>1603</v>
      </c>
      <c r="AM193" t="s">
        <v>93</v>
      </c>
      <c r="AN193" t="s">
        <v>1604</v>
      </c>
      <c r="AO193" t="s">
        <v>4172</v>
      </c>
      <c r="AP193" t="s">
        <v>4173</v>
      </c>
      <c r="AQ193" t="s">
        <v>74</v>
      </c>
      <c r="AR193" t="s">
        <v>4174</v>
      </c>
      <c r="AS193" t="s">
        <v>4175</v>
      </c>
      <c r="AT193" t="s">
        <v>840</v>
      </c>
      <c r="AU193">
        <v>2022</v>
      </c>
      <c r="AV193">
        <v>63</v>
      </c>
      <c r="AW193">
        <v>1</v>
      </c>
      <c r="AX193" t="s">
        <v>74</v>
      </c>
      <c r="AY193" t="s">
        <v>74</v>
      </c>
      <c r="AZ193" t="s">
        <v>74</v>
      </c>
      <c r="BA193" t="s">
        <v>74</v>
      </c>
      <c r="BB193" t="s">
        <v>74</v>
      </c>
      <c r="BC193" t="s">
        <v>74</v>
      </c>
      <c r="BD193" t="s">
        <v>74</v>
      </c>
      <c r="BE193" t="s">
        <v>74</v>
      </c>
      <c r="BF193" t="s">
        <v>74</v>
      </c>
      <c r="BG193" t="s">
        <v>74</v>
      </c>
      <c r="BH193" t="s">
        <v>74</v>
      </c>
      <c r="BI193">
        <v>3</v>
      </c>
      <c r="BJ193" t="s">
        <v>4176</v>
      </c>
      <c r="BK193" t="s">
        <v>103</v>
      </c>
      <c r="BL193" t="s">
        <v>4176</v>
      </c>
      <c r="BM193" t="s">
        <v>4177</v>
      </c>
      <c r="BN193" t="s">
        <v>74</v>
      </c>
      <c r="BO193" t="s">
        <v>74</v>
      </c>
      <c r="BP193" t="s">
        <v>74</v>
      </c>
      <c r="BQ193" t="s">
        <v>74</v>
      </c>
      <c r="BR193" t="s">
        <v>106</v>
      </c>
      <c r="BS193" t="s">
        <v>4189</v>
      </c>
      <c r="BT193" t="str">
        <f>HYPERLINK("https%3A%2F%2Fwww.webofscience.com%2Fwos%2Fwoscc%2Ffull-record%2FWOS:001186371400006","View Full Record in Web of Science")</f>
        <v>View Full Record in Web of Science</v>
      </c>
    </row>
    <row r="194" spans="1:72" x14ac:dyDescent="0.15">
      <c r="A194" t="s">
        <v>72</v>
      </c>
      <c r="B194" t="s">
        <v>4190</v>
      </c>
      <c r="C194" t="s">
        <v>74</v>
      </c>
      <c r="D194" t="s">
        <v>74</v>
      </c>
      <c r="E194" t="s">
        <v>74</v>
      </c>
      <c r="F194" t="s">
        <v>4191</v>
      </c>
      <c r="G194" t="s">
        <v>74</v>
      </c>
      <c r="H194" t="s">
        <v>74</v>
      </c>
      <c r="I194" t="s">
        <v>4192</v>
      </c>
      <c r="J194" t="s">
        <v>4193</v>
      </c>
      <c r="K194" t="s">
        <v>74</v>
      </c>
      <c r="L194" t="s">
        <v>74</v>
      </c>
      <c r="M194" t="s">
        <v>78</v>
      </c>
      <c r="N194" t="s">
        <v>79</v>
      </c>
      <c r="O194" t="s">
        <v>74</v>
      </c>
      <c r="P194" t="s">
        <v>74</v>
      </c>
      <c r="Q194" t="s">
        <v>74</v>
      </c>
      <c r="R194" t="s">
        <v>74</v>
      </c>
      <c r="S194" t="s">
        <v>74</v>
      </c>
      <c r="T194" t="s">
        <v>4194</v>
      </c>
      <c r="U194" t="s">
        <v>4195</v>
      </c>
      <c r="V194" t="s">
        <v>4196</v>
      </c>
      <c r="W194" t="s">
        <v>4197</v>
      </c>
      <c r="X194" t="s">
        <v>4198</v>
      </c>
      <c r="Y194" t="s">
        <v>4199</v>
      </c>
      <c r="Z194" t="s">
        <v>4200</v>
      </c>
      <c r="AA194" t="s">
        <v>4201</v>
      </c>
      <c r="AB194" t="s">
        <v>4202</v>
      </c>
      <c r="AC194" t="s">
        <v>4203</v>
      </c>
      <c r="AD194" t="s">
        <v>4204</v>
      </c>
      <c r="AE194" t="s">
        <v>4205</v>
      </c>
      <c r="AF194" t="s">
        <v>74</v>
      </c>
      <c r="AG194">
        <v>39</v>
      </c>
      <c r="AH194">
        <v>1</v>
      </c>
      <c r="AI194">
        <v>2</v>
      </c>
      <c r="AJ194">
        <v>10</v>
      </c>
      <c r="AK194">
        <v>63</v>
      </c>
      <c r="AL194" t="s">
        <v>4206</v>
      </c>
      <c r="AM194" t="s">
        <v>4207</v>
      </c>
      <c r="AN194" t="s">
        <v>4208</v>
      </c>
      <c r="AO194" t="s">
        <v>4209</v>
      </c>
      <c r="AP194" t="s">
        <v>4210</v>
      </c>
      <c r="AQ194" t="s">
        <v>74</v>
      </c>
      <c r="AR194" t="s">
        <v>4211</v>
      </c>
      <c r="AS194" t="s">
        <v>4212</v>
      </c>
      <c r="AT194" t="s">
        <v>840</v>
      </c>
      <c r="AU194">
        <v>2023</v>
      </c>
      <c r="AV194">
        <v>124</v>
      </c>
      <c r="AW194" t="s">
        <v>74</v>
      </c>
      <c r="AX194" t="s">
        <v>74</v>
      </c>
      <c r="AY194" t="s">
        <v>74</v>
      </c>
      <c r="AZ194" t="s">
        <v>74</v>
      </c>
      <c r="BA194" t="s">
        <v>74</v>
      </c>
      <c r="BB194">
        <v>139</v>
      </c>
      <c r="BC194">
        <v>145</v>
      </c>
      <c r="BD194" t="s">
        <v>74</v>
      </c>
      <c r="BE194" t="s">
        <v>4213</v>
      </c>
      <c r="BF194" t="str">
        <f>HYPERLINK("http://dx.doi.org/10.1016/j.jes.2021.11.002","http://dx.doi.org/10.1016/j.jes.2021.11.002")</f>
        <v>http://dx.doi.org/10.1016/j.jes.2021.11.002</v>
      </c>
      <c r="BG194" t="s">
        <v>74</v>
      </c>
      <c r="BH194" t="s">
        <v>101</v>
      </c>
      <c r="BI194">
        <v>7</v>
      </c>
      <c r="BJ194" t="s">
        <v>1560</v>
      </c>
      <c r="BK194" t="s">
        <v>103</v>
      </c>
      <c r="BL194" t="s">
        <v>1561</v>
      </c>
      <c r="BM194" t="s">
        <v>4214</v>
      </c>
      <c r="BN194">
        <v>36182124</v>
      </c>
      <c r="BO194" t="s">
        <v>3307</v>
      </c>
      <c r="BP194" t="s">
        <v>74</v>
      </c>
      <c r="BQ194" t="s">
        <v>74</v>
      </c>
      <c r="BR194" t="s">
        <v>106</v>
      </c>
      <c r="BS194" t="s">
        <v>4215</v>
      </c>
      <c r="BT194" t="str">
        <f>HYPERLINK("https%3A%2F%2Fwww.webofscience.com%2Fwos%2Fwoscc%2Ffull-record%2FWOS:000797162500016","View Full Record in Web of Science")</f>
        <v>View Full Record in Web of Science</v>
      </c>
    </row>
    <row r="195" spans="1:72" x14ac:dyDescent="0.15">
      <c r="A195" t="s">
        <v>72</v>
      </c>
      <c r="B195" t="s">
        <v>4216</v>
      </c>
      <c r="C195" t="s">
        <v>74</v>
      </c>
      <c r="D195" t="s">
        <v>74</v>
      </c>
      <c r="E195" t="s">
        <v>74</v>
      </c>
      <c r="F195" t="s">
        <v>4217</v>
      </c>
      <c r="G195" t="s">
        <v>74</v>
      </c>
      <c r="H195" t="s">
        <v>74</v>
      </c>
      <c r="I195" t="s">
        <v>4218</v>
      </c>
      <c r="J195" t="s">
        <v>4219</v>
      </c>
      <c r="K195" t="s">
        <v>74</v>
      </c>
      <c r="L195" t="s">
        <v>74</v>
      </c>
      <c r="M195" t="s">
        <v>78</v>
      </c>
      <c r="N195" t="s">
        <v>79</v>
      </c>
      <c r="O195" t="s">
        <v>74</v>
      </c>
      <c r="P195" t="s">
        <v>74</v>
      </c>
      <c r="Q195" t="s">
        <v>74</v>
      </c>
      <c r="R195" t="s">
        <v>74</v>
      </c>
      <c r="S195" t="s">
        <v>74</v>
      </c>
      <c r="T195" t="s">
        <v>74</v>
      </c>
      <c r="U195" t="s">
        <v>4220</v>
      </c>
      <c r="V195" t="s">
        <v>4221</v>
      </c>
      <c r="W195" t="s">
        <v>4222</v>
      </c>
      <c r="X195" t="s">
        <v>4223</v>
      </c>
      <c r="Y195" t="s">
        <v>4224</v>
      </c>
      <c r="Z195" t="s">
        <v>4225</v>
      </c>
      <c r="AA195" t="s">
        <v>4226</v>
      </c>
      <c r="AB195" t="s">
        <v>4227</v>
      </c>
      <c r="AC195" t="s">
        <v>4228</v>
      </c>
      <c r="AD195" t="s">
        <v>4229</v>
      </c>
      <c r="AE195" t="s">
        <v>4230</v>
      </c>
      <c r="AF195" t="s">
        <v>74</v>
      </c>
      <c r="AG195">
        <v>67</v>
      </c>
      <c r="AH195">
        <v>1</v>
      </c>
      <c r="AI195">
        <v>1</v>
      </c>
      <c r="AJ195">
        <v>4</v>
      </c>
      <c r="AK195">
        <v>10</v>
      </c>
      <c r="AL195" t="s">
        <v>4231</v>
      </c>
      <c r="AM195" t="s">
        <v>4232</v>
      </c>
      <c r="AN195" t="s">
        <v>4233</v>
      </c>
      <c r="AO195" t="s">
        <v>4234</v>
      </c>
      <c r="AP195" t="s">
        <v>4235</v>
      </c>
      <c r="AQ195" t="s">
        <v>74</v>
      </c>
      <c r="AR195" t="s">
        <v>4236</v>
      </c>
      <c r="AS195" t="s">
        <v>4237</v>
      </c>
      <c r="AT195" t="s">
        <v>840</v>
      </c>
      <c r="AU195">
        <v>2022</v>
      </c>
      <c r="AV195">
        <v>2022</v>
      </c>
      <c r="AW195" t="s">
        <v>74</v>
      </c>
      <c r="AX195" t="s">
        <v>74</v>
      </c>
      <c r="AY195" t="s">
        <v>74</v>
      </c>
      <c r="AZ195">
        <v>9</v>
      </c>
      <c r="BA195" t="s">
        <v>74</v>
      </c>
      <c r="BB195" t="s">
        <v>74</v>
      </c>
      <c r="BC195" t="s">
        <v>74</v>
      </c>
      <c r="BD195">
        <v>7562666</v>
      </c>
      <c r="BE195" t="s">
        <v>4238</v>
      </c>
      <c r="BF195" t="str">
        <f>HYPERLINK("http://dx.doi.org/10.2113/2022/7562666","http://dx.doi.org/10.2113/2022/7562666")</f>
        <v>http://dx.doi.org/10.2113/2022/7562666</v>
      </c>
      <c r="BG195" t="s">
        <v>74</v>
      </c>
      <c r="BH195" t="s">
        <v>74</v>
      </c>
      <c r="BI195">
        <v>14</v>
      </c>
      <c r="BJ195" t="s">
        <v>4239</v>
      </c>
      <c r="BK195" t="s">
        <v>103</v>
      </c>
      <c r="BL195" t="s">
        <v>4239</v>
      </c>
      <c r="BM195" t="s">
        <v>4240</v>
      </c>
      <c r="BN195" t="s">
        <v>74</v>
      </c>
      <c r="BO195" t="s">
        <v>445</v>
      </c>
      <c r="BP195" t="s">
        <v>74</v>
      </c>
      <c r="BQ195" t="s">
        <v>74</v>
      </c>
      <c r="BR195" t="s">
        <v>106</v>
      </c>
      <c r="BS195" t="s">
        <v>4241</v>
      </c>
      <c r="BT195" t="str">
        <f>HYPERLINK("https%3A%2F%2Fwww.webofscience.com%2Fwos%2Fwoscc%2Ffull-record%2FWOS:000977122600008","View Full Record in Web of Science")</f>
        <v>View Full Record in Web of Science</v>
      </c>
    </row>
    <row r="196" spans="1:72" x14ac:dyDescent="0.15">
      <c r="A196" t="s">
        <v>72</v>
      </c>
      <c r="B196" t="s">
        <v>4242</v>
      </c>
      <c r="C196" t="s">
        <v>74</v>
      </c>
      <c r="D196" t="s">
        <v>74</v>
      </c>
      <c r="E196" t="s">
        <v>74</v>
      </c>
      <c r="F196" t="s">
        <v>4243</v>
      </c>
      <c r="G196" t="s">
        <v>74</v>
      </c>
      <c r="H196" t="s">
        <v>74</v>
      </c>
      <c r="I196" t="s">
        <v>4244</v>
      </c>
      <c r="J196" t="s">
        <v>4219</v>
      </c>
      <c r="K196" t="s">
        <v>74</v>
      </c>
      <c r="L196" t="s">
        <v>74</v>
      </c>
      <c r="M196" t="s">
        <v>78</v>
      </c>
      <c r="N196" t="s">
        <v>79</v>
      </c>
      <c r="O196" t="s">
        <v>74</v>
      </c>
      <c r="P196" t="s">
        <v>74</v>
      </c>
      <c r="Q196" t="s">
        <v>74</v>
      </c>
      <c r="R196" t="s">
        <v>74</v>
      </c>
      <c r="S196" t="s">
        <v>74</v>
      </c>
      <c r="T196" t="s">
        <v>74</v>
      </c>
      <c r="U196" t="s">
        <v>4245</v>
      </c>
      <c r="V196" t="s">
        <v>4246</v>
      </c>
      <c r="W196" t="s">
        <v>4247</v>
      </c>
      <c r="X196" t="s">
        <v>4248</v>
      </c>
      <c r="Y196" t="s">
        <v>4249</v>
      </c>
      <c r="Z196" t="s">
        <v>4250</v>
      </c>
      <c r="AA196" t="s">
        <v>4251</v>
      </c>
      <c r="AB196" t="s">
        <v>4252</v>
      </c>
      <c r="AC196" t="s">
        <v>4253</v>
      </c>
      <c r="AD196" t="s">
        <v>4254</v>
      </c>
      <c r="AE196" t="s">
        <v>4255</v>
      </c>
      <c r="AF196" t="s">
        <v>74</v>
      </c>
      <c r="AG196">
        <v>95</v>
      </c>
      <c r="AH196">
        <v>3</v>
      </c>
      <c r="AI196">
        <v>3</v>
      </c>
      <c r="AJ196">
        <v>3</v>
      </c>
      <c r="AK196">
        <v>6</v>
      </c>
      <c r="AL196" t="s">
        <v>4231</v>
      </c>
      <c r="AM196" t="s">
        <v>4232</v>
      </c>
      <c r="AN196" t="s">
        <v>4233</v>
      </c>
      <c r="AO196" t="s">
        <v>4234</v>
      </c>
      <c r="AP196" t="s">
        <v>4235</v>
      </c>
      <c r="AQ196" t="s">
        <v>74</v>
      </c>
      <c r="AR196" t="s">
        <v>4236</v>
      </c>
      <c r="AS196" t="s">
        <v>4237</v>
      </c>
      <c r="AT196" t="s">
        <v>840</v>
      </c>
      <c r="AU196">
        <v>2022</v>
      </c>
      <c r="AV196">
        <v>2022</v>
      </c>
      <c r="AW196" t="s">
        <v>74</v>
      </c>
      <c r="AX196" t="s">
        <v>74</v>
      </c>
      <c r="AY196" t="s">
        <v>74</v>
      </c>
      <c r="AZ196">
        <v>9</v>
      </c>
      <c r="BA196" t="s">
        <v>74</v>
      </c>
      <c r="BB196" t="s">
        <v>74</v>
      </c>
      <c r="BC196" t="s">
        <v>74</v>
      </c>
      <c r="BD196">
        <v>1835176</v>
      </c>
      <c r="BE196" t="s">
        <v>4256</v>
      </c>
      <c r="BF196" t="str">
        <f>HYPERLINK("http://dx.doi.org/10.2113/2022/1835176","http://dx.doi.org/10.2113/2022/1835176")</f>
        <v>http://dx.doi.org/10.2113/2022/1835176</v>
      </c>
      <c r="BG196" t="s">
        <v>74</v>
      </c>
      <c r="BH196" t="s">
        <v>74</v>
      </c>
      <c r="BI196">
        <v>14</v>
      </c>
      <c r="BJ196" t="s">
        <v>4239</v>
      </c>
      <c r="BK196" t="s">
        <v>103</v>
      </c>
      <c r="BL196" t="s">
        <v>4239</v>
      </c>
      <c r="BM196" t="s">
        <v>4240</v>
      </c>
      <c r="BN196" t="s">
        <v>74</v>
      </c>
      <c r="BO196" t="s">
        <v>445</v>
      </c>
      <c r="BP196" t="s">
        <v>74</v>
      </c>
      <c r="BQ196" t="s">
        <v>74</v>
      </c>
      <c r="BR196" t="s">
        <v>106</v>
      </c>
      <c r="BS196" t="s">
        <v>4257</v>
      </c>
      <c r="BT196" t="str">
        <f>HYPERLINK("https%3A%2F%2Fwww.webofscience.com%2Fwos%2Fwoscc%2Ffull-record%2FWOS:000977122600002","View Full Record in Web of Science")</f>
        <v>View Full Record in Web of Science</v>
      </c>
    </row>
    <row r="197" spans="1:72" x14ac:dyDescent="0.15">
      <c r="A197" t="s">
        <v>72</v>
      </c>
      <c r="B197" t="s">
        <v>4258</v>
      </c>
      <c r="C197" t="s">
        <v>74</v>
      </c>
      <c r="D197" t="s">
        <v>74</v>
      </c>
      <c r="E197" t="s">
        <v>74</v>
      </c>
      <c r="F197" t="s">
        <v>4259</v>
      </c>
      <c r="G197" t="s">
        <v>74</v>
      </c>
      <c r="H197" t="s">
        <v>74</v>
      </c>
      <c r="I197" t="s">
        <v>4260</v>
      </c>
      <c r="J197" t="s">
        <v>1063</v>
      </c>
      <c r="K197" t="s">
        <v>74</v>
      </c>
      <c r="L197" t="s">
        <v>74</v>
      </c>
      <c r="M197" t="s">
        <v>78</v>
      </c>
      <c r="N197" t="s">
        <v>79</v>
      </c>
      <c r="O197" t="s">
        <v>74</v>
      </c>
      <c r="P197" t="s">
        <v>74</v>
      </c>
      <c r="Q197" t="s">
        <v>74</v>
      </c>
      <c r="R197" t="s">
        <v>74</v>
      </c>
      <c r="S197" t="s">
        <v>74</v>
      </c>
      <c r="T197" t="s">
        <v>4261</v>
      </c>
      <c r="U197" t="s">
        <v>4262</v>
      </c>
      <c r="V197" t="s">
        <v>4263</v>
      </c>
      <c r="W197" t="s">
        <v>4264</v>
      </c>
      <c r="X197" t="s">
        <v>4265</v>
      </c>
      <c r="Y197" t="s">
        <v>4266</v>
      </c>
      <c r="Z197" t="s">
        <v>4267</v>
      </c>
      <c r="AA197" t="s">
        <v>74</v>
      </c>
      <c r="AB197" t="s">
        <v>4268</v>
      </c>
      <c r="AC197" t="s">
        <v>4269</v>
      </c>
      <c r="AD197" t="s">
        <v>4270</v>
      </c>
      <c r="AE197" t="s">
        <v>4271</v>
      </c>
      <c r="AF197" t="s">
        <v>74</v>
      </c>
      <c r="AG197">
        <v>64</v>
      </c>
      <c r="AH197">
        <v>2</v>
      </c>
      <c r="AI197">
        <v>2</v>
      </c>
      <c r="AJ197">
        <v>3</v>
      </c>
      <c r="AK197">
        <v>25</v>
      </c>
      <c r="AL197" t="s">
        <v>1074</v>
      </c>
      <c r="AM197" t="s">
        <v>506</v>
      </c>
      <c r="AN197" t="s">
        <v>1075</v>
      </c>
      <c r="AO197" t="s">
        <v>1076</v>
      </c>
      <c r="AP197" t="s">
        <v>1077</v>
      </c>
      <c r="AQ197" t="s">
        <v>74</v>
      </c>
      <c r="AR197" t="s">
        <v>1078</v>
      </c>
      <c r="AS197" t="s">
        <v>1079</v>
      </c>
      <c r="AT197" t="s">
        <v>99</v>
      </c>
      <c r="AU197">
        <v>2022</v>
      </c>
      <c r="AV197">
        <v>45</v>
      </c>
      <c r="AW197">
        <v>3</v>
      </c>
      <c r="AX197" t="s">
        <v>74</v>
      </c>
      <c r="AY197" t="s">
        <v>74</v>
      </c>
      <c r="AZ197" t="s">
        <v>74</v>
      </c>
      <c r="BA197" t="s">
        <v>74</v>
      </c>
      <c r="BB197">
        <v>491</v>
      </c>
      <c r="BC197">
        <v>506</v>
      </c>
      <c r="BD197" t="s">
        <v>74</v>
      </c>
      <c r="BE197" t="s">
        <v>4272</v>
      </c>
      <c r="BF197" t="str">
        <f>HYPERLINK("http://dx.doi.org/10.1007/s00300-022-03010-x","http://dx.doi.org/10.1007/s00300-022-03010-x")</f>
        <v>http://dx.doi.org/10.1007/s00300-022-03010-x</v>
      </c>
      <c r="BG197" t="s">
        <v>74</v>
      </c>
      <c r="BH197" t="s">
        <v>101</v>
      </c>
      <c r="BI197">
        <v>16</v>
      </c>
      <c r="BJ197" t="s">
        <v>1081</v>
      </c>
      <c r="BK197" t="s">
        <v>103</v>
      </c>
      <c r="BL197" t="s">
        <v>1082</v>
      </c>
      <c r="BM197" t="s">
        <v>4273</v>
      </c>
      <c r="BN197" t="s">
        <v>74</v>
      </c>
      <c r="BO197" t="s">
        <v>796</v>
      </c>
      <c r="BP197" t="s">
        <v>74</v>
      </c>
      <c r="BQ197" t="s">
        <v>74</v>
      </c>
      <c r="BR197" t="s">
        <v>106</v>
      </c>
      <c r="BS197" t="s">
        <v>4274</v>
      </c>
      <c r="BT197" t="str">
        <f>HYPERLINK("https%3A%2F%2Fwww.webofscience.com%2Fwos%2Fwoscc%2Ffull-record%2FWOS:000749585400001","View Full Record in Web of Science")</f>
        <v>View Full Record in Web of Science</v>
      </c>
    </row>
    <row r="198" spans="1:72" x14ac:dyDescent="0.15">
      <c r="A198" t="s">
        <v>72</v>
      </c>
      <c r="B198" t="s">
        <v>4275</v>
      </c>
      <c r="C198" t="s">
        <v>74</v>
      </c>
      <c r="D198" t="s">
        <v>74</v>
      </c>
      <c r="E198" t="s">
        <v>74</v>
      </c>
      <c r="F198" t="s">
        <v>4276</v>
      </c>
      <c r="G198" t="s">
        <v>74</v>
      </c>
      <c r="H198" t="s">
        <v>74</v>
      </c>
      <c r="I198" t="s">
        <v>4277</v>
      </c>
      <c r="J198" t="s">
        <v>4278</v>
      </c>
      <c r="K198" t="s">
        <v>74</v>
      </c>
      <c r="L198" t="s">
        <v>74</v>
      </c>
      <c r="M198" t="s">
        <v>78</v>
      </c>
      <c r="N198" t="s">
        <v>79</v>
      </c>
      <c r="O198" t="s">
        <v>74</v>
      </c>
      <c r="P198" t="s">
        <v>74</v>
      </c>
      <c r="Q198" t="s">
        <v>74</v>
      </c>
      <c r="R198" t="s">
        <v>74</v>
      </c>
      <c r="S198" t="s">
        <v>74</v>
      </c>
      <c r="T198" t="s">
        <v>74</v>
      </c>
      <c r="U198" t="s">
        <v>4279</v>
      </c>
      <c r="V198" t="s">
        <v>4280</v>
      </c>
      <c r="W198" t="s">
        <v>4281</v>
      </c>
      <c r="X198" t="s">
        <v>4282</v>
      </c>
      <c r="Y198" t="s">
        <v>4283</v>
      </c>
      <c r="Z198" t="s">
        <v>4284</v>
      </c>
      <c r="AA198" t="s">
        <v>4285</v>
      </c>
      <c r="AB198" t="s">
        <v>4286</v>
      </c>
      <c r="AC198" t="s">
        <v>4287</v>
      </c>
      <c r="AD198" t="s">
        <v>4288</v>
      </c>
      <c r="AE198" t="s">
        <v>4289</v>
      </c>
      <c r="AF198" t="s">
        <v>74</v>
      </c>
      <c r="AG198">
        <v>130</v>
      </c>
      <c r="AH198">
        <v>12</v>
      </c>
      <c r="AI198">
        <v>12</v>
      </c>
      <c r="AJ198">
        <v>0</v>
      </c>
      <c r="AK198">
        <v>0</v>
      </c>
      <c r="AL198" t="s">
        <v>120</v>
      </c>
      <c r="AM198" t="s">
        <v>121</v>
      </c>
      <c r="AN198" t="s">
        <v>122</v>
      </c>
      <c r="AO198" t="s">
        <v>74</v>
      </c>
      <c r="AP198" t="s">
        <v>4290</v>
      </c>
      <c r="AQ198" t="s">
        <v>74</v>
      </c>
      <c r="AR198" t="s">
        <v>4291</v>
      </c>
      <c r="AS198" t="s">
        <v>4291</v>
      </c>
      <c r="AT198" t="s">
        <v>3228</v>
      </c>
      <c r="AU198">
        <v>2022</v>
      </c>
      <c r="AV198">
        <v>3</v>
      </c>
      <c r="AW198">
        <v>1</v>
      </c>
      <c r="AX198" t="s">
        <v>74</v>
      </c>
      <c r="AY198" t="s">
        <v>74</v>
      </c>
      <c r="AZ198" t="s">
        <v>74</v>
      </c>
      <c r="BA198" t="s">
        <v>74</v>
      </c>
      <c r="BB198">
        <v>139</v>
      </c>
      <c r="BC198">
        <v>171</v>
      </c>
      <c r="BD198" t="s">
        <v>74</v>
      </c>
      <c r="BE198" t="s">
        <v>4292</v>
      </c>
      <c r="BF198" t="str">
        <f>HYPERLINK("http://dx.doi.org/10.5194/wcd-3-139-2022","http://dx.doi.org/10.5194/wcd-3-139-2022")</f>
        <v>http://dx.doi.org/10.5194/wcd-3-139-2022</v>
      </c>
      <c r="BG198" t="s">
        <v>74</v>
      </c>
      <c r="BH198" t="s">
        <v>74</v>
      </c>
      <c r="BI198">
        <v>33</v>
      </c>
      <c r="BJ198" t="s">
        <v>514</v>
      </c>
      <c r="BK198" t="s">
        <v>724</v>
      </c>
      <c r="BL198" t="s">
        <v>514</v>
      </c>
      <c r="BM198" t="s">
        <v>4293</v>
      </c>
      <c r="BN198" t="s">
        <v>74</v>
      </c>
      <c r="BO198" t="s">
        <v>4294</v>
      </c>
      <c r="BP198" t="s">
        <v>74</v>
      </c>
      <c r="BQ198" t="s">
        <v>74</v>
      </c>
      <c r="BR198" t="s">
        <v>106</v>
      </c>
      <c r="BS198" t="s">
        <v>4295</v>
      </c>
      <c r="BT198" t="str">
        <f>HYPERLINK("https%3A%2F%2Fwww.webofscience.com%2Fwos%2Fwoscc%2Ffull-record%2FWOS:001168849300001","View Full Record in Web of Science")</f>
        <v>View Full Record in Web of Science</v>
      </c>
    </row>
    <row r="199" spans="1:72" x14ac:dyDescent="0.15">
      <c r="A199" t="s">
        <v>72</v>
      </c>
      <c r="B199" t="s">
        <v>4162</v>
      </c>
      <c r="C199" t="s">
        <v>74</v>
      </c>
      <c r="D199" t="s">
        <v>74</v>
      </c>
      <c r="E199" t="s">
        <v>74</v>
      </c>
      <c r="F199" t="s">
        <v>4163</v>
      </c>
      <c r="G199" t="s">
        <v>74</v>
      </c>
      <c r="H199" t="s">
        <v>74</v>
      </c>
      <c r="I199" t="s">
        <v>4164</v>
      </c>
      <c r="J199" t="s">
        <v>4165</v>
      </c>
      <c r="K199" t="s">
        <v>74</v>
      </c>
      <c r="L199" t="s">
        <v>74</v>
      </c>
      <c r="M199" t="s">
        <v>78</v>
      </c>
      <c r="N199" t="s">
        <v>779</v>
      </c>
      <c r="O199" t="s">
        <v>74</v>
      </c>
      <c r="P199" t="s">
        <v>74</v>
      </c>
      <c r="Q199" t="s">
        <v>74</v>
      </c>
      <c r="R199" t="s">
        <v>74</v>
      </c>
      <c r="S199" t="s">
        <v>74</v>
      </c>
      <c r="T199" t="s">
        <v>74</v>
      </c>
      <c r="U199" t="s">
        <v>74</v>
      </c>
      <c r="V199" t="s">
        <v>74</v>
      </c>
      <c r="W199" t="s">
        <v>4296</v>
      </c>
      <c r="X199" t="s">
        <v>4167</v>
      </c>
      <c r="Y199" t="s">
        <v>4297</v>
      </c>
      <c r="Z199" t="s">
        <v>74</v>
      </c>
      <c r="AA199" t="s">
        <v>4298</v>
      </c>
      <c r="AB199" t="s">
        <v>4299</v>
      </c>
      <c r="AC199" t="s">
        <v>74</v>
      </c>
      <c r="AD199" t="s">
        <v>74</v>
      </c>
      <c r="AE199" t="s">
        <v>74</v>
      </c>
      <c r="AF199" t="s">
        <v>74</v>
      </c>
      <c r="AG199">
        <v>0</v>
      </c>
      <c r="AH199">
        <v>0</v>
      </c>
      <c r="AI199">
        <v>0</v>
      </c>
      <c r="AJ199">
        <v>0</v>
      </c>
      <c r="AK199">
        <v>1</v>
      </c>
      <c r="AL199" t="s">
        <v>1603</v>
      </c>
      <c r="AM199" t="s">
        <v>93</v>
      </c>
      <c r="AN199" t="s">
        <v>1604</v>
      </c>
      <c r="AO199" t="s">
        <v>4172</v>
      </c>
      <c r="AP199" t="s">
        <v>4173</v>
      </c>
      <c r="AQ199" t="s">
        <v>74</v>
      </c>
      <c r="AR199" t="s">
        <v>4174</v>
      </c>
      <c r="AS199" t="s">
        <v>4175</v>
      </c>
      <c r="AT199" t="s">
        <v>840</v>
      </c>
      <c r="AU199">
        <v>2022</v>
      </c>
      <c r="AV199">
        <v>63</v>
      </c>
      <c r="AW199">
        <v>1</v>
      </c>
      <c r="AX199" t="s">
        <v>74</v>
      </c>
      <c r="AY199" t="s">
        <v>74</v>
      </c>
      <c r="AZ199" t="s">
        <v>74</v>
      </c>
      <c r="BA199" t="s">
        <v>74</v>
      </c>
      <c r="BB199" t="s">
        <v>74</v>
      </c>
      <c r="BC199" t="s">
        <v>74</v>
      </c>
      <c r="BD199" t="s">
        <v>74</v>
      </c>
      <c r="BE199" t="s">
        <v>74</v>
      </c>
      <c r="BF199" t="s">
        <v>74</v>
      </c>
      <c r="BG199" t="s">
        <v>74</v>
      </c>
      <c r="BH199" t="s">
        <v>74</v>
      </c>
      <c r="BI199">
        <v>5</v>
      </c>
      <c r="BJ199" t="s">
        <v>4176</v>
      </c>
      <c r="BK199" t="s">
        <v>103</v>
      </c>
      <c r="BL199" t="s">
        <v>4176</v>
      </c>
      <c r="BM199" t="s">
        <v>4300</v>
      </c>
      <c r="BN199" t="s">
        <v>74</v>
      </c>
      <c r="BO199" t="s">
        <v>74</v>
      </c>
      <c r="BP199" t="s">
        <v>74</v>
      </c>
      <c r="BQ199" t="s">
        <v>74</v>
      </c>
      <c r="BR199" t="s">
        <v>106</v>
      </c>
      <c r="BS199" t="s">
        <v>4301</v>
      </c>
      <c r="BT199" t="str">
        <f>HYPERLINK("https%3A%2F%2Fwww.webofscience.com%2Fwos%2Fwoscc%2Ffull-record%2FWOS:000743354500028","View Full Record in Web of Science")</f>
        <v>View Full Record in Web of Science</v>
      </c>
    </row>
    <row r="200" spans="1:72" x14ac:dyDescent="0.15">
      <c r="A200" t="s">
        <v>72</v>
      </c>
      <c r="B200" t="s">
        <v>4179</v>
      </c>
      <c r="C200" t="s">
        <v>74</v>
      </c>
      <c r="D200" t="s">
        <v>74</v>
      </c>
      <c r="E200" t="s">
        <v>74</v>
      </c>
      <c r="F200" t="s">
        <v>4180</v>
      </c>
      <c r="G200" t="s">
        <v>74</v>
      </c>
      <c r="H200" t="s">
        <v>74</v>
      </c>
      <c r="I200" t="s">
        <v>4302</v>
      </c>
      <c r="J200" t="s">
        <v>4165</v>
      </c>
      <c r="K200" t="s">
        <v>74</v>
      </c>
      <c r="L200" t="s">
        <v>74</v>
      </c>
      <c r="M200" t="s">
        <v>78</v>
      </c>
      <c r="N200" t="s">
        <v>779</v>
      </c>
      <c r="O200" t="s">
        <v>74</v>
      </c>
      <c r="P200" t="s">
        <v>74</v>
      </c>
      <c r="Q200" t="s">
        <v>74</v>
      </c>
      <c r="R200" t="s">
        <v>74</v>
      </c>
      <c r="S200" t="s">
        <v>74</v>
      </c>
      <c r="T200" t="s">
        <v>74</v>
      </c>
      <c r="U200" t="s">
        <v>74</v>
      </c>
      <c r="V200" t="s">
        <v>74</v>
      </c>
      <c r="W200" t="s">
        <v>4303</v>
      </c>
      <c r="X200" t="s">
        <v>4183</v>
      </c>
      <c r="Y200" t="s">
        <v>4304</v>
      </c>
      <c r="Z200" t="s">
        <v>4305</v>
      </c>
      <c r="AA200" t="s">
        <v>74</v>
      </c>
      <c r="AB200" t="s">
        <v>74</v>
      </c>
      <c r="AC200" t="s">
        <v>74</v>
      </c>
      <c r="AD200" t="s">
        <v>74</v>
      </c>
      <c r="AE200" t="s">
        <v>74</v>
      </c>
      <c r="AF200" t="s">
        <v>74</v>
      </c>
      <c r="AG200">
        <v>0</v>
      </c>
      <c r="AH200">
        <v>0</v>
      </c>
      <c r="AI200">
        <v>0</v>
      </c>
      <c r="AJ200">
        <v>0</v>
      </c>
      <c r="AK200">
        <v>4</v>
      </c>
      <c r="AL200" t="s">
        <v>1603</v>
      </c>
      <c r="AM200" t="s">
        <v>93</v>
      </c>
      <c r="AN200" t="s">
        <v>1604</v>
      </c>
      <c r="AO200" t="s">
        <v>4172</v>
      </c>
      <c r="AP200" t="s">
        <v>4173</v>
      </c>
      <c r="AQ200" t="s">
        <v>74</v>
      </c>
      <c r="AR200" t="s">
        <v>4174</v>
      </c>
      <c r="AS200" t="s">
        <v>4175</v>
      </c>
      <c r="AT200" t="s">
        <v>840</v>
      </c>
      <c r="AU200">
        <v>2022</v>
      </c>
      <c r="AV200">
        <v>63</v>
      </c>
      <c r="AW200">
        <v>1</v>
      </c>
      <c r="AX200" t="s">
        <v>74</v>
      </c>
      <c r="AY200" t="s">
        <v>74</v>
      </c>
      <c r="AZ200" t="s">
        <v>74</v>
      </c>
      <c r="BA200" t="s">
        <v>74</v>
      </c>
      <c r="BB200" t="s">
        <v>74</v>
      </c>
      <c r="BC200" t="s">
        <v>74</v>
      </c>
      <c r="BD200" t="s">
        <v>74</v>
      </c>
      <c r="BE200" t="s">
        <v>74</v>
      </c>
      <c r="BF200" t="s">
        <v>74</v>
      </c>
      <c r="BG200" t="s">
        <v>74</v>
      </c>
      <c r="BH200" t="s">
        <v>74</v>
      </c>
      <c r="BI200">
        <v>3</v>
      </c>
      <c r="BJ200" t="s">
        <v>4176</v>
      </c>
      <c r="BK200" t="s">
        <v>103</v>
      </c>
      <c r="BL200" t="s">
        <v>4176</v>
      </c>
      <c r="BM200" t="s">
        <v>4300</v>
      </c>
      <c r="BN200" t="s">
        <v>74</v>
      </c>
      <c r="BO200" t="s">
        <v>74</v>
      </c>
      <c r="BP200" t="s">
        <v>74</v>
      </c>
      <c r="BQ200" t="s">
        <v>74</v>
      </c>
      <c r="BR200" t="s">
        <v>106</v>
      </c>
      <c r="BS200" t="s">
        <v>4306</v>
      </c>
      <c r="BT200" t="str">
        <f>HYPERLINK("https%3A%2F%2Fwww.webofscience.com%2Fwos%2Fwoscc%2Ffull-record%2FWOS:000743354500030","View Full Record in Web of Science")</f>
        <v>View Full Record in Web of Science</v>
      </c>
    </row>
    <row r="201" spans="1:72" x14ac:dyDescent="0.15">
      <c r="A201" t="s">
        <v>72</v>
      </c>
      <c r="B201" t="s">
        <v>4307</v>
      </c>
      <c r="C201" t="s">
        <v>74</v>
      </c>
      <c r="D201" t="s">
        <v>74</v>
      </c>
      <c r="E201" t="s">
        <v>74</v>
      </c>
      <c r="F201" t="s">
        <v>4308</v>
      </c>
      <c r="G201" t="s">
        <v>74</v>
      </c>
      <c r="H201" t="s">
        <v>74</v>
      </c>
      <c r="I201" t="s">
        <v>4309</v>
      </c>
      <c r="J201" t="s">
        <v>186</v>
      </c>
      <c r="K201" t="s">
        <v>74</v>
      </c>
      <c r="L201" t="s">
        <v>74</v>
      </c>
      <c r="M201" t="s">
        <v>78</v>
      </c>
      <c r="N201" t="s">
        <v>79</v>
      </c>
      <c r="O201" t="s">
        <v>74</v>
      </c>
      <c r="P201" t="s">
        <v>74</v>
      </c>
      <c r="Q201" t="s">
        <v>74</v>
      </c>
      <c r="R201" t="s">
        <v>74</v>
      </c>
      <c r="S201" t="s">
        <v>74</v>
      </c>
      <c r="T201" t="s">
        <v>4310</v>
      </c>
      <c r="U201" t="s">
        <v>4311</v>
      </c>
      <c r="V201" t="s">
        <v>4312</v>
      </c>
      <c r="W201" t="s">
        <v>4313</v>
      </c>
      <c r="X201" t="s">
        <v>4314</v>
      </c>
      <c r="Y201" t="s">
        <v>4315</v>
      </c>
      <c r="Z201" t="s">
        <v>4316</v>
      </c>
      <c r="AA201" t="s">
        <v>74</v>
      </c>
      <c r="AB201" t="s">
        <v>4317</v>
      </c>
      <c r="AC201" t="s">
        <v>4318</v>
      </c>
      <c r="AD201" t="s">
        <v>4319</v>
      </c>
      <c r="AE201" t="s">
        <v>4320</v>
      </c>
      <c r="AF201" t="s">
        <v>74</v>
      </c>
      <c r="AG201">
        <v>41</v>
      </c>
      <c r="AH201">
        <v>1</v>
      </c>
      <c r="AI201">
        <v>1</v>
      </c>
      <c r="AJ201">
        <v>4</v>
      </c>
      <c r="AK201">
        <v>18</v>
      </c>
      <c r="AL201" t="s">
        <v>198</v>
      </c>
      <c r="AM201" t="s">
        <v>199</v>
      </c>
      <c r="AN201" t="s">
        <v>200</v>
      </c>
      <c r="AO201" t="s">
        <v>201</v>
      </c>
      <c r="AP201" t="s">
        <v>202</v>
      </c>
      <c r="AQ201" t="s">
        <v>74</v>
      </c>
      <c r="AR201" t="s">
        <v>203</v>
      </c>
      <c r="AS201" t="s">
        <v>204</v>
      </c>
      <c r="AT201" t="s">
        <v>840</v>
      </c>
      <c r="AU201">
        <v>2022</v>
      </c>
      <c r="AV201">
        <v>68</v>
      </c>
      <c r="AW201">
        <v>267</v>
      </c>
      <c r="AX201" t="s">
        <v>74</v>
      </c>
      <c r="AY201" t="s">
        <v>74</v>
      </c>
      <c r="AZ201" t="s">
        <v>74</v>
      </c>
      <c r="BA201" t="s">
        <v>74</v>
      </c>
      <c r="BB201">
        <v>54</v>
      </c>
      <c r="BC201">
        <v>64</v>
      </c>
      <c r="BD201" t="s">
        <v>4321</v>
      </c>
      <c r="BE201" t="s">
        <v>4322</v>
      </c>
      <c r="BF201" t="str">
        <f>HYPERLINK("http://dx.doi.org/10.1017/jog.2021.72","http://dx.doi.org/10.1017/jog.2021.72")</f>
        <v>http://dx.doi.org/10.1017/jog.2021.72</v>
      </c>
      <c r="BG201" t="s">
        <v>74</v>
      </c>
      <c r="BH201" t="s">
        <v>74</v>
      </c>
      <c r="BI201">
        <v>11</v>
      </c>
      <c r="BJ201" t="s">
        <v>208</v>
      </c>
      <c r="BK201" t="s">
        <v>103</v>
      </c>
      <c r="BL201" t="s">
        <v>209</v>
      </c>
      <c r="BM201" t="s">
        <v>4323</v>
      </c>
      <c r="BN201" t="s">
        <v>74</v>
      </c>
      <c r="BO201" t="s">
        <v>445</v>
      </c>
      <c r="BP201" t="s">
        <v>74</v>
      </c>
      <c r="BQ201" t="s">
        <v>74</v>
      </c>
      <c r="BR201" t="s">
        <v>106</v>
      </c>
      <c r="BS201" t="s">
        <v>4324</v>
      </c>
      <c r="BT201" t="str">
        <f>HYPERLINK("https%3A%2F%2Fwww.webofscience.com%2Fwos%2Fwoscc%2Ffull-record%2FWOS:000742401200007","View Full Record in Web of Science")</f>
        <v>View Full Record in Web of Science</v>
      </c>
    </row>
    <row r="202" spans="1:72" x14ac:dyDescent="0.15">
      <c r="A202" t="s">
        <v>72</v>
      </c>
      <c r="B202" t="s">
        <v>4325</v>
      </c>
      <c r="C202" t="s">
        <v>74</v>
      </c>
      <c r="D202" t="s">
        <v>74</v>
      </c>
      <c r="E202" t="s">
        <v>74</v>
      </c>
      <c r="F202" t="s">
        <v>4326</v>
      </c>
      <c r="G202" t="s">
        <v>74</v>
      </c>
      <c r="H202" t="s">
        <v>74</v>
      </c>
      <c r="I202" t="s">
        <v>4327</v>
      </c>
      <c r="J202" t="s">
        <v>186</v>
      </c>
      <c r="K202" t="s">
        <v>74</v>
      </c>
      <c r="L202" t="s">
        <v>74</v>
      </c>
      <c r="M202" t="s">
        <v>78</v>
      </c>
      <c r="N202" t="s">
        <v>79</v>
      </c>
      <c r="O202" t="s">
        <v>74</v>
      </c>
      <c r="P202" t="s">
        <v>74</v>
      </c>
      <c r="Q202" t="s">
        <v>74</v>
      </c>
      <c r="R202" t="s">
        <v>74</v>
      </c>
      <c r="S202" t="s">
        <v>74</v>
      </c>
      <c r="T202" t="s">
        <v>4328</v>
      </c>
      <c r="U202" t="s">
        <v>4329</v>
      </c>
      <c r="V202" t="s">
        <v>4330</v>
      </c>
      <c r="W202" t="s">
        <v>4331</v>
      </c>
      <c r="X202" t="s">
        <v>4332</v>
      </c>
      <c r="Y202" t="s">
        <v>4333</v>
      </c>
      <c r="Z202" t="s">
        <v>4334</v>
      </c>
      <c r="AA202" t="s">
        <v>4335</v>
      </c>
      <c r="AB202" t="s">
        <v>4336</v>
      </c>
      <c r="AC202" t="s">
        <v>4337</v>
      </c>
      <c r="AD202" t="s">
        <v>4338</v>
      </c>
      <c r="AE202" t="s">
        <v>4339</v>
      </c>
      <c r="AF202" t="s">
        <v>74</v>
      </c>
      <c r="AG202">
        <v>34</v>
      </c>
      <c r="AH202">
        <v>3</v>
      </c>
      <c r="AI202">
        <v>3</v>
      </c>
      <c r="AJ202">
        <v>0</v>
      </c>
      <c r="AK202">
        <v>3</v>
      </c>
      <c r="AL202" t="s">
        <v>198</v>
      </c>
      <c r="AM202" t="s">
        <v>199</v>
      </c>
      <c r="AN202" t="s">
        <v>200</v>
      </c>
      <c r="AO202" t="s">
        <v>201</v>
      </c>
      <c r="AP202" t="s">
        <v>202</v>
      </c>
      <c r="AQ202" t="s">
        <v>74</v>
      </c>
      <c r="AR202" t="s">
        <v>203</v>
      </c>
      <c r="AS202" t="s">
        <v>204</v>
      </c>
      <c r="AT202" t="s">
        <v>840</v>
      </c>
      <c r="AU202">
        <v>2022</v>
      </c>
      <c r="AV202">
        <v>68</v>
      </c>
      <c r="AW202">
        <v>267</v>
      </c>
      <c r="AX202" t="s">
        <v>74</v>
      </c>
      <c r="AY202" t="s">
        <v>74</v>
      </c>
      <c r="AZ202" t="s">
        <v>74</v>
      </c>
      <c r="BA202" t="s">
        <v>74</v>
      </c>
      <c r="BB202">
        <v>65</v>
      </c>
      <c r="BC202">
        <v>76</v>
      </c>
      <c r="BD202" t="s">
        <v>4340</v>
      </c>
      <c r="BE202" t="s">
        <v>4341</v>
      </c>
      <c r="BF202" t="str">
        <f>HYPERLINK("http://dx.doi.org/10.1017/jog.2021.73","http://dx.doi.org/10.1017/jog.2021.73")</f>
        <v>http://dx.doi.org/10.1017/jog.2021.73</v>
      </c>
      <c r="BG202" t="s">
        <v>74</v>
      </c>
      <c r="BH202" t="s">
        <v>74</v>
      </c>
      <c r="BI202">
        <v>12</v>
      </c>
      <c r="BJ202" t="s">
        <v>208</v>
      </c>
      <c r="BK202" t="s">
        <v>103</v>
      </c>
      <c r="BL202" t="s">
        <v>209</v>
      </c>
      <c r="BM202" t="s">
        <v>4323</v>
      </c>
      <c r="BN202" t="s">
        <v>74</v>
      </c>
      <c r="BO202" t="s">
        <v>445</v>
      </c>
      <c r="BP202" t="s">
        <v>74</v>
      </c>
      <c r="BQ202" t="s">
        <v>74</v>
      </c>
      <c r="BR202" t="s">
        <v>106</v>
      </c>
      <c r="BS202" t="s">
        <v>4342</v>
      </c>
      <c r="BT202" t="str">
        <f>HYPERLINK("https%3A%2F%2Fwww.webofscience.com%2Fwos%2Fwoscc%2Ffull-record%2FWOS:000742401200008","View Full Record in Web of Science")</f>
        <v>View Full Record in Web of Science</v>
      </c>
    </row>
    <row r="203" spans="1:72" x14ac:dyDescent="0.15">
      <c r="A203" t="s">
        <v>72</v>
      </c>
      <c r="B203" t="s">
        <v>4343</v>
      </c>
      <c r="C203" t="s">
        <v>74</v>
      </c>
      <c r="D203" t="s">
        <v>74</v>
      </c>
      <c r="E203" t="s">
        <v>74</v>
      </c>
      <c r="F203" t="s">
        <v>4344</v>
      </c>
      <c r="G203" t="s">
        <v>74</v>
      </c>
      <c r="H203" t="s">
        <v>74</v>
      </c>
      <c r="I203" t="s">
        <v>4345</v>
      </c>
      <c r="J203" t="s">
        <v>186</v>
      </c>
      <c r="K203" t="s">
        <v>74</v>
      </c>
      <c r="L203" t="s">
        <v>74</v>
      </c>
      <c r="M203" t="s">
        <v>78</v>
      </c>
      <c r="N203" t="s">
        <v>79</v>
      </c>
      <c r="O203" t="s">
        <v>74</v>
      </c>
      <c r="P203" t="s">
        <v>74</v>
      </c>
      <c r="Q203" t="s">
        <v>74</v>
      </c>
      <c r="R203" t="s">
        <v>74</v>
      </c>
      <c r="S203" t="s">
        <v>74</v>
      </c>
      <c r="T203" t="s">
        <v>4346</v>
      </c>
      <c r="U203" t="s">
        <v>4347</v>
      </c>
      <c r="V203" t="s">
        <v>4348</v>
      </c>
      <c r="W203" t="s">
        <v>4349</v>
      </c>
      <c r="X203" t="s">
        <v>4350</v>
      </c>
      <c r="Y203" t="s">
        <v>4351</v>
      </c>
      <c r="Z203" t="s">
        <v>4352</v>
      </c>
      <c r="AA203" t="s">
        <v>4353</v>
      </c>
      <c r="AB203" t="s">
        <v>4354</v>
      </c>
      <c r="AC203" t="s">
        <v>4355</v>
      </c>
      <c r="AD203" t="s">
        <v>4356</v>
      </c>
      <c r="AE203" t="s">
        <v>4357</v>
      </c>
      <c r="AF203" t="s">
        <v>74</v>
      </c>
      <c r="AG203">
        <v>35</v>
      </c>
      <c r="AH203">
        <v>14</v>
      </c>
      <c r="AI203">
        <v>14</v>
      </c>
      <c r="AJ203">
        <v>1</v>
      </c>
      <c r="AK203">
        <v>11</v>
      </c>
      <c r="AL203" t="s">
        <v>198</v>
      </c>
      <c r="AM203" t="s">
        <v>199</v>
      </c>
      <c r="AN203" t="s">
        <v>200</v>
      </c>
      <c r="AO203" t="s">
        <v>201</v>
      </c>
      <c r="AP203" t="s">
        <v>202</v>
      </c>
      <c r="AQ203" t="s">
        <v>74</v>
      </c>
      <c r="AR203" t="s">
        <v>203</v>
      </c>
      <c r="AS203" t="s">
        <v>204</v>
      </c>
      <c r="AT203" t="s">
        <v>840</v>
      </c>
      <c r="AU203">
        <v>2022</v>
      </c>
      <c r="AV203">
        <v>68</v>
      </c>
      <c r="AW203">
        <v>267</v>
      </c>
      <c r="AX203" t="s">
        <v>74</v>
      </c>
      <c r="AY203" t="s">
        <v>74</v>
      </c>
      <c r="AZ203" t="s">
        <v>74</v>
      </c>
      <c r="BA203" t="s">
        <v>74</v>
      </c>
      <c r="BB203">
        <v>90</v>
      </c>
      <c r="BC203">
        <v>100</v>
      </c>
      <c r="BD203" t="s">
        <v>74</v>
      </c>
      <c r="BE203" t="s">
        <v>4358</v>
      </c>
      <c r="BF203" t="str">
        <f>HYPERLINK("http://dx.doi.org/10.1017/jog.2021.75","http://dx.doi.org/10.1017/jog.2021.75")</f>
        <v>http://dx.doi.org/10.1017/jog.2021.75</v>
      </c>
      <c r="BG203" t="s">
        <v>74</v>
      </c>
      <c r="BH203" t="s">
        <v>74</v>
      </c>
      <c r="BI203">
        <v>11</v>
      </c>
      <c r="BJ203" t="s">
        <v>208</v>
      </c>
      <c r="BK203" t="s">
        <v>103</v>
      </c>
      <c r="BL203" t="s">
        <v>209</v>
      </c>
      <c r="BM203" t="s">
        <v>4323</v>
      </c>
      <c r="BN203" t="s">
        <v>74</v>
      </c>
      <c r="BO203" t="s">
        <v>371</v>
      </c>
      <c r="BP203" t="s">
        <v>74</v>
      </c>
      <c r="BQ203" t="s">
        <v>74</v>
      </c>
      <c r="BR203" t="s">
        <v>106</v>
      </c>
      <c r="BS203" t="s">
        <v>4359</v>
      </c>
      <c r="BT203" t="str">
        <f>HYPERLINK("https%3A%2F%2Fwww.webofscience.com%2Fwos%2Fwoscc%2Ffull-record%2FWOS:000742401200010","View Full Record in Web of Science")</f>
        <v>View Full Record in Web of Science</v>
      </c>
    </row>
    <row r="204" spans="1:72" x14ac:dyDescent="0.15">
      <c r="A204" t="s">
        <v>72</v>
      </c>
      <c r="B204" t="s">
        <v>4360</v>
      </c>
      <c r="C204" t="s">
        <v>74</v>
      </c>
      <c r="D204" t="s">
        <v>74</v>
      </c>
      <c r="E204" t="s">
        <v>74</v>
      </c>
      <c r="F204" t="s">
        <v>4361</v>
      </c>
      <c r="G204" t="s">
        <v>74</v>
      </c>
      <c r="H204" t="s">
        <v>74</v>
      </c>
      <c r="I204" t="s">
        <v>4362</v>
      </c>
      <c r="J204" t="s">
        <v>186</v>
      </c>
      <c r="K204" t="s">
        <v>74</v>
      </c>
      <c r="L204" t="s">
        <v>74</v>
      </c>
      <c r="M204" t="s">
        <v>78</v>
      </c>
      <c r="N204" t="s">
        <v>79</v>
      </c>
      <c r="O204" t="s">
        <v>74</v>
      </c>
      <c r="P204" t="s">
        <v>74</v>
      </c>
      <c r="Q204" t="s">
        <v>74</v>
      </c>
      <c r="R204" t="s">
        <v>74</v>
      </c>
      <c r="S204" t="s">
        <v>74</v>
      </c>
      <c r="T204" t="s">
        <v>4363</v>
      </c>
      <c r="U204" t="s">
        <v>4364</v>
      </c>
      <c r="V204" t="s">
        <v>4365</v>
      </c>
      <c r="W204" t="s">
        <v>4366</v>
      </c>
      <c r="X204" t="s">
        <v>4367</v>
      </c>
      <c r="Y204" t="s">
        <v>4368</v>
      </c>
      <c r="Z204" t="s">
        <v>4369</v>
      </c>
      <c r="AA204" t="s">
        <v>74</v>
      </c>
      <c r="AB204" t="s">
        <v>4370</v>
      </c>
      <c r="AC204" t="s">
        <v>4371</v>
      </c>
      <c r="AD204" t="s">
        <v>4372</v>
      </c>
      <c r="AE204" t="s">
        <v>4373</v>
      </c>
      <c r="AF204" t="s">
        <v>74</v>
      </c>
      <c r="AG204">
        <v>65</v>
      </c>
      <c r="AH204">
        <v>6</v>
      </c>
      <c r="AI204">
        <v>6</v>
      </c>
      <c r="AJ204">
        <v>1</v>
      </c>
      <c r="AK204">
        <v>8</v>
      </c>
      <c r="AL204" t="s">
        <v>198</v>
      </c>
      <c r="AM204" t="s">
        <v>199</v>
      </c>
      <c r="AN204" t="s">
        <v>200</v>
      </c>
      <c r="AO204" t="s">
        <v>201</v>
      </c>
      <c r="AP204" t="s">
        <v>202</v>
      </c>
      <c r="AQ204" t="s">
        <v>74</v>
      </c>
      <c r="AR204" t="s">
        <v>203</v>
      </c>
      <c r="AS204" t="s">
        <v>204</v>
      </c>
      <c r="AT204" t="s">
        <v>840</v>
      </c>
      <c r="AU204">
        <v>2022</v>
      </c>
      <c r="AV204">
        <v>68</v>
      </c>
      <c r="AW204">
        <v>267</v>
      </c>
      <c r="AX204" t="s">
        <v>74</v>
      </c>
      <c r="AY204" t="s">
        <v>74</v>
      </c>
      <c r="AZ204" t="s">
        <v>74</v>
      </c>
      <c r="BA204" t="s">
        <v>74</v>
      </c>
      <c r="BB204">
        <v>139</v>
      </c>
      <c r="BC204">
        <v>152</v>
      </c>
      <c r="BD204" t="s">
        <v>4374</v>
      </c>
      <c r="BE204" t="s">
        <v>4375</v>
      </c>
      <c r="BF204" t="str">
        <f>HYPERLINK("http://dx.doi.org/10.1017/jog.2021.83","http://dx.doi.org/10.1017/jog.2021.83")</f>
        <v>http://dx.doi.org/10.1017/jog.2021.83</v>
      </c>
      <c r="BG204" t="s">
        <v>74</v>
      </c>
      <c r="BH204" t="s">
        <v>74</v>
      </c>
      <c r="BI204">
        <v>14</v>
      </c>
      <c r="BJ204" t="s">
        <v>208</v>
      </c>
      <c r="BK204" t="s">
        <v>103</v>
      </c>
      <c r="BL204" t="s">
        <v>209</v>
      </c>
      <c r="BM204" t="s">
        <v>4323</v>
      </c>
      <c r="BN204" t="s">
        <v>74</v>
      </c>
      <c r="BO204" t="s">
        <v>445</v>
      </c>
      <c r="BP204" t="s">
        <v>74</v>
      </c>
      <c r="BQ204" t="s">
        <v>74</v>
      </c>
      <c r="BR204" t="s">
        <v>106</v>
      </c>
      <c r="BS204" t="s">
        <v>4376</v>
      </c>
      <c r="BT204" t="str">
        <f>HYPERLINK("https%3A%2F%2Fwww.webofscience.com%2Fwos%2Fwoscc%2Ffull-record%2FWOS:000742401200014","View Full Record in Web of Science")</f>
        <v>View Full Record in Web of Science</v>
      </c>
    </row>
    <row r="205" spans="1:72" x14ac:dyDescent="0.15">
      <c r="A205" t="s">
        <v>72</v>
      </c>
      <c r="B205" t="s">
        <v>4377</v>
      </c>
      <c r="C205" t="s">
        <v>74</v>
      </c>
      <c r="D205" t="s">
        <v>74</v>
      </c>
      <c r="E205" t="s">
        <v>74</v>
      </c>
      <c r="F205" t="s">
        <v>4378</v>
      </c>
      <c r="G205" t="s">
        <v>74</v>
      </c>
      <c r="H205" t="s">
        <v>74</v>
      </c>
      <c r="I205" t="s">
        <v>4379</v>
      </c>
      <c r="J205" t="s">
        <v>4380</v>
      </c>
      <c r="K205" t="s">
        <v>74</v>
      </c>
      <c r="L205" t="s">
        <v>74</v>
      </c>
      <c r="M205" t="s">
        <v>78</v>
      </c>
      <c r="N205" t="s">
        <v>79</v>
      </c>
      <c r="O205" t="s">
        <v>74</v>
      </c>
      <c r="P205" t="s">
        <v>74</v>
      </c>
      <c r="Q205" t="s">
        <v>74</v>
      </c>
      <c r="R205" t="s">
        <v>74</v>
      </c>
      <c r="S205" t="s">
        <v>74</v>
      </c>
      <c r="T205" t="s">
        <v>4381</v>
      </c>
      <c r="U205" t="s">
        <v>74</v>
      </c>
      <c r="V205" t="s">
        <v>4382</v>
      </c>
      <c r="W205" t="s">
        <v>4383</v>
      </c>
      <c r="X205" t="s">
        <v>74</v>
      </c>
      <c r="Y205" t="s">
        <v>4384</v>
      </c>
      <c r="Z205" t="s">
        <v>4385</v>
      </c>
      <c r="AA205" t="s">
        <v>74</v>
      </c>
      <c r="AB205" t="s">
        <v>74</v>
      </c>
      <c r="AC205" t="s">
        <v>4386</v>
      </c>
      <c r="AD205" t="s">
        <v>4386</v>
      </c>
      <c r="AE205" t="s">
        <v>4387</v>
      </c>
      <c r="AF205" t="s">
        <v>74</v>
      </c>
      <c r="AG205">
        <v>0</v>
      </c>
      <c r="AH205">
        <v>1</v>
      </c>
      <c r="AI205">
        <v>1</v>
      </c>
      <c r="AJ205">
        <v>3</v>
      </c>
      <c r="AK205">
        <v>13</v>
      </c>
      <c r="AL205" t="s">
        <v>4388</v>
      </c>
      <c r="AM205" t="s">
        <v>4389</v>
      </c>
      <c r="AN205" t="s">
        <v>4390</v>
      </c>
      <c r="AO205" t="s">
        <v>4391</v>
      </c>
      <c r="AP205" t="s">
        <v>4392</v>
      </c>
      <c r="AQ205" t="s">
        <v>74</v>
      </c>
      <c r="AR205" t="s">
        <v>4393</v>
      </c>
      <c r="AS205" t="s">
        <v>4394</v>
      </c>
      <c r="AT205" t="s">
        <v>840</v>
      </c>
      <c r="AU205">
        <v>2022</v>
      </c>
      <c r="AV205">
        <v>175</v>
      </c>
      <c r="AW205">
        <v>1</v>
      </c>
      <c r="AX205" t="s">
        <v>74</v>
      </c>
      <c r="AY205" t="s">
        <v>74</v>
      </c>
      <c r="AZ205" t="s">
        <v>74</v>
      </c>
      <c r="BA205" t="s">
        <v>74</v>
      </c>
      <c r="BB205">
        <v>19</v>
      </c>
      <c r="BC205">
        <v>26</v>
      </c>
      <c r="BD205">
        <v>21000047</v>
      </c>
      <c r="BE205" t="s">
        <v>4395</v>
      </c>
      <c r="BF205" t="str">
        <f>HYPERLINK("http://dx.doi.org/10.1680/jcien.21.00047","http://dx.doi.org/10.1680/jcien.21.00047")</f>
        <v>http://dx.doi.org/10.1680/jcien.21.00047</v>
      </c>
      <c r="BG205" t="s">
        <v>74</v>
      </c>
      <c r="BH205" t="s">
        <v>74</v>
      </c>
      <c r="BI205">
        <v>8</v>
      </c>
      <c r="BJ205" t="s">
        <v>4396</v>
      </c>
      <c r="BK205" t="s">
        <v>103</v>
      </c>
      <c r="BL205" t="s">
        <v>4397</v>
      </c>
      <c r="BM205" t="s">
        <v>4398</v>
      </c>
      <c r="BN205" t="s">
        <v>74</v>
      </c>
      <c r="BO205" t="s">
        <v>74</v>
      </c>
      <c r="BP205" t="s">
        <v>74</v>
      </c>
      <c r="BQ205" t="s">
        <v>74</v>
      </c>
      <c r="BR205" t="s">
        <v>106</v>
      </c>
      <c r="BS205" t="s">
        <v>4399</v>
      </c>
      <c r="BT205" t="str">
        <f>HYPERLINK("https%3A%2F%2Fwww.webofscience.com%2Fwos%2Fwoscc%2Ffull-record%2FWOS:000740951200009","View Full Record in Web of Science")</f>
        <v>View Full Record in Web of Science</v>
      </c>
    </row>
    <row r="206" spans="1:72" x14ac:dyDescent="0.15">
      <c r="A206" t="s">
        <v>72</v>
      </c>
      <c r="B206" t="s">
        <v>4400</v>
      </c>
      <c r="C206" t="s">
        <v>74</v>
      </c>
      <c r="D206" t="s">
        <v>74</v>
      </c>
      <c r="E206" t="s">
        <v>74</v>
      </c>
      <c r="F206" t="s">
        <v>4401</v>
      </c>
      <c r="G206" t="s">
        <v>74</v>
      </c>
      <c r="H206" t="s">
        <v>74</v>
      </c>
      <c r="I206" t="s">
        <v>4402</v>
      </c>
      <c r="J206" t="s">
        <v>4403</v>
      </c>
      <c r="K206" t="s">
        <v>74</v>
      </c>
      <c r="L206" t="s">
        <v>74</v>
      </c>
      <c r="M206" t="s">
        <v>78</v>
      </c>
      <c r="N206" t="s">
        <v>79</v>
      </c>
      <c r="O206" t="s">
        <v>74</v>
      </c>
      <c r="P206" t="s">
        <v>74</v>
      </c>
      <c r="Q206" t="s">
        <v>74</v>
      </c>
      <c r="R206" t="s">
        <v>74</v>
      </c>
      <c r="S206" t="s">
        <v>74</v>
      </c>
      <c r="T206" t="s">
        <v>74</v>
      </c>
      <c r="U206" t="s">
        <v>4404</v>
      </c>
      <c r="V206" t="s">
        <v>4405</v>
      </c>
      <c r="W206" t="s">
        <v>4406</v>
      </c>
      <c r="X206" t="s">
        <v>4407</v>
      </c>
      <c r="Y206" t="s">
        <v>4408</v>
      </c>
      <c r="Z206" t="s">
        <v>4409</v>
      </c>
      <c r="AA206" t="s">
        <v>74</v>
      </c>
      <c r="AB206" t="s">
        <v>74</v>
      </c>
      <c r="AC206" t="s">
        <v>4410</v>
      </c>
      <c r="AD206" t="s">
        <v>4411</v>
      </c>
      <c r="AE206" t="s">
        <v>4412</v>
      </c>
      <c r="AF206" t="s">
        <v>74</v>
      </c>
      <c r="AG206">
        <v>38</v>
      </c>
      <c r="AH206">
        <v>1</v>
      </c>
      <c r="AI206">
        <v>1</v>
      </c>
      <c r="AJ206">
        <v>3</v>
      </c>
      <c r="AK206">
        <v>21</v>
      </c>
      <c r="AL206" t="s">
        <v>1074</v>
      </c>
      <c r="AM206" t="s">
        <v>506</v>
      </c>
      <c r="AN206" t="s">
        <v>1075</v>
      </c>
      <c r="AO206" t="s">
        <v>4413</v>
      </c>
      <c r="AP206" t="s">
        <v>4414</v>
      </c>
      <c r="AQ206" t="s">
        <v>74</v>
      </c>
      <c r="AR206" t="s">
        <v>4415</v>
      </c>
      <c r="AS206" t="s">
        <v>4416</v>
      </c>
      <c r="AT206" t="s">
        <v>840</v>
      </c>
      <c r="AU206">
        <v>2022</v>
      </c>
      <c r="AV206">
        <v>79</v>
      </c>
      <c r="AW206">
        <v>2</v>
      </c>
      <c r="AX206" t="s">
        <v>74</v>
      </c>
      <c r="AY206" t="s">
        <v>74</v>
      </c>
      <c r="AZ206" t="s">
        <v>74</v>
      </c>
      <c r="BA206" t="s">
        <v>74</v>
      </c>
      <c r="BB206" t="s">
        <v>74</v>
      </c>
      <c r="BC206" t="s">
        <v>74</v>
      </c>
      <c r="BD206" t="s">
        <v>74</v>
      </c>
      <c r="BE206" t="s">
        <v>4417</v>
      </c>
      <c r="BF206" t="str">
        <f>HYPERLINK("http://dx.doi.org/10.1007/s00284-021-02731-2","http://dx.doi.org/10.1007/s00284-021-02731-2")</f>
        <v>http://dx.doi.org/10.1007/s00284-021-02731-2</v>
      </c>
      <c r="BG206" t="s">
        <v>74</v>
      </c>
      <c r="BH206" t="s">
        <v>74</v>
      </c>
      <c r="BI206">
        <v>12</v>
      </c>
      <c r="BJ206" t="s">
        <v>747</v>
      </c>
      <c r="BK206" t="s">
        <v>103</v>
      </c>
      <c r="BL206" t="s">
        <v>747</v>
      </c>
      <c r="BM206" t="s">
        <v>4418</v>
      </c>
      <c r="BN206">
        <v>34982238</v>
      </c>
      <c r="BO206" t="s">
        <v>74</v>
      </c>
      <c r="BP206" t="s">
        <v>74</v>
      </c>
      <c r="BQ206" t="s">
        <v>74</v>
      </c>
      <c r="BR206" t="s">
        <v>106</v>
      </c>
      <c r="BS206" t="s">
        <v>4419</v>
      </c>
      <c r="BT206" t="str">
        <f>HYPERLINK("https%3A%2F%2Fwww.webofscience.com%2Fwos%2Fwoscc%2Ffull-record%2FWOS:000738732500018","View Full Record in Web of Science")</f>
        <v>View Full Record in Web of Science</v>
      </c>
    </row>
    <row r="207" spans="1:72" x14ac:dyDescent="0.15">
      <c r="A207" t="s">
        <v>72</v>
      </c>
      <c r="B207" t="s">
        <v>4420</v>
      </c>
      <c r="C207" t="s">
        <v>74</v>
      </c>
      <c r="D207" t="s">
        <v>74</v>
      </c>
      <c r="E207" t="s">
        <v>74</v>
      </c>
      <c r="F207" t="s">
        <v>4421</v>
      </c>
      <c r="G207" t="s">
        <v>74</v>
      </c>
      <c r="H207" t="s">
        <v>74</v>
      </c>
      <c r="I207" t="s">
        <v>4422</v>
      </c>
      <c r="J207" t="s">
        <v>4423</v>
      </c>
      <c r="K207" t="s">
        <v>74</v>
      </c>
      <c r="L207" t="s">
        <v>74</v>
      </c>
      <c r="M207" t="s">
        <v>78</v>
      </c>
      <c r="N207" t="s">
        <v>79</v>
      </c>
      <c r="O207" t="s">
        <v>74</v>
      </c>
      <c r="P207" t="s">
        <v>74</v>
      </c>
      <c r="Q207" t="s">
        <v>74</v>
      </c>
      <c r="R207" t="s">
        <v>74</v>
      </c>
      <c r="S207" t="s">
        <v>74</v>
      </c>
      <c r="T207" t="s">
        <v>4424</v>
      </c>
      <c r="U207" t="s">
        <v>4425</v>
      </c>
      <c r="V207" t="s">
        <v>4426</v>
      </c>
      <c r="W207" t="s">
        <v>4427</v>
      </c>
      <c r="X207" t="s">
        <v>4428</v>
      </c>
      <c r="Y207" t="s">
        <v>4429</v>
      </c>
      <c r="Z207" t="s">
        <v>4430</v>
      </c>
      <c r="AA207" t="s">
        <v>74</v>
      </c>
      <c r="AB207" t="s">
        <v>74</v>
      </c>
      <c r="AC207" t="s">
        <v>4431</v>
      </c>
      <c r="AD207" t="s">
        <v>4432</v>
      </c>
      <c r="AE207" t="s">
        <v>4433</v>
      </c>
      <c r="AF207" t="s">
        <v>74</v>
      </c>
      <c r="AG207">
        <v>32</v>
      </c>
      <c r="AH207">
        <v>0</v>
      </c>
      <c r="AI207">
        <v>0</v>
      </c>
      <c r="AJ207">
        <v>3</v>
      </c>
      <c r="AK207">
        <v>16</v>
      </c>
      <c r="AL207" t="s">
        <v>4434</v>
      </c>
      <c r="AM207" t="s">
        <v>506</v>
      </c>
      <c r="AN207" t="s">
        <v>4435</v>
      </c>
      <c r="AO207" t="s">
        <v>4436</v>
      </c>
      <c r="AP207" t="s">
        <v>4437</v>
      </c>
      <c r="AQ207" t="s">
        <v>74</v>
      </c>
      <c r="AR207" t="s">
        <v>4438</v>
      </c>
      <c r="AS207" t="s">
        <v>4439</v>
      </c>
      <c r="AT207" t="s">
        <v>3228</v>
      </c>
      <c r="AU207">
        <v>2022</v>
      </c>
      <c r="AV207">
        <v>144</v>
      </c>
      <c r="AW207">
        <v>1</v>
      </c>
      <c r="AX207" t="s">
        <v>74</v>
      </c>
      <c r="AY207" t="s">
        <v>74</v>
      </c>
      <c r="AZ207" t="s">
        <v>74</v>
      </c>
      <c r="BA207" t="s">
        <v>74</v>
      </c>
      <c r="BB207" t="s">
        <v>74</v>
      </c>
      <c r="BC207" t="s">
        <v>74</v>
      </c>
      <c r="BD207">
        <v>11601</v>
      </c>
      <c r="BE207" t="s">
        <v>4440</v>
      </c>
      <c r="BF207" t="str">
        <f>HYPERLINK("http://dx.doi.org/10.1115/1.4051812","http://dx.doi.org/10.1115/1.4051812")</f>
        <v>http://dx.doi.org/10.1115/1.4051812</v>
      </c>
      <c r="BG207" t="s">
        <v>74</v>
      </c>
      <c r="BH207" t="s">
        <v>74</v>
      </c>
      <c r="BI207">
        <v>8</v>
      </c>
      <c r="BJ207" t="s">
        <v>4441</v>
      </c>
      <c r="BK207" t="s">
        <v>103</v>
      </c>
      <c r="BL207" t="s">
        <v>4397</v>
      </c>
      <c r="BM207" t="s">
        <v>4442</v>
      </c>
      <c r="BN207" t="s">
        <v>74</v>
      </c>
      <c r="BO207" t="s">
        <v>74</v>
      </c>
      <c r="BP207" t="s">
        <v>74</v>
      </c>
      <c r="BQ207" t="s">
        <v>74</v>
      </c>
      <c r="BR207" t="s">
        <v>106</v>
      </c>
      <c r="BS207" t="s">
        <v>4443</v>
      </c>
      <c r="BT207" t="str">
        <f>HYPERLINK("https%3A%2F%2Fwww.webofscience.com%2Fwos%2Fwoscc%2Ffull-record%2FWOS:000731582100008","View Full Record in Web of Science")</f>
        <v>View Full Record in Web of Science</v>
      </c>
    </row>
    <row r="208" spans="1:72" x14ac:dyDescent="0.15">
      <c r="A208" t="s">
        <v>72</v>
      </c>
      <c r="B208" t="s">
        <v>4444</v>
      </c>
      <c r="C208" t="s">
        <v>74</v>
      </c>
      <c r="D208" t="s">
        <v>74</v>
      </c>
      <c r="E208" t="s">
        <v>74</v>
      </c>
      <c r="F208" t="s">
        <v>4445</v>
      </c>
      <c r="G208" t="s">
        <v>74</v>
      </c>
      <c r="H208" t="s">
        <v>74</v>
      </c>
      <c r="I208" t="s">
        <v>4446</v>
      </c>
      <c r="J208" t="s">
        <v>4447</v>
      </c>
      <c r="K208" t="s">
        <v>74</v>
      </c>
      <c r="L208" t="s">
        <v>74</v>
      </c>
      <c r="M208" t="s">
        <v>78</v>
      </c>
      <c r="N208" t="s">
        <v>79</v>
      </c>
      <c r="O208" t="s">
        <v>74</v>
      </c>
      <c r="P208" t="s">
        <v>74</v>
      </c>
      <c r="Q208" t="s">
        <v>74</v>
      </c>
      <c r="R208" t="s">
        <v>74</v>
      </c>
      <c r="S208" t="s">
        <v>74</v>
      </c>
      <c r="T208" t="s">
        <v>4448</v>
      </c>
      <c r="U208" t="s">
        <v>4449</v>
      </c>
      <c r="V208" t="s">
        <v>4450</v>
      </c>
      <c r="W208" t="s">
        <v>4451</v>
      </c>
      <c r="X208" t="s">
        <v>4314</v>
      </c>
      <c r="Y208" t="s">
        <v>4452</v>
      </c>
      <c r="Z208" t="s">
        <v>4453</v>
      </c>
      <c r="AA208" t="s">
        <v>4454</v>
      </c>
      <c r="AB208" t="s">
        <v>4455</v>
      </c>
      <c r="AC208" t="s">
        <v>4456</v>
      </c>
      <c r="AD208" t="s">
        <v>4457</v>
      </c>
      <c r="AE208" t="s">
        <v>4458</v>
      </c>
      <c r="AF208" t="s">
        <v>74</v>
      </c>
      <c r="AG208">
        <v>44</v>
      </c>
      <c r="AH208">
        <v>3</v>
      </c>
      <c r="AI208">
        <v>3</v>
      </c>
      <c r="AJ208">
        <v>5</v>
      </c>
      <c r="AK208">
        <v>25</v>
      </c>
      <c r="AL208" t="s">
        <v>4459</v>
      </c>
      <c r="AM208" t="s">
        <v>4460</v>
      </c>
      <c r="AN208" t="s">
        <v>4461</v>
      </c>
      <c r="AO208" t="s">
        <v>4462</v>
      </c>
      <c r="AP208" t="s">
        <v>4463</v>
      </c>
      <c r="AQ208" t="s">
        <v>74</v>
      </c>
      <c r="AR208" t="s">
        <v>4464</v>
      </c>
      <c r="AS208" t="s">
        <v>4465</v>
      </c>
      <c r="AT208" t="s">
        <v>3228</v>
      </c>
      <c r="AU208">
        <v>2022</v>
      </c>
      <c r="AV208">
        <v>148</v>
      </c>
      <c r="AW208">
        <v>1</v>
      </c>
      <c r="AX208" t="s">
        <v>74</v>
      </c>
      <c r="AY208" t="s">
        <v>74</v>
      </c>
      <c r="AZ208" t="s">
        <v>74</v>
      </c>
      <c r="BA208" t="s">
        <v>74</v>
      </c>
      <c r="BB208" t="s">
        <v>74</v>
      </c>
      <c r="BC208" t="s">
        <v>74</v>
      </c>
      <c r="BD208">
        <v>4021027</v>
      </c>
      <c r="BE208" t="s">
        <v>4466</v>
      </c>
      <c r="BF208" t="str">
        <f>HYPERLINK("http://dx.doi.org/10.1061/(ASCE)SU.1943-5428.0000385","http://dx.doi.org/10.1061/(ASCE)SU.1943-5428.0000385")</f>
        <v>http://dx.doi.org/10.1061/(ASCE)SU.1943-5428.0000385</v>
      </c>
      <c r="BG208" t="s">
        <v>74</v>
      </c>
      <c r="BH208" t="s">
        <v>74</v>
      </c>
      <c r="BI208">
        <v>9</v>
      </c>
      <c r="BJ208" t="s">
        <v>4396</v>
      </c>
      <c r="BK208" t="s">
        <v>103</v>
      </c>
      <c r="BL208" t="s">
        <v>4397</v>
      </c>
      <c r="BM208" t="s">
        <v>4467</v>
      </c>
      <c r="BN208" t="s">
        <v>74</v>
      </c>
      <c r="BO208" t="s">
        <v>74</v>
      </c>
      <c r="BP208" t="s">
        <v>74</v>
      </c>
      <c r="BQ208" t="s">
        <v>74</v>
      </c>
      <c r="BR208" t="s">
        <v>106</v>
      </c>
      <c r="BS208" t="s">
        <v>4468</v>
      </c>
      <c r="BT208" t="str">
        <f>HYPERLINK("https%3A%2F%2Fwww.webofscience.com%2Fwos%2Fwoscc%2Ffull-record%2FWOS:000730390800002","View Full Record in Web of Science")</f>
        <v>View Full Record in Web of Science</v>
      </c>
    </row>
    <row r="209" spans="1:72" x14ac:dyDescent="0.15">
      <c r="A209" t="s">
        <v>72</v>
      </c>
      <c r="B209" t="s">
        <v>4469</v>
      </c>
      <c r="C209" t="s">
        <v>74</v>
      </c>
      <c r="D209" t="s">
        <v>74</v>
      </c>
      <c r="E209" t="s">
        <v>74</v>
      </c>
      <c r="F209" t="s">
        <v>4470</v>
      </c>
      <c r="G209" t="s">
        <v>74</v>
      </c>
      <c r="H209" t="s">
        <v>74</v>
      </c>
      <c r="I209" t="s">
        <v>4471</v>
      </c>
      <c r="J209" t="s">
        <v>4472</v>
      </c>
      <c r="K209" t="s">
        <v>74</v>
      </c>
      <c r="L209" t="s">
        <v>74</v>
      </c>
      <c r="M209" t="s">
        <v>78</v>
      </c>
      <c r="N209" t="s">
        <v>79</v>
      </c>
      <c r="O209" t="s">
        <v>74</v>
      </c>
      <c r="P209" t="s">
        <v>74</v>
      </c>
      <c r="Q209" t="s">
        <v>74</v>
      </c>
      <c r="R209" t="s">
        <v>74</v>
      </c>
      <c r="S209" t="s">
        <v>74</v>
      </c>
      <c r="T209" t="s">
        <v>4473</v>
      </c>
      <c r="U209" t="s">
        <v>4474</v>
      </c>
      <c r="V209" t="s">
        <v>4475</v>
      </c>
      <c r="W209" t="s">
        <v>4476</v>
      </c>
      <c r="X209" t="s">
        <v>4477</v>
      </c>
      <c r="Y209" t="s">
        <v>4478</v>
      </c>
      <c r="Z209" t="s">
        <v>4479</v>
      </c>
      <c r="AA209" t="s">
        <v>4480</v>
      </c>
      <c r="AB209" t="s">
        <v>4481</v>
      </c>
      <c r="AC209" t="s">
        <v>4482</v>
      </c>
      <c r="AD209" t="s">
        <v>4483</v>
      </c>
      <c r="AE209" t="s">
        <v>4484</v>
      </c>
      <c r="AF209" t="s">
        <v>74</v>
      </c>
      <c r="AG209">
        <v>116</v>
      </c>
      <c r="AH209">
        <v>6</v>
      </c>
      <c r="AI209">
        <v>6</v>
      </c>
      <c r="AJ209">
        <v>0</v>
      </c>
      <c r="AK209">
        <v>3</v>
      </c>
      <c r="AL209" t="s">
        <v>4485</v>
      </c>
      <c r="AM209" t="s">
        <v>4486</v>
      </c>
      <c r="AN209" t="s">
        <v>4487</v>
      </c>
      <c r="AO209" t="s">
        <v>4488</v>
      </c>
      <c r="AP209" t="s">
        <v>4489</v>
      </c>
      <c r="AQ209" t="s">
        <v>74</v>
      </c>
      <c r="AR209" t="s">
        <v>4490</v>
      </c>
      <c r="AS209" t="s">
        <v>4491</v>
      </c>
      <c r="AT209" t="s">
        <v>840</v>
      </c>
      <c r="AU209">
        <v>2022</v>
      </c>
      <c r="AV209">
        <v>308</v>
      </c>
      <c r="AW209">
        <v>1</v>
      </c>
      <c r="AX209" t="s">
        <v>74</v>
      </c>
      <c r="AY209" t="s">
        <v>74</v>
      </c>
      <c r="AZ209" t="s">
        <v>74</v>
      </c>
      <c r="BA209" t="s">
        <v>74</v>
      </c>
      <c r="BB209" t="s">
        <v>74</v>
      </c>
      <c r="BC209" t="s">
        <v>74</v>
      </c>
      <c r="BD209">
        <v>1</v>
      </c>
      <c r="BE209" t="s">
        <v>4492</v>
      </c>
      <c r="BF209" t="str">
        <f>HYPERLINK("http://dx.doi.org/10.1007/s00606-021-01793-w","http://dx.doi.org/10.1007/s00606-021-01793-w")</f>
        <v>http://dx.doi.org/10.1007/s00606-021-01793-w</v>
      </c>
      <c r="BG209" t="s">
        <v>74</v>
      </c>
      <c r="BH209" t="s">
        <v>74</v>
      </c>
      <c r="BI209">
        <v>21</v>
      </c>
      <c r="BJ209" t="s">
        <v>4493</v>
      </c>
      <c r="BK209" t="s">
        <v>103</v>
      </c>
      <c r="BL209" t="s">
        <v>4493</v>
      </c>
      <c r="BM209" t="s">
        <v>4494</v>
      </c>
      <c r="BN209" t="s">
        <v>74</v>
      </c>
      <c r="BO209" t="s">
        <v>74</v>
      </c>
      <c r="BP209" t="s">
        <v>74</v>
      </c>
      <c r="BQ209" t="s">
        <v>74</v>
      </c>
      <c r="BR209" t="s">
        <v>106</v>
      </c>
      <c r="BS209" t="s">
        <v>4495</v>
      </c>
      <c r="BT209" t="str">
        <f>HYPERLINK("https%3A%2F%2Fwww.webofscience.com%2Fwos%2Fwoscc%2Ffull-record%2FWOS:000726279200001","View Full Record in Web of Science")</f>
        <v>View Full Record in Web of Science</v>
      </c>
    </row>
    <row r="210" spans="1:72" x14ac:dyDescent="0.15">
      <c r="A210" t="s">
        <v>72</v>
      </c>
      <c r="B210" t="s">
        <v>4496</v>
      </c>
      <c r="C210" t="s">
        <v>74</v>
      </c>
      <c r="D210" t="s">
        <v>74</v>
      </c>
      <c r="E210" t="s">
        <v>74</v>
      </c>
      <c r="F210" t="s">
        <v>4497</v>
      </c>
      <c r="G210" t="s">
        <v>74</v>
      </c>
      <c r="H210" t="s">
        <v>74</v>
      </c>
      <c r="I210" t="s">
        <v>4498</v>
      </c>
      <c r="J210" t="s">
        <v>4499</v>
      </c>
      <c r="K210" t="s">
        <v>74</v>
      </c>
      <c r="L210" t="s">
        <v>74</v>
      </c>
      <c r="M210" t="s">
        <v>78</v>
      </c>
      <c r="N210" t="s">
        <v>1113</v>
      </c>
      <c r="O210" t="s">
        <v>74</v>
      </c>
      <c r="P210" t="s">
        <v>74</v>
      </c>
      <c r="Q210" t="s">
        <v>74</v>
      </c>
      <c r="R210" t="s">
        <v>74</v>
      </c>
      <c r="S210" t="s">
        <v>74</v>
      </c>
      <c r="T210" t="s">
        <v>74</v>
      </c>
      <c r="U210" t="s">
        <v>4500</v>
      </c>
      <c r="V210" t="s">
        <v>4501</v>
      </c>
      <c r="W210" t="s">
        <v>4502</v>
      </c>
      <c r="X210" t="s">
        <v>4503</v>
      </c>
      <c r="Y210" t="s">
        <v>4504</v>
      </c>
      <c r="Z210" t="s">
        <v>4505</v>
      </c>
      <c r="AA210" t="s">
        <v>4506</v>
      </c>
      <c r="AB210" t="s">
        <v>4507</v>
      </c>
      <c r="AC210" t="s">
        <v>74</v>
      </c>
      <c r="AD210" t="s">
        <v>74</v>
      </c>
      <c r="AE210" t="s">
        <v>74</v>
      </c>
      <c r="AF210" t="s">
        <v>74</v>
      </c>
      <c r="AG210">
        <v>108</v>
      </c>
      <c r="AH210">
        <v>9</v>
      </c>
      <c r="AI210">
        <v>9</v>
      </c>
      <c r="AJ210">
        <v>9</v>
      </c>
      <c r="AK210">
        <v>44</v>
      </c>
      <c r="AL210" t="s">
        <v>4508</v>
      </c>
      <c r="AM210" t="s">
        <v>436</v>
      </c>
      <c r="AN210" t="s">
        <v>4509</v>
      </c>
      <c r="AO210" t="s">
        <v>4510</v>
      </c>
      <c r="AP210" t="s">
        <v>4511</v>
      </c>
      <c r="AQ210" t="s">
        <v>74</v>
      </c>
      <c r="AR210" t="s">
        <v>4512</v>
      </c>
      <c r="AS210" t="s">
        <v>4513</v>
      </c>
      <c r="AT210" t="s">
        <v>4514</v>
      </c>
      <c r="AU210">
        <v>2022</v>
      </c>
      <c r="AV210">
        <v>2022</v>
      </c>
      <c r="AW210" t="s">
        <v>74</v>
      </c>
      <c r="AX210" t="s">
        <v>74</v>
      </c>
      <c r="AY210" t="s">
        <v>74</v>
      </c>
      <c r="AZ210" t="s">
        <v>74</v>
      </c>
      <c r="BA210" t="s">
        <v>74</v>
      </c>
      <c r="BB210" t="s">
        <v>74</v>
      </c>
      <c r="BC210" t="s">
        <v>74</v>
      </c>
      <c r="BD210">
        <v>3170854</v>
      </c>
      <c r="BE210" t="s">
        <v>4515</v>
      </c>
      <c r="BF210" t="str">
        <f>HYPERLINK("http://dx.doi.org/10.1155/2022/3170854","http://dx.doi.org/10.1155/2022/3170854")</f>
        <v>http://dx.doi.org/10.1155/2022/3170854</v>
      </c>
      <c r="BG210" t="s">
        <v>74</v>
      </c>
      <c r="BH210" t="s">
        <v>74</v>
      </c>
      <c r="BI210">
        <v>14</v>
      </c>
      <c r="BJ210" t="s">
        <v>485</v>
      </c>
      <c r="BK210" t="s">
        <v>103</v>
      </c>
      <c r="BL210" t="s">
        <v>485</v>
      </c>
      <c r="BM210" t="s">
        <v>4516</v>
      </c>
      <c r="BN210" t="s">
        <v>74</v>
      </c>
      <c r="BO210" t="s">
        <v>445</v>
      </c>
      <c r="BP210" t="s">
        <v>74</v>
      </c>
      <c r="BQ210" t="s">
        <v>74</v>
      </c>
      <c r="BR210" t="s">
        <v>106</v>
      </c>
      <c r="BS210" t="s">
        <v>4517</v>
      </c>
      <c r="BT210" t="str">
        <f>HYPERLINK("https%3A%2F%2Fwww.webofscience.com%2Fwos%2Fwoscc%2Ffull-record%2FWOS:000774928100004","View Full Record in Web of Science")</f>
        <v>View Full Record in Web of Science</v>
      </c>
    </row>
    <row r="211" spans="1:72" x14ac:dyDescent="0.15">
      <c r="A211" t="s">
        <v>72</v>
      </c>
      <c r="B211" t="s">
        <v>4518</v>
      </c>
      <c r="C211" t="s">
        <v>74</v>
      </c>
      <c r="D211" t="s">
        <v>74</v>
      </c>
      <c r="E211" t="s">
        <v>74</v>
      </c>
      <c r="F211" t="s">
        <v>4519</v>
      </c>
      <c r="G211" t="s">
        <v>74</v>
      </c>
      <c r="H211" t="s">
        <v>74</v>
      </c>
      <c r="I211" t="s">
        <v>4520</v>
      </c>
      <c r="J211" t="s">
        <v>186</v>
      </c>
      <c r="K211" t="s">
        <v>74</v>
      </c>
      <c r="L211" t="s">
        <v>74</v>
      </c>
      <c r="M211" t="s">
        <v>78</v>
      </c>
      <c r="N211" t="s">
        <v>79</v>
      </c>
      <c r="O211" t="s">
        <v>74</v>
      </c>
      <c r="P211" t="s">
        <v>74</v>
      </c>
      <c r="Q211" t="s">
        <v>74</v>
      </c>
      <c r="R211" t="s">
        <v>74</v>
      </c>
      <c r="S211" t="s">
        <v>74</v>
      </c>
      <c r="T211" t="s">
        <v>4521</v>
      </c>
      <c r="U211" t="s">
        <v>4522</v>
      </c>
      <c r="V211" t="s">
        <v>4523</v>
      </c>
      <c r="W211" t="s">
        <v>4524</v>
      </c>
      <c r="X211" t="s">
        <v>4525</v>
      </c>
      <c r="Y211" t="s">
        <v>4526</v>
      </c>
      <c r="Z211" t="s">
        <v>4527</v>
      </c>
      <c r="AA211" t="s">
        <v>4528</v>
      </c>
      <c r="AB211" t="s">
        <v>4529</v>
      </c>
      <c r="AC211" t="s">
        <v>4530</v>
      </c>
      <c r="AD211" t="s">
        <v>4531</v>
      </c>
      <c r="AE211" t="s">
        <v>4532</v>
      </c>
      <c r="AF211" t="s">
        <v>74</v>
      </c>
      <c r="AG211">
        <v>49</v>
      </c>
      <c r="AH211">
        <v>10</v>
      </c>
      <c r="AI211">
        <v>10</v>
      </c>
      <c r="AJ211">
        <v>0</v>
      </c>
      <c r="AK211">
        <v>5</v>
      </c>
      <c r="AL211" t="s">
        <v>198</v>
      </c>
      <c r="AM211" t="s">
        <v>199</v>
      </c>
      <c r="AN211" t="s">
        <v>200</v>
      </c>
      <c r="AO211" t="s">
        <v>201</v>
      </c>
      <c r="AP211" t="s">
        <v>202</v>
      </c>
      <c r="AQ211" t="s">
        <v>74</v>
      </c>
      <c r="AR211" t="s">
        <v>203</v>
      </c>
      <c r="AS211" t="s">
        <v>204</v>
      </c>
      <c r="AT211" t="s">
        <v>4533</v>
      </c>
      <c r="AU211">
        <v>2022</v>
      </c>
      <c r="AV211">
        <v>68</v>
      </c>
      <c r="AW211">
        <v>270</v>
      </c>
      <c r="AX211" t="s">
        <v>74</v>
      </c>
      <c r="AY211" t="s">
        <v>74</v>
      </c>
      <c r="AZ211" t="s">
        <v>74</v>
      </c>
      <c r="BA211" t="s">
        <v>74</v>
      </c>
      <c r="BB211">
        <v>785</v>
      </c>
      <c r="BC211">
        <v>798</v>
      </c>
      <c r="BD211" t="s">
        <v>4534</v>
      </c>
      <c r="BE211" t="s">
        <v>4535</v>
      </c>
      <c r="BF211" t="str">
        <f>HYPERLINK("http://dx.doi.org/10.1017/jog.2021.135","http://dx.doi.org/10.1017/jog.2021.135")</f>
        <v>http://dx.doi.org/10.1017/jog.2021.135</v>
      </c>
      <c r="BG211" t="s">
        <v>74</v>
      </c>
      <c r="BH211" t="s">
        <v>4536</v>
      </c>
      <c r="BI211">
        <v>14</v>
      </c>
      <c r="BJ211" t="s">
        <v>208</v>
      </c>
      <c r="BK211" t="s">
        <v>103</v>
      </c>
      <c r="BL211" t="s">
        <v>209</v>
      </c>
      <c r="BM211" t="s">
        <v>4537</v>
      </c>
      <c r="BN211" t="s">
        <v>74</v>
      </c>
      <c r="BO211" t="s">
        <v>445</v>
      </c>
      <c r="BP211" t="s">
        <v>74</v>
      </c>
      <c r="BQ211" t="s">
        <v>74</v>
      </c>
      <c r="BR211" t="s">
        <v>106</v>
      </c>
      <c r="BS211" t="s">
        <v>4538</v>
      </c>
      <c r="BT211" t="str">
        <f>HYPERLINK("https%3A%2F%2Fwww.webofscience.com%2Fwos%2Fwoscc%2Ffull-record%2FWOS:000774664400001","View Full Record in Web of Science")</f>
        <v>View Full Record in Web of Science</v>
      </c>
    </row>
    <row r="212" spans="1:72" x14ac:dyDescent="0.15">
      <c r="A212" t="s">
        <v>72</v>
      </c>
      <c r="B212" t="s">
        <v>4539</v>
      </c>
      <c r="C212" t="s">
        <v>74</v>
      </c>
      <c r="D212" t="s">
        <v>74</v>
      </c>
      <c r="E212" t="s">
        <v>74</v>
      </c>
      <c r="F212" t="s">
        <v>4540</v>
      </c>
      <c r="G212" t="s">
        <v>74</v>
      </c>
      <c r="H212" t="s">
        <v>74</v>
      </c>
      <c r="I212" t="s">
        <v>4541</v>
      </c>
      <c r="J212" t="s">
        <v>351</v>
      </c>
      <c r="K212" t="s">
        <v>74</v>
      </c>
      <c r="L212" t="s">
        <v>74</v>
      </c>
      <c r="M212" t="s">
        <v>78</v>
      </c>
      <c r="N212" t="s">
        <v>79</v>
      </c>
      <c r="O212" t="s">
        <v>74</v>
      </c>
      <c r="P212" t="s">
        <v>74</v>
      </c>
      <c r="Q212" t="s">
        <v>74</v>
      </c>
      <c r="R212" t="s">
        <v>74</v>
      </c>
      <c r="S212" t="s">
        <v>74</v>
      </c>
      <c r="T212" t="s">
        <v>4542</v>
      </c>
      <c r="U212" t="s">
        <v>4543</v>
      </c>
      <c r="V212" t="s">
        <v>4544</v>
      </c>
      <c r="W212" t="s">
        <v>4545</v>
      </c>
      <c r="X212" t="s">
        <v>4546</v>
      </c>
      <c r="Y212" t="s">
        <v>4547</v>
      </c>
      <c r="Z212" t="s">
        <v>4548</v>
      </c>
      <c r="AA212" t="s">
        <v>74</v>
      </c>
      <c r="AB212" t="s">
        <v>4549</v>
      </c>
      <c r="AC212" t="s">
        <v>74</v>
      </c>
      <c r="AD212" t="s">
        <v>74</v>
      </c>
      <c r="AE212" t="s">
        <v>74</v>
      </c>
      <c r="AF212" t="s">
        <v>74</v>
      </c>
      <c r="AG212">
        <v>101</v>
      </c>
      <c r="AH212">
        <v>6</v>
      </c>
      <c r="AI212">
        <v>7</v>
      </c>
      <c r="AJ212">
        <v>2</v>
      </c>
      <c r="AK212">
        <v>7</v>
      </c>
      <c r="AL212" t="s">
        <v>363</v>
      </c>
      <c r="AM212" t="s">
        <v>364</v>
      </c>
      <c r="AN212" t="s">
        <v>365</v>
      </c>
      <c r="AO212" t="s">
        <v>74</v>
      </c>
      <c r="AP212" t="s">
        <v>366</v>
      </c>
      <c r="AQ212" t="s">
        <v>74</v>
      </c>
      <c r="AR212" t="s">
        <v>367</v>
      </c>
      <c r="AS212" t="s">
        <v>368</v>
      </c>
      <c r="AT212" t="s">
        <v>4514</v>
      </c>
      <c r="AU212">
        <v>2022</v>
      </c>
      <c r="AV212">
        <v>9</v>
      </c>
      <c r="AW212" t="s">
        <v>74</v>
      </c>
      <c r="AX212" t="s">
        <v>74</v>
      </c>
      <c r="AY212" t="s">
        <v>74</v>
      </c>
      <c r="AZ212" t="s">
        <v>74</v>
      </c>
      <c r="BA212" t="s">
        <v>74</v>
      </c>
      <c r="BB212" t="s">
        <v>74</v>
      </c>
      <c r="BC212" t="s">
        <v>74</v>
      </c>
      <c r="BD212">
        <v>747788</v>
      </c>
      <c r="BE212" t="s">
        <v>4550</v>
      </c>
      <c r="BF212" t="str">
        <f>HYPERLINK("http://dx.doi.org/10.3389/fmars.2022.747788","http://dx.doi.org/10.3389/fmars.2022.747788")</f>
        <v>http://dx.doi.org/10.3389/fmars.2022.747788</v>
      </c>
      <c r="BG212" t="s">
        <v>74</v>
      </c>
      <c r="BH212" t="s">
        <v>74</v>
      </c>
      <c r="BI212">
        <v>16</v>
      </c>
      <c r="BJ212" t="s">
        <v>102</v>
      </c>
      <c r="BK212" t="s">
        <v>103</v>
      </c>
      <c r="BL212" t="s">
        <v>104</v>
      </c>
      <c r="BM212" t="s">
        <v>4551</v>
      </c>
      <c r="BN212" t="s">
        <v>74</v>
      </c>
      <c r="BO212" t="s">
        <v>445</v>
      </c>
      <c r="BP212" t="s">
        <v>74</v>
      </c>
      <c r="BQ212" t="s">
        <v>74</v>
      </c>
      <c r="BR212" t="s">
        <v>106</v>
      </c>
      <c r="BS212" t="s">
        <v>4552</v>
      </c>
      <c r="BT212" t="str">
        <f>HYPERLINK("https%3A%2F%2Fwww.webofscience.com%2Fwos%2Fwoscc%2Ffull-record%2FWOS:000759254600001","View Full Record in Web of Science")</f>
        <v>View Full Record in Web of Science</v>
      </c>
    </row>
    <row r="213" spans="1:72" x14ac:dyDescent="0.15">
      <c r="A213" t="s">
        <v>72</v>
      </c>
      <c r="B213" t="s">
        <v>4553</v>
      </c>
      <c r="C213" t="s">
        <v>74</v>
      </c>
      <c r="D213" t="s">
        <v>74</v>
      </c>
      <c r="E213" t="s">
        <v>74</v>
      </c>
      <c r="F213" t="s">
        <v>4554</v>
      </c>
      <c r="G213" t="s">
        <v>74</v>
      </c>
      <c r="H213" t="s">
        <v>74</v>
      </c>
      <c r="I213" t="s">
        <v>4555</v>
      </c>
      <c r="J213" t="s">
        <v>351</v>
      </c>
      <c r="K213" t="s">
        <v>74</v>
      </c>
      <c r="L213" t="s">
        <v>74</v>
      </c>
      <c r="M213" t="s">
        <v>78</v>
      </c>
      <c r="N213" t="s">
        <v>79</v>
      </c>
      <c r="O213" t="s">
        <v>74</v>
      </c>
      <c r="P213" t="s">
        <v>74</v>
      </c>
      <c r="Q213" t="s">
        <v>74</v>
      </c>
      <c r="R213" t="s">
        <v>74</v>
      </c>
      <c r="S213" t="s">
        <v>74</v>
      </c>
      <c r="T213" t="s">
        <v>4556</v>
      </c>
      <c r="U213" t="s">
        <v>4557</v>
      </c>
      <c r="V213" t="s">
        <v>4558</v>
      </c>
      <c r="W213" t="s">
        <v>4559</v>
      </c>
      <c r="X213" t="s">
        <v>4560</v>
      </c>
      <c r="Y213" t="s">
        <v>4561</v>
      </c>
      <c r="Z213" t="s">
        <v>4562</v>
      </c>
      <c r="AA213" t="s">
        <v>4563</v>
      </c>
      <c r="AB213" t="s">
        <v>4564</v>
      </c>
      <c r="AC213" t="s">
        <v>4565</v>
      </c>
      <c r="AD213" t="s">
        <v>4566</v>
      </c>
      <c r="AE213" t="s">
        <v>4567</v>
      </c>
      <c r="AF213" t="s">
        <v>74</v>
      </c>
      <c r="AG213">
        <v>45</v>
      </c>
      <c r="AH213">
        <v>6</v>
      </c>
      <c r="AI213">
        <v>7</v>
      </c>
      <c r="AJ213">
        <v>3</v>
      </c>
      <c r="AK213">
        <v>23</v>
      </c>
      <c r="AL213" t="s">
        <v>363</v>
      </c>
      <c r="AM213" t="s">
        <v>364</v>
      </c>
      <c r="AN213" t="s">
        <v>365</v>
      </c>
      <c r="AO213" t="s">
        <v>74</v>
      </c>
      <c r="AP213" t="s">
        <v>366</v>
      </c>
      <c r="AQ213" t="s">
        <v>74</v>
      </c>
      <c r="AR213" t="s">
        <v>367</v>
      </c>
      <c r="AS213" t="s">
        <v>368</v>
      </c>
      <c r="AT213" t="s">
        <v>4514</v>
      </c>
      <c r="AU213">
        <v>2022</v>
      </c>
      <c r="AV213">
        <v>8</v>
      </c>
      <c r="AW213" t="s">
        <v>74</v>
      </c>
      <c r="AX213" t="s">
        <v>74</v>
      </c>
      <c r="AY213" t="s">
        <v>74</v>
      </c>
      <c r="AZ213" t="s">
        <v>74</v>
      </c>
      <c r="BA213" t="s">
        <v>74</v>
      </c>
      <c r="BB213" t="s">
        <v>74</v>
      </c>
      <c r="BC213" t="s">
        <v>74</v>
      </c>
      <c r="BD213">
        <v>829615</v>
      </c>
      <c r="BE213" t="s">
        <v>4568</v>
      </c>
      <c r="BF213" t="str">
        <f>HYPERLINK("http://dx.doi.org/10.3389/fmars.2021.829615","http://dx.doi.org/10.3389/fmars.2021.829615")</f>
        <v>http://dx.doi.org/10.3389/fmars.2021.829615</v>
      </c>
      <c r="BG213" t="s">
        <v>74</v>
      </c>
      <c r="BH213" t="s">
        <v>74</v>
      </c>
      <c r="BI213">
        <v>15</v>
      </c>
      <c r="BJ213" t="s">
        <v>102</v>
      </c>
      <c r="BK213" t="s">
        <v>103</v>
      </c>
      <c r="BL213" t="s">
        <v>104</v>
      </c>
      <c r="BM213" t="s">
        <v>4569</v>
      </c>
      <c r="BN213" t="s">
        <v>74</v>
      </c>
      <c r="BO213" t="s">
        <v>445</v>
      </c>
      <c r="BP213" t="s">
        <v>74</v>
      </c>
      <c r="BQ213" t="s">
        <v>74</v>
      </c>
      <c r="BR213" t="s">
        <v>106</v>
      </c>
      <c r="BS213" t="s">
        <v>4570</v>
      </c>
      <c r="BT213" t="str">
        <f>HYPERLINK("https%3A%2F%2Fwww.webofscience.com%2Fwos%2Fwoscc%2Ffull-record%2FWOS:000756050400001","View Full Record in Web of Science")</f>
        <v>View Full Record in Web of Science</v>
      </c>
    </row>
    <row r="214" spans="1:72" x14ac:dyDescent="0.15">
      <c r="A214" t="s">
        <v>72</v>
      </c>
      <c r="B214" t="s">
        <v>4571</v>
      </c>
      <c r="C214" t="s">
        <v>74</v>
      </c>
      <c r="D214" t="s">
        <v>74</v>
      </c>
      <c r="E214" t="s">
        <v>74</v>
      </c>
      <c r="F214" t="s">
        <v>4572</v>
      </c>
      <c r="G214" t="s">
        <v>74</v>
      </c>
      <c r="H214" t="s">
        <v>74</v>
      </c>
      <c r="I214" t="s">
        <v>4573</v>
      </c>
      <c r="J214" t="s">
        <v>4574</v>
      </c>
      <c r="K214" t="s">
        <v>74</v>
      </c>
      <c r="L214" t="s">
        <v>74</v>
      </c>
      <c r="M214" t="s">
        <v>78</v>
      </c>
      <c r="N214" t="s">
        <v>79</v>
      </c>
      <c r="O214" t="s">
        <v>74</v>
      </c>
      <c r="P214" t="s">
        <v>74</v>
      </c>
      <c r="Q214" t="s">
        <v>74</v>
      </c>
      <c r="R214" t="s">
        <v>74</v>
      </c>
      <c r="S214" t="s">
        <v>74</v>
      </c>
      <c r="T214" t="s">
        <v>4575</v>
      </c>
      <c r="U214" t="s">
        <v>4576</v>
      </c>
      <c r="V214" t="s">
        <v>4577</v>
      </c>
      <c r="W214" t="s">
        <v>4578</v>
      </c>
      <c r="X214" t="s">
        <v>4579</v>
      </c>
      <c r="Y214" t="s">
        <v>4580</v>
      </c>
      <c r="Z214" t="s">
        <v>4581</v>
      </c>
      <c r="AA214" t="s">
        <v>4582</v>
      </c>
      <c r="AB214" t="s">
        <v>4583</v>
      </c>
      <c r="AC214" t="s">
        <v>4584</v>
      </c>
      <c r="AD214" t="s">
        <v>4585</v>
      </c>
      <c r="AE214" t="s">
        <v>4586</v>
      </c>
      <c r="AF214" t="s">
        <v>74</v>
      </c>
      <c r="AG214">
        <v>71</v>
      </c>
      <c r="AH214">
        <v>0</v>
      </c>
      <c r="AI214">
        <v>0</v>
      </c>
      <c r="AJ214">
        <v>0</v>
      </c>
      <c r="AK214">
        <v>15</v>
      </c>
      <c r="AL214" t="s">
        <v>4587</v>
      </c>
      <c r="AM214" t="s">
        <v>4588</v>
      </c>
      <c r="AN214" t="s">
        <v>4589</v>
      </c>
      <c r="AO214" t="s">
        <v>4590</v>
      </c>
      <c r="AP214" t="s">
        <v>4591</v>
      </c>
      <c r="AQ214" t="s">
        <v>74</v>
      </c>
      <c r="AR214" t="s">
        <v>4592</v>
      </c>
      <c r="AS214" t="s">
        <v>4593</v>
      </c>
      <c r="AT214" t="s">
        <v>4594</v>
      </c>
      <c r="AU214">
        <v>2022</v>
      </c>
      <c r="AV214">
        <v>55</v>
      </c>
      <c r="AW214">
        <v>5</v>
      </c>
      <c r="AX214" t="s">
        <v>74</v>
      </c>
      <c r="AY214" t="s">
        <v>74</v>
      </c>
      <c r="AZ214" t="s">
        <v>74</v>
      </c>
      <c r="BA214" t="s">
        <v>74</v>
      </c>
      <c r="BB214">
        <v>615</v>
      </c>
      <c r="BC214">
        <v>635</v>
      </c>
      <c r="BD214" t="s">
        <v>74</v>
      </c>
      <c r="BE214" t="s">
        <v>4595</v>
      </c>
      <c r="BF214" t="str">
        <f>HYPERLINK("http://dx.doi.org/10.1080/03235408.2022.2035965","http://dx.doi.org/10.1080/03235408.2022.2035965")</f>
        <v>http://dx.doi.org/10.1080/03235408.2022.2035965</v>
      </c>
      <c r="BG214" t="s">
        <v>74</v>
      </c>
      <c r="BH214" t="s">
        <v>4536</v>
      </c>
      <c r="BI214">
        <v>21</v>
      </c>
      <c r="BJ214" t="s">
        <v>1473</v>
      </c>
      <c r="BK214" t="s">
        <v>724</v>
      </c>
      <c r="BL214" t="s">
        <v>1473</v>
      </c>
      <c r="BM214" t="s">
        <v>4596</v>
      </c>
      <c r="BN214" t="s">
        <v>74</v>
      </c>
      <c r="BO214" t="s">
        <v>74</v>
      </c>
      <c r="BP214" t="s">
        <v>74</v>
      </c>
      <c r="BQ214" t="s">
        <v>74</v>
      </c>
      <c r="BR214" t="s">
        <v>106</v>
      </c>
      <c r="BS214" t="s">
        <v>4597</v>
      </c>
      <c r="BT214" t="str">
        <f>HYPERLINK("https%3A%2F%2Fwww.webofscience.com%2Fwos%2Fwoscc%2Ffull-record%2FWOS:000752344400001","View Full Record in Web of Science")</f>
        <v>View Full Record in Web of Science</v>
      </c>
    </row>
    <row r="215" spans="1:72" x14ac:dyDescent="0.15">
      <c r="A215" t="s">
        <v>72</v>
      </c>
      <c r="B215" t="s">
        <v>4598</v>
      </c>
      <c r="C215" t="s">
        <v>74</v>
      </c>
      <c r="D215" t="s">
        <v>74</v>
      </c>
      <c r="E215" t="s">
        <v>74</v>
      </c>
      <c r="F215" t="s">
        <v>4599</v>
      </c>
      <c r="G215" t="s">
        <v>74</v>
      </c>
      <c r="H215" t="s">
        <v>74</v>
      </c>
      <c r="I215" t="s">
        <v>4600</v>
      </c>
      <c r="J215" t="s">
        <v>4601</v>
      </c>
      <c r="K215" t="s">
        <v>74</v>
      </c>
      <c r="L215" t="s">
        <v>74</v>
      </c>
      <c r="M215" t="s">
        <v>78</v>
      </c>
      <c r="N215" t="s">
        <v>79</v>
      </c>
      <c r="O215" t="s">
        <v>74</v>
      </c>
      <c r="P215" t="s">
        <v>74</v>
      </c>
      <c r="Q215" t="s">
        <v>74</v>
      </c>
      <c r="R215" t="s">
        <v>74</v>
      </c>
      <c r="S215" t="s">
        <v>74</v>
      </c>
      <c r="T215" t="s">
        <v>4602</v>
      </c>
      <c r="U215" t="s">
        <v>4603</v>
      </c>
      <c r="V215" t="s">
        <v>4604</v>
      </c>
      <c r="W215" t="s">
        <v>4605</v>
      </c>
      <c r="X215" t="s">
        <v>4606</v>
      </c>
      <c r="Y215" t="s">
        <v>4607</v>
      </c>
      <c r="Z215" t="s">
        <v>4608</v>
      </c>
      <c r="AA215" t="s">
        <v>4609</v>
      </c>
      <c r="AB215" t="s">
        <v>4610</v>
      </c>
      <c r="AC215" t="s">
        <v>4611</v>
      </c>
      <c r="AD215" t="s">
        <v>4612</v>
      </c>
      <c r="AE215" t="s">
        <v>4613</v>
      </c>
      <c r="AF215" t="s">
        <v>74</v>
      </c>
      <c r="AG215">
        <v>58</v>
      </c>
      <c r="AH215">
        <v>0</v>
      </c>
      <c r="AI215">
        <v>0</v>
      </c>
      <c r="AJ215">
        <v>2</v>
      </c>
      <c r="AK215">
        <v>11</v>
      </c>
      <c r="AL215" t="s">
        <v>1074</v>
      </c>
      <c r="AM215" t="s">
        <v>506</v>
      </c>
      <c r="AN215" t="s">
        <v>1075</v>
      </c>
      <c r="AO215" t="s">
        <v>4614</v>
      </c>
      <c r="AP215" t="s">
        <v>4615</v>
      </c>
      <c r="AQ215" t="s">
        <v>74</v>
      </c>
      <c r="AR215" t="s">
        <v>4616</v>
      </c>
      <c r="AS215" t="s">
        <v>4617</v>
      </c>
      <c r="AT215" t="s">
        <v>4533</v>
      </c>
      <c r="AU215">
        <v>2022</v>
      </c>
      <c r="AV215">
        <v>59</v>
      </c>
      <c r="AW215" t="s">
        <v>4618</v>
      </c>
      <c r="AX215" t="s">
        <v>74</v>
      </c>
      <c r="AY215" t="s">
        <v>74</v>
      </c>
      <c r="AZ215" t="s">
        <v>74</v>
      </c>
      <c r="BA215" t="s">
        <v>74</v>
      </c>
      <c r="BB215">
        <v>903</v>
      </c>
      <c r="BC215">
        <v>914</v>
      </c>
      <c r="BD215" t="s">
        <v>74</v>
      </c>
      <c r="BE215" t="s">
        <v>4619</v>
      </c>
      <c r="BF215" t="str">
        <f>HYPERLINK("http://dx.doi.org/10.1007/s00382-022-06160-0","http://dx.doi.org/10.1007/s00382-022-06160-0")</f>
        <v>http://dx.doi.org/10.1007/s00382-022-06160-0</v>
      </c>
      <c r="BG215" t="s">
        <v>74</v>
      </c>
      <c r="BH215" t="s">
        <v>4536</v>
      </c>
      <c r="BI215">
        <v>12</v>
      </c>
      <c r="BJ215" t="s">
        <v>514</v>
      </c>
      <c r="BK215" t="s">
        <v>103</v>
      </c>
      <c r="BL215" t="s">
        <v>514</v>
      </c>
      <c r="BM215" t="s">
        <v>4620</v>
      </c>
      <c r="BN215" t="s">
        <v>74</v>
      </c>
      <c r="BO215" t="s">
        <v>74</v>
      </c>
      <c r="BP215" t="s">
        <v>74</v>
      </c>
      <c r="BQ215" t="s">
        <v>74</v>
      </c>
      <c r="BR215" t="s">
        <v>106</v>
      </c>
      <c r="BS215" t="s">
        <v>4621</v>
      </c>
      <c r="BT215" t="str">
        <f>HYPERLINK("https%3A%2F%2Fwww.webofscience.com%2Fwos%2Fwoscc%2Ffull-record%2FWOS:000750315300001","View Full Record in Web of Science")</f>
        <v>View Full Record in Web of Science</v>
      </c>
    </row>
    <row r="216" spans="1:72" x14ac:dyDescent="0.15">
      <c r="A216" t="s">
        <v>72</v>
      </c>
      <c r="B216" t="s">
        <v>4622</v>
      </c>
      <c r="C216" t="s">
        <v>74</v>
      </c>
      <c r="D216" t="s">
        <v>74</v>
      </c>
      <c r="E216" t="s">
        <v>74</v>
      </c>
      <c r="F216" t="s">
        <v>4623</v>
      </c>
      <c r="G216" t="s">
        <v>74</v>
      </c>
      <c r="H216" t="s">
        <v>74</v>
      </c>
      <c r="I216" t="s">
        <v>4624</v>
      </c>
      <c r="J216" t="s">
        <v>4625</v>
      </c>
      <c r="K216" t="s">
        <v>74</v>
      </c>
      <c r="L216" t="s">
        <v>74</v>
      </c>
      <c r="M216" t="s">
        <v>78</v>
      </c>
      <c r="N216" t="s">
        <v>79</v>
      </c>
      <c r="O216" t="s">
        <v>74</v>
      </c>
      <c r="P216" t="s">
        <v>74</v>
      </c>
      <c r="Q216" t="s">
        <v>74</v>
      </c>
      <c r="R216" t="s">
        <v>74</v>
      </c>
      <c r="S216" t="s">
        <v>74</v>
      </c>
      <c r="T216" t="s">
        <v>4626</v>
      </c>
      <c r="U216" t="s">
        <v>4627</v>
      </c>
      <c r="V216" t="s">
        <v>4628</v>
      </c>
      <c r="W216" t="s">
        <v>4629</v>
      </c>
      <c r="X216" t="s">
        <v>4630</v>
      </c>
      <c r="Y216" t="s">
        <v>4631</v>
      </c>
      <c r="Z216" t="s">
        <v>4632</v>
      </c>
      <c r="AA216" t="s">
        <v>4633</v>
      </c>
      <c r="AB216" t="s">
        <v>4634</v>
      </c>
      <c r="AC216" t="s">
        <v>4635</v>
      </c>
      <c r="AD216" t="s">
        <v>4636</v>
      </c>
      <c r="AE216" t="s">
        <v>4637</v>
      </c>
      <c r="AF216" t="s">
        <v>74</v>
      </c>
      <c r="AG216">
        <v>52</v>
      </c>
      <c r="AH216">
        <v>1</v>
      </c>
      <c r="AI216">
        <v>1</v>
      </c>
      <c r="AJ216">
        <v>1</v>
      </c>
      <c r="AK216">
        <v>7</v>
      </c>
      <c r="AL216" t="s">
        <v>4638</v>
      </c>
      <c r="AM216" t="s">
        <v>4639</v>
      </c>
      <c r="AN216" t="s">
        <v>4640</v>
      </c>
      <c r="AO216" t="s">
        <v>4641</v>
      </c>
      <c r="AP216" t="s">
        <v>4642</v>
      </c>
      <c r="AQ216" t="s">
        <v>74</v>
      </c>
      <c r="AR216" t="s">
        <v>4643</v>
      </c>
      <c r="AS216" t="s">
        <v>4644</v>
      </c>
      <c r="AT216" t="s">
        <v>4645</v>
      </c>
      <c r="AU216">
        <v>2022</v>
      </c>
      <c r="AV216">
        <v>88</v>
      </c>
      <c r="AW216">
        <v>1</v>
      </c>
      <c r="AX216" t="s">
        <v>74</v>
      </c>
      <c r="AY216" t="s">
        <v>74</v>
      </c>
      <c r="AZ216" t="s">
        <v>74</v>
      </c>
      <c r="BA216" t="s">
        <v>74</v>
      </c>
      <c r="BB216">
        <v>109</v>
      </c>
      <c r="BC216">
        <v>118</v>
      </c>
      <c r="BD216" t="s">
        <v>74</v>
      </c>
      <c r="BE216" t="s">
        <v>4646</v>
      </c>
      <c r="BF216" t="str">
        <f>HYPERLINK("http://dx.doi.org/10.1007/s12562-021-01576-9","http://dx.doi.org/10.1007/s12562-021-01576-9")</f>
        <v>http://dx.doi.org/10.1007/s12562-021-01576-9</v>
      </c>
      <c r="BG216" t="s">
        <v>74</v>
      </c>
      <c r="BH216" t="s">
        <v>4536</v>
      </c>
      <c r="BI216">
        <v>10</v>
      </c>
      <c r="BJ216" t="s">
        <v>485</v>
      </c>
      <c r="BK216" t="s">
        <v>103</v>
      </c>
      <c r="BL216" t="s">
        <v>485</v>
      </c>
      <c r="BM216" t="s">
        <v>4647</v>
      </c>
      <c r="BN216" t="s">
        <v>74</v>
      </c>
      <c r="BO216" t="s">
        <v>74</v>
      </c>
      <c r="BP216" t="s">
        <v>74</v>
      </c>
      <c r="BQ216" t="s">
        <v>74</v>
      </c>
      <c r="BR216" t="s">
        <v>106</v>
      </c>
      <c r="BS216" t="s">
        <v>4648</v>
      </c>
      <c r="BT216" t="str">
        <f>HYPERLINK("https%3A%2F%2Fwww.webofscience.com%2Fwos%2Fwoscc%2Ffull-record%2FWOS:000749155600002","View Full Record in Web of Science")</f>
        <v>View Full Record in Web of Science</v>
      </c>
    </row>
    <row r="217" spans="1:72" x14ac:dyDescent="0.15">
      <c r="A217" t="s">
        <v>72</v>
      </c>
      <c r="B217" t="s">
        <v>4649</v>
      </c>
      <c r="C217" t="s">
        <v>74</v>
      </c>
      <c r="D217" t="s">
        <v>74</v>
      </c>
      <c r="E217" t="s">
        <v>74</v>
      </c>
      <c r="F217" t="s">
        <v>4650</v>
      </c>
      <c r="G217" t="s">
        <v>74</v>
      </c>
      <c r="H217" t="s">
        <v>74</v>
      </c>
      <c r="I217" t="s">
        <v>4651</v>
      </c>
      <c r="J217" t="s">
        <v>1063</v>
      </c>
      <c r="K217" t="s">
        <v>74</v>
      </c>
      <c r="L217" t="s">
        <v>74</v>
      </c>
      <c r="M217" t="s">
        <v>78</v>
      </c>
      <c r="N217" t="s">
        <v>79</v>
      </c>
      <c r="O217" t="s">
        <v>74</v>
      </c>
      <c r="P217" t="s">
        <v>74</v>
      </c>
      <c r="Q217" t="s">
        <v>74</v>
      </c>
      <c r="R217" t="s">
        <v>74</v>
      </c>
      <c r="S217" t="s">
        <v>74</v>
      </c>
      <c r="T217" t="s">
        <v>4652</v>
      </c>
      <c r="U217" t="s">
        <v>4653</v>
      </c>
      <c r="V217" t="s">
        <v>4654</v>
      </c>
      <c r="W217" t="s">
        <v>4655</v>
      </c>
      <c r="X217" t="s">
        <v>4656</v>
      </c>
      <c r="Y217" t="s">
        <v>4657</v>
      </c>
      <c r="Z217" t="s">
        <v>4658</v>
      </c>
      <c r="AA217" t="s">
        <v>74</v>
      </c>
      <c r="AB217" t="s">
        <v>74</v>
      </c>
      <c r="AC217" t="s">
        <v>4659</v>
      </c>
      <c r="AD217" t="s">
        <v>4660</v>
      </c>
      <c r="AE217" t="s">
        <v>4661</v>
      </c>
      <c r="AF217" t="s">
        <v>74</v>
      </c>
      <c r="AG217">
        <v>56</v>
      </c>
      <c r="AH217">
        <v>4</v>
      </c>
      <c r="AI217">
        <v>4</v>
      </c>
      <c r="AJ217">
        <v>0</v>
      </c>
      <c r="AK217">
        <v>2</v>
      </c>
      <c r="AL217" t="s">
        <v>1074</v>
      </c>
      <c r="AM217" t="s">
        <v>506</v>
      </c>
      <c r="AN217" t="s">
        <v>1075</v>
      </c>
      <c r="AO217" t="s">
        <v>1076</v>
      </c>
      <c r="AP217" t="s">
        <v>1077</v>
      </c>
      <c r="AQ217" t="s">
        <v>74</v>
      </c>
      <c r="AR217" t="s">
        <v>1078</v>
      </c>
      <c r="AS217" t="s">
        <v>1079</v>
      </c>
      <c r="AT217" t="s">
        <v>99</v>
      </c>
      <c r="AU217">
        <v>2022</v>
      </c>
      <c r="AV217">
        <v>45</v>
      </c>
      <c r="AW217">
        <v>3</v>
      </c>
      <c r="AX217" t="s">
        <v>74</v>
      </c>
      <c r="AY217" t="s">
        <v>74</v>
      </c>
      <c r="AZ217" t="s">
        <v>74</v>
      </c>
      <c r="BA217" t="s">
        <v>74</v>
      </c>
      <c r="BB217">
        <v>419</v>
      </c>
      <c r="BC217">
        <v>426</v>
      </c>
      <c r="BD217" t="s">
        <v>74</v>
      </c>
      <c r="BE217" t="s">
        <v>4662</v>
      </c>
      <c r="BF217" t="str">
        <f>HYPERLINK("http://dx.doi.org/10.1007/s00300-021-02993-3","http://dx.doi.org/10.1007/s00300-021-02993-3")</f>
        <v>http://dx.doi.org/10.1007/s00300-021-02993-3</v>
      </c>
      <c r="BG217" t="s">
        <v>74</v>
      </c>
      <c r="BH217" t="s">
        <v>4536</v>
      </c>
      <c r="BI217">
        <v>8</v>
      </c>
      <c r="BJ217" t="s">
        <v>1081</v>
      </c>
      <c r="BK217" t="s">
        <v>103</v>
      </c>
      <c r="BL217" t="s">
        <v>1082</v>
      </c>
      <c r="BM217" t="s">
        <v>4273</v>
      </c>
      <c r="BN217" t="s">
        <v>74</v>
      </c>
      <c r="BO217" t="s">
        <v>74</v>
      </c>
      <c r="BP217" t="s">
        <v>74</v>
      </c>
      <c r="BQ217" t="s">
        <v>74</v>
      </c>
      <c r="BR217" t="s">
        <v>106</v>
      </c>
      <c r="BS217" t="s">
        <v>4663</v>
      </c>
      <c r="BT217" t="str">
        <f>HYPERLINK("https%3A%2F%2Fwww.webofscience.com%2Fwos%2Fwoscc%2Ffull-record%2FWOS:000749231900001","View Full Record in Web of Science")</f>
        <v>View Full Record in Web of Science</v>
      </c>
    </row>
    <row r="218" spans="1:72" x14ac:dyDescent="0.15">
      <c r="A218" t="s">
        <v>72</v>
      </c>
      <c r="B218" t="s">
        <v>4664</v>
      </c>
      <c r="C218" t="s">
        <v>74</v>
      </c>
      <c r="D218" t="s">
        <v>74</v>
      </c>
      <c r="E218" t="s">
        <v>74</v>
      </c>
      <c r="F218" t="s">
        <v>4665</v>
      </c>
      <c r="G218" t="s">
        <v>74</v>
      </c>
      <c r="H218" t="s">
        <v>74</v>
      </c>
      <c r="I218" t="s">
        <v>4666</v>
      </c>
      <c r="J218" t="s">
        <v>241</v>
      </c>
      <c r="K218" t="s">
        <v>74</v>
      </c>
      <c r="L218" t="s">
        <v>74</v>
      </c>
      <c r="M218" t="s">
        <v>78</v>
      </c>
      <c r="N218" t="s">
        <v>79</v>
      </c>
      <c r="O218" t="s">
        <v>74</v>
      </c>
      <c r="P218" t="s">
        <v>74</v>
      </c>
      <c r="Q218" t="s">
        <v>74</v>
      </c>
      <c r="R218" t="s">
        <v>74</v>
      </c>
      <c r="S218" t="s">
        <v>74</v>
      </c>
      <c r="T218" t="s">
        <v>4667</v>
      </c>
      <c r="U218" t="s">
        <v>4668</v>
      </c>
      <c r="V218" t="s">
        <v>4669</v>
      </c>
      <c r="W218" t="s">
        <v>4670</v>
      </c>
      <c r="X218" t="s">
        <v>4671</v>
      </c>
      <c r="Y218" t="s">
        <v>4672</v>
      </c>
      <c r="Z218" t="s">
        <v>4673</v>
      </c>
      <c r="AA218" t="s">
        <v>74</v>
      </c>
      <c r="AB218" t="s">
        <v>74</v>
      </c>
      <c r="AC218" t="s">
        <v>4674</v>
      </c>
      <c r="AD218" t="s">
        <v>4675</v>
      </c>
      <c r="AE218" t="s">
        <v>4676</v>
      </c>
      <c r="AF218" t="s">
        <v>74</v>
      </c>
      <c r="AG218">
        <v>119</v>
      </c>
      <c r="AH218">
        <v>1</v>
      </c>
      <c r="AI218">
        <v>1</v>
      </c>
      <c r="AJ218">
        <v>2</v>
      </c>
      <c r="AK218">
        <v>5</v>
      </c>
      <c r="AL218" t="s">
        <v>254</v>
      </c>
      <c r="AM218" t="s">
        <v>255</v>
      </c>
      <c r="AN218" t="s">
        <v>256</v>
      </c>
      <c r="AO218" t="s">
        <v>257</v>
      </c>
      <c r="AP218" t="s">
        <v>258</v>
      </c>
      <c r="AQ218" t="s">
        <v>74</v>
      </c>
      <c r="AR218" t="s">
        <v>241</v>
      </c>
      <c r="AS218" t="s">
        <v>259</v>
      </c>
      <c r="AT218" t="s">
        <v>537</v>
      </c>
      <c r="AU218">
        <v>2022</v>
      </c>
      <c r="AV218">
        <v>376</v>
      </c>
      <c r="AW218" t="s">
        <v>74</v>
      </c>
      <c r="AX218" t="s">
        <v>74</v>
      </c>
      <c r="AY218" t="s">
        <v>74</v>
      </c>
      <c r="AZ218" t="s">
        <v>74</v>
      </c>
      <c r="BA218" t="s">
        <v>74</v>
      </c>
      <c r="BB218" t="s">
        <v>74</v>
      </c>
      <c r="BC218" t="s">
        <v>74</v>
      </c>
      <c r="BD218">
        <v>114884</v>
      </c>
      <c r="BE218" t="s">
        <v>4677</v>
      </c>
      <c r="BF218" t="str">
        <f>HYPERLINK("http://dx.doi.org/10.1016/j.icarus.2022.114884","http://dx.doi.org/10.1016/j.icarus.2022.114884")</f>
        <v>http://dx.doi.org/10.1016/j.icarus.2022.114884</v>
      </c>
      <c r="BG218" t="s">
        <v>74</v>
      </c>
      <c r="BH218" t="s">
        <v>4536</v>
      </c>
      <c r="BI218">
        <v>17</v>
      </c>
      <c r="BJ218" t="s">
        <v>262</v>
      </c>
      <c r="BK218" t="s">
        <v>103</v>
      </c>
      <c r="BL218" t="s">
        <v>262</v>
      </c>
      <c r="BM218" t="s">
        <v>4678</v>
      </c>
      <c r="BN218" t="s">
        <v>74</v>
      </c>
      <c r="BO218" t="s">
        <v>796</v>
      </c>
      <c r="BP218" t="s">
        <v>74</v>
      </c>
      <c r="BQ218" t="s">
        <v>74</v>
      </c>
      <c r="BR218" t="s">
        <v>106</v>
      </c>
      <c r="BS218" t="s">
        <v>4679</v>
      </c>
      <c r="BT218" t="str">
        <f>HYPERLINK("https%3A%2F%2Fwww.webofscience.com%2Fwos%2Fwoscc%2Ffull-record%2FWOS:000793272000004","View Full Record in Web of Science")</f>
        <v>View Full Record in Web of Science</v>
      </c>
    </row>
    <row r="219" spans="1:72" x14ac:dyDescent="0.15">
      <c r="A219" t="s">
        <v>72</v>
      </c>
      <c r="B219" t="s">
        <v>4680</v>
      </c>
      <c r="C219" t="s">
        <v>74</v>
      </c>
      <c r="D219" t="s">
        <v>74</v>
      </c>
      <c r="E219" t="s">
        <v>74</v>
      </c>
      <c r="F219" t="s">
        <v>4681</v>
      </c>
      <c r="G219" t="s">
        <v>74</v>
      </c>
      <c r="H219" t="s">
        <v>74</v>
      </c>
      <c r="I219" t="s">
        <v>4682</v>
      </c>
      <c r="J219" t="s">
        <v>4683</v>
      </c>
      <c r="K219" t="s">
        <v>74</v>
      </c>
      <c r="L219" t="s">
        <v>74</v>
      </c>
      <c r="M219" t="s">
        <v>78</v>
      </c>
      <c r="N219" t="s">
        <v>79</v>
      </c>
      <c r="O219" t="s">
        <v>74</v>
      </c>
      <c r="P219" t="s">
        <v>74</v>
      </c>
      <c r="Q219" t="s">
        <v>74</v>
      </c>
      <c r="R219" t="s">
        <v>74</v>
      </c>
      <c r="S219" t="s">
        <v>74</v>
      </c>
      <c r="T219" t="s">
        <v>4684</v>
      </c>
      <c r="U219" t="s">
        <v>4685</v>
      </c>
      <c r="V219" t="s">
        <v>4686</v>
      </c>
      <c r="W219" t="s">
        <v>4687</v>
      </c>
      <c r="X219" t="s">
        <v>4688</v>
      </c>
      <c r="Y219" t="s">
        <v>4689</v>
      </c>
      <c r="Z219" t="s">
        <v>4690</v>
      </c>
      <c r="AA219" t="s">
        <v>4691</v>
      </c>
      <c r="AB219" t="s">
        <v>4692</v>
      </c>
      <c r="AC219" t="s">
        <v>4693</v>
      </c>
      <c r="AD219" t="s">
        <v>4694</v>
      </c>
      <c r="AE219" t="s">
        <v>4695</v>
      </c>
      <c r="AF219" t="s">
        <v>74</v>
      </c>
      <c r="AG219">
        <v>42</v>
      </c>
      <c r="AH219">
        <v>1</v>
      </c>
      <c r="AI219">
        <v>1</v>
      </c>
      <c r="AJ219">
        <v>2</v>
      </c>
      <c r="AK219">
        <v>6</v>
      </c>
      <c r="AL219" t="s">
        <v>310</v>
      </c>
      <c r="AM219" t="s">
        <v>311</v>
      </c>
      <c r="AN219" t="s">
        <v>312</v>
      </c>
      <c r="AO219" t="s">
        <v>4696</v>
      </c>
      <c r="AP219" t="s">
        <v>4697</v>
      </c>
      <c r="AQ219" t="s">
        <v>74</v>
      </c>
      <c r="AR219" t="s">
        <v>4698</v>
      </c>
      <c r="AS219" t="s">
        <v>4699</v>
      </c>
      <c r="AT219" t="s">
        <v>260</v>
      </c>
      <c r="AU219">
        <v>2022</v>
      </c>
      <c r="AV219">
        <v>821</v>
      </c>
      <c r="AW219" t="s">
        <v>74</v>
      </c>
      <c r="AX219" t="s">
        <v>74</v>
      </c>
      <c r="AY219" t="s">
        <v>74</v>
      </c>
      <c r="AZ219" t="s">
        <v>74</v>
      </c>
      <c r="BA219" t="s">
        <v>74</v>
      </c>
      <c r="BB219" t="s">
        <v>74</v>
      </c>
      <c r="BC219" t="s">
        <v>74</v>
      </c>
      <c r="BD219">
        <v>153379</v>
      </c>
      <c r="BE219" t="s">
        <v>4700</v>
      </c>
      <c r="BF219" t="str">
        <f>HYPERLINK("http://dx.doi.org/10.1016/j.scitotenv.2022.153379","http://dx.doi.org/10.1016/j.scitotenv.2022.153379")</f>
        <v>http://dx.doi.org/10.1016/j.scitotenv.2022.153379</v>
      </c>
      <c r="BG219" t="s">
        <v>74</v>
      </c>
      <c r="BH219" t="s">
        <v>4536</v>
      </c>
      <c r="BI219">
        <v>9</v>
      </c>
      <c r="BJ219" t="s">
        <v>1560</v>
      </c>
      <c r="BK219" t="s">
        <v>103</v>
      </c>
      <c r="BL219" t="s">
        <v>1561</v>
      </c>
      <c r="BM219" t="s">
        <v>4701</v>
      </c>
      <c r="BN219">
        <v>35085627</v>
      </c>
      <c r="BO219" t="s">
        <v>948</v>
      </c>
      <c r="BP219" t="s">
        <v>74</v>
      </c>
      <c r="BQ219" t="s">
        <v>74</v>
      </c>
      <c r="BR219" t="s">
        <v>106</v>
      </c>
      <c r="BS219" t="s">
        <v>4702</v>
      </c>
      <c r="BT219" t="str">
        <f>HYPERLINK("https%3A%2F%2Fwww.webofscience.com%2Fwos%2Fwoscc%2Ffull-record%2FWOS:000766801100014","View Full Record in Web of Science")</f>
        <v>View Full Record in Web of Science</v>
      </c>
    </row>
    <row r="220" spans="1:72" x14ac:dyDescent="0.15">
      <c r="A220" t="s">
        <v>72</v>
      </c>
      <c r="B220" t="s">
        <v>4703</v>
      </c>
      <c r="C220" t="s">
        <v>74</v>
      </c>
      <c r="D220" t="s">
        <v>74</v>
      </c>
      <c r="E220" t="s">
        <v>74</v>
      </c>
      <c r="F220" t="s">
        <v>4704</v>
      </c>
      <c r="G220" t="s">
        <v>74</v>
      </c>
      <c r="H220" t="s">
        <v>74</v>
      </c>
      <c r="I220" t="s">
        <v>4705</v>
      </c>
      <c r="J220" t="s">
        <v>4706</v>
      </c>
      <c r="K220" t="s">
        <v>74</v>
      </c>
      <c r="L220" t="s">
        <v>74</v>
      </c>
      <c r="M220" t="s">
        <v>78</v>
      </c>
      <c r="N220" t="s">
        <v>79</v>
      </c>
      <c r="O220" t="s">
        <v>74</v>
      </c>
      <c r="P220" t="s">
        <v>74</v>
      </c>
      <c r="Q220" t="s">
        <v>74</v>
      </c>
      <c r="R220" t="s">
        <v>74</v>
      </c>
      <c r="S220" t="s">
        <v>74</v>
      </c>
      <c r="T220" t="s">
        <v>4707</v>
      </c>
      <c r="U220" t="s">
        <v>4708</v>
      </c>
      <c r="V220" t="s">
        <v>4709</v>
      </c>
      <c r="W220" t="s">
        <v>4710</v>
      </c>
      <c r="X220" t="s">
        <v>4711</v>
      </c>
      <c r="Y220" t="s">
        <v>4712</v>
      </c>
      <c r="Z220" t="s">
        <v>4713</v>
      </c>
      <c r="AA220" t="s">
        <v>4714</v>
      </c>
      <c r="AB220" t="s">
        <v>4715</v>
      </c>
      <c r="AC220" t="s">
        <v>4716</v>
      </c>
      <c r="AD220" t="s">
        <v>4717</v>
      </c>
      <c r="AE220" t="s">
        <v>4718</v>
      </c>
      <c r="AF220" t="s">
        <v>74</v>
      </c>
      <c r="AG220">
        <v>70</v>
      </c>
      <c r="AH220">
        <v>3</v>
      </c>
      <c r="AI220">
        <v>3</v>
      </c>
      <c r="AJ220">
        <v>3</v>
      </c>
      <c r="AK220">
        <v>13</v>
      </c>
      <c r="AL220" t="s">
        <v>363</v>
      </c>
      <c r="AM220" t="s">
        <v>364</v>
      </c>
      <c r="AN220" t="s">
        <v>365</v>
      </c>
      <c r="AO220" t="s">
        <v>74</v>
      </c>
      <c r="AP220" t="s">
        <v>4719</v>
      </c>
      <c r="AQ220" t="s">
        <v>74</v>
      </c>
      <c r="AR220" t="s">
        <v>4720</v>
      </c>
      <c r="AS220" t="s">
        <v>4721</v>
      </c>
      <c r="AT220" t="s">
        <v>4722</v>
      </c>
      <c r="AU220">
        <v>2022</v>
      </c>
      <c r="AV220">
        <v>10</v>
      </c>
      <c r="AW220" t="s">
        <v>74</v>
      </c>
      <c r="AX220" t="s">
        <v>74</v>
      </c>
      <c r="AY220" t="s">
        <v>74</v>
      </c>
      <c r="AZ220" t="s">
        <v>74</v>
      </c>
      <c r="BA220" t="s">
        <v>74</v>
      </c>
      <c r="BB220" t="s">
        <v>74</v>
      </c>
      <c r="BC220" t="s">
        <v>74</v>
      </c>
      <c r="BD220">
        <v>811375</v>
      </c>
      <c r="BE220" t="s">
        <v>4723</v>
      </c>
      <c r="BF220" t="str">
        <f>HYPERLINK("http://dx.doi.org/10.3389/fenvs.2022.811375","http://dx.doi.org/10.3389/fenvs.2022.811375")</f>
        <v>http://dx.doi.org/10.3389/fenvs.2022.811375</v>
      </c>
      <c r="BG220" t="s">
        <v>74</v>
      </c>
      <c r="BH220" t="s">
        <v>74</v>
      </c>
      <c r="BI220">
        <v>12</v>
      </c>
      <c r="BJ220" t="s">
        <v>1560</v>
      </c>
      <c r="BK220" t="s">
        <v>103</v>
      </c>
      <c r="BL220" t="s">
        <v>1561</v>
      </c>
      <c r="BM220" t="s">
        <v>4724</v>
      </c>
      <c r="BN220" t="s">
        <v>74</v>
      </c>
      <c r="BO220" t="s">
        <v>445</v>
      </c>
      <c r="BP220" t="s">
        <v>74</v>
      </c>
      <c r="BQ220" t="s">
        <v>74</v>
      </c>
      <c r="BR220" t="s">
        <v>106</v>
      </c>
      <c r="BS220" t="s">
        <v>4725</v>
      </c>
      <c r="BT220" t="str">
        <f>HYPERLINK("https%3A%2F%2Fwww.webofscience.com%2Fwos%2Fwoscc%2Ffull-record%2FWOS:000758753900001","View Full Record in Web of Science")</f>
        <v>View Full Record in Web of Science</v>
      </c>
    </row>
    <row r="221" spans="1:72" x14ac:dyDescent="0.15">
      <c r="A221" t="s">
        <v>72</v>
      </c>
      <c r="B221" t="s">
        <v>4726</v>
      </c>
      <c r="C221" t="s">
        <v>74</v>
      </c>
      <c r="D221" t="s">
        <v>74</v>
      </c>
      <c r="E221" t="s">
        <v>74</v>
      </c>
      <c r="F221" t="s">
        <v>4727</v>
      </c>
      <c r="G221" t="s">
        <v>74</v>
      </c>
      <c r="H221" t="s">
        <v>74</v>
      </c>
      <c r="I221" t="s">
        <v>4728</v>
      </c>
      <c r="J221" t="s">
        <v>4729</v>
      </c>
      <c r="K221" t="s">
        <v>74</v>
      </c>
      <c r="L221" t="s">
        <v>74</v>
      </c>
      <c r="M221" t="s">
        <v>78</v>
      </c>
      <c r="N221" t="s">
        <v>79</v>
      </c>
      <c r="O221" t="s">
        <v>74</v>
      </c>
      <c r="P221" t="s">
        <v>74</v>
      </c>
      <c r="Q221" t="s">
        <v>74</v>
      </c>
      <c r="R221" t="s">
        <v>74</v>
      </c>
      <c r="S221" t="s">
        <v>74</v>
      </c>
      <c r="T221" t="s">
        <v>4730</v>
      </c>
      <c r="U221" t="s">
        <v>4731</v>
      </c>
      <c r="V221" t="s">
        <v>4732</v>
      </c>
      <c r="W221" t="s">
        <v>4733</v>
      </c>
      <c r="X221" t="s">
        <v>4734</v>
      </c>
      <c r="Y221" t="s">
        <v>4735</v>
      </c>
      <c r="Z221" t="s">
        <v>4736</v>
      </c>
      <c r="AA221" t="s">
        <v>4737</v>
      </c>
      <c r="AB221" t="s">
        <v>4738</v>
      </c>
      <c r="AC221" t="s">
        <v>4739</v>
      </c>
      <c r="AD221" t="s">
        <v>4740</v>
      </c>
      <c r="AE221" t="s">
        <v>4741</v>
      </c>
      <c r="AF221" t="s">
        <v>74</v>
      </c>
      <c r="AG221">
        <v>59</v>
      </c>
      <c r="AH221">
        <v>5</v>
      </c>
      <c r="AI221">
        <v>7</v>
      </c>
      <c r="AJ221">
        <v>1</v>
      </c>
      <c r="AK221">
        <v>31</v>
      </c>
      <c r="AL221" t="s">
        <v>254</v>
      </c>
      <c r="AM221" t="s">
        <v>255</v>
      </c>
      <c r="AN221" t="s">
        <v>256</v>
      </c>
      <c r="AO221" t="s">
        <v>4742</v>
      </c>
      <c r="AP221" t="s">
        <v>4743</v>
      </c>
      <c r="AQ221" t="s">
        <v>74</v>
      </c>
      <c r="AR221" t="s">
        <v>4744</v>
      </c>
      <c r="AS221" t="s">
        <v>4745</v>
      </c>
      <c r="AT221" t="s">
        <v>4746</v>
      </c>
      <c r="AU221">
        <v>2022</v>
      </c>
      <c r="AV221">
        <v>207</v>
      </c>
      <c r="AW221" t="s">
        <v>74</v>
      </c>
      <c r="AX221" t="s">
        <v>74</v>
      </c>
      <c r="AY221" t="s">
        <v>74</v>
      </c>
      <c r="AZ221" t="s">
        <v>74</v>
      </c>
      <c r="BA221" t="s">
        <v>74</v>
      </c>
      <c r="BB221" t="s">
        <v>74</v>
      </c>
      <c r="BC221" t="s">
        <v>74</v>
      </c>
      <c r="BD221">
        <v>112165</v>
      </c>
      <c r="BE221" t="s">
        <v>4747</v>
      </c>
      <c r="BF221" t="str">
        <f>HYPERLINK("http://dx.doi.org/10.1016/j.envres.2021.112165","http://dx.doi.org/10.1016/j.envres.2021.112165")</f>
        <v>http://dx.doi.org/10.1016/j.envres.2021.112165</v>
      </c>
      <c r="BG221" t="s">
        <v>74</v>
      </c>
      <c r="BH221" t="s">
        <v>4536</v>
      </c>
      <c r="BI221">
        <v>10</v>
      </c>
      <c r="BJ221" t="s">
        <v>4748</v>
      </c>
      <c r="BK221" t="s">
        <v>103</v>
      </c>
      <c r="BL221" t="s">
        <v>4749</v>
      </c>
      <c r="BM221" t="s">
        <v>4750</v>
      </c>
      <c r="BN221">
        <v>34619128</v>
      </c>
      <c r="BO221" t="s">
        <v>74</v>
      </c>
      <c r="BP221" t="s">
        <v>74</v>
      </c>
      <c r="BQ221" t="s">
        <v>74</v>
      </c>
      <c r="BR221" t="s">
        <v>106</v>
      </c>
      <c r="BS221" t="s">
        <v>4751</v>
      </c>
      <c r="BT221" t="str">
        <f>HYPERLINK("https%3A%2F%2Fwww.webofscience.com%2Fwos%2Fwoscc%2Ffull-record%2FWOS:000751897700002","View Full Record in Web of Science")</f>
        <v>View Full Record in Web of Science</v>
      </c>
    </row>
    <row r="222" spans="1:72" x14ac:dyDescent="0.15">
      <c r="A222" t="s">
        <v>72</v>
      </c>
      <c r="B222" t="s">
        <v>4752</v>
      </c>
      <c r="C222" t="s">
        <v>74</v>
      </c>
      <c r="D222" t="s">
        <v>74</v>
      </c>
      <c r="E222" t="s">
        <v>74</v>
      </c>
      <c r="F222" t="s">
        <v>4753</v>
      </c>
      <c r="G222" t="s">
        <v>74</v>
      </c>
      <c r="H222" t="s">
        <v>74</v>
      </c>
      <c r="I222" t="s">
        <v>4754</v>
      </c>
      <c r="J222" t="s">
        <v>620</v>
      </c>
      <c r="K222" t="s">
        <v>74</v>
      </c>
      <c r="L222" t="s">
        <v>74</v>
      </c>
      <c r="M222" t="s">
        <v>78</v>
      </c>
      <c r="N222" t="s">
        <v>79</v>
      </c>
      <c r="O222" t="s">
        <v>74</v>
      </c>
      <c r="P222" t="s">
        <v>74</v>
      </c>
      <c r="Q222" t="s">
        <v>74</v>
      </c>
      <c r="R222" t="s">
        <v>74</v>
      </c>
      <c r="S222" t="s">
        <v>74</v>
      </c>
      <c r="T222" t="s">
        <v>4755</v>
      </c>
      <c r="U222" t="s">
        <v>4756</v>
      </c>
      <c r="V222" t="s">
        <v>4757</v>
      </c>
      <c r="W222" t="s">
        <v>4758</v>
      </c>
      <c r="X222" t="s">
        <v>4759</v>
      </c>
      <c r="Y222" t="s">
        <v>4760</v>
      </c>
      <c r="Z222" t="s">
        <v>4761</v>
      </c>
      <c r="AA222" t="s">
        <v>74</v>
      </c>
      <c r="AB222" t="s">
        <v>4762</v>
      </c>
      <c r="AC222" t="s">
        <v>4763</v>
      </c>
      <c r="AD222" t="s">
        <v>4764</v>
      </c>
      <c r="AE222" t="s">
        <v>4765</v>
      </c>
      <c r="AF222" t="s">
        <v>74</v>
      </c>
      <c r="AG222">
        <v>47</v>
      </c>
      <c r="AH222">
        <v>3</v>
      </c>
      <c r="AI222">
        <v>3</v>
      </c>
      <c r="AJ222">
        <v>2</v>
      </c>
      <c r="AK222">
        <v>12</v>
      </c>
      <c r="AL222" t="s">
        <v>605</v>
      </c>
      <c r="AM222" t="s">
        <v>606</v>
      </c>
      <c r="AN222" t="s">
        <v>607</v>
      </c>
      <c r="AO222" t="s">
        <v>633</v>
      </c>
      <c r="AP222" t="s">
        <v>634</v>
      </c>
      <c r="AQ222" t="s">
        <v>74</v>
      </c>
      <c r="AR222" t="s">
        <v>635</v>
      </c>
      <c r="AS222" t="s">
        <v>636</v>
      </c>
      <c r="AT222" t="s">
        <v>4722</v>
      </c>
      <c r="AU222">
        <v>2022</v>
      </c>
      <c r="AV222">
        <v>49</v>
      </c>
      <c r="AW222">
        <v>2</v>
      </c>
      <c r="AX222" t="s">
        <v>74</v>
      </c>
      <c r="AY222" t="s">
        <v>74</v>
      </c>
      <c r="AZ222" t="s">
        <v>74</v>
      </c>
      <c r="BA222" t="s">
        <v>74</v>
      </c>
      <c r="BB222" t="s">
        <v>74</v>
      </c>
      <c r="BC222" t="s">
        <v>74</v>
      </c>
      <c r="BD222" t="s">
        <v>4766</v>
      </c>
      <c r="BE222" t="s">
        <v>4767</v>
      </c>
      <c r="BF222" t="str">
        <f>HYPERLINK("http://dx.doi.org/10.1029/2021GL095020","http://dx.doi.org/10.1029/2021GL095020")</f>
        <v>http://dx.doi.org/10.1029/2021GL095020</v>
      </c>
      <c r="BG222" t="s">
        <v>74</v>
      </c>
      <c r="BH222" t="s">
        <v>74</v>
      </c>
      <c r="BI222">
        <v>10</v>
      </c>
      <c r="BJ222" t="s">
        <v>151</v>
      </c>
      <c r="BK222" t="s">
        <v>103</v>
      </c>
      <c r="BL222" t="s">
        <v>152</v>
      </c>
      <c r="BM222" t="s">
        <v>4768</v>
      </c>
      <c r="BN222" t="s">
        <v>74</v>
      </c>
      <c r="BO222" t="s">
        <v>1613</v>
      </c>
      <c r="BP222" t="s">
        <v>74</v>
      </c>
      <c r="BQ222" t="s">
        <v>74</v>
      </c>
      <c r="BR222" t="s">
        <v>106</v>
      </c>
      <c r="BS222" t="s">
        <v>4769</v>
      </c>
      <c r="BT222" t="str">
        <f>HYPERLINK("https%3A%2F%2Fwww.webofscience.com%2Fwos%2Fwoscc%2Ffull-record%2FWOS:000751642800081","View Full Record in Web of Science")</f>
        <v>View Full Record in Web of Science</v>
      </c>
    </row>
    <row r="223" spans="1:72" x14ac:dyDescent="0.15">
      <c r="A223" t="s">
        <v>72</v>
      </c>
      <c r="B223" t="s">
        <v>4770</v>
      </c>
      <c r="C223" t="s">
        <v>74</v>
      </c>
      <c r="D223" t="s">
        <v>74</v>
      </c>
      <c r="E223" t="s">
        <v>74</v>
      </c>
      <c r="F223" t="s">
        <v>4771</v>
      </c>
      <c r="G223" t="s">
        <v>74</v>
      </c>
      <c r="H223" t="s">
        <v>74</v>
      </c>
      <c r="I223" t="s">
        <v>4772</v>
      </c>
      <c r="J223" t="s">
        <v>620</v>
      </c>
      <c r="K223" t="s">
        <v>74</v>
      </c>
      <c r="L223" t="s">
        <v>74</v>
      </c>
      <c r="M223" t="s">
        <v>78</v>
      </c>
      <c r="N223" t="s">
        <v>79</v>
      </c>
      <c r="O223" t="s">
        <v>74</v>
      </c>
      <c r="P223" t="s">
        <v>74</v>
      </c>
      <c r="Q223" t="s">
        <v>74</v>
      </c>
      <c r="R223" t="s">
        <v>74</v>
      </c>
      <c r="S223" t="s">
        <v>74</v>
      </c>
      <c r="T223" t="s">
        <v>4773</v>
      </c>
      <c r="U223" t="s">
        <v>4774</v>
      </c>
      <c r="V223" t="s">
        <v>4775</v>
      </c>
      <c r="W223" t="s">
        <v>4776</v>
      </c>
      <c r="X223" t="s">
        <v>4777</v>
      </c>
      <c r="Y223" t="s">
        <v>4778</v>
      </c>
      <c r="Z223" t="s">
        <v>4779</v>
      </c>
      <c r="AA223" t="s">
        <v>74</v>
      </c>
      <c r="AB223" t="s">
        <v>4780</v>
      </c>
      <c r="AC223" t="s">
        <v>4781</v>
      </c>
      <c r="AD223" t="s">
        <v>4782</v>
      </c>
      <c r="AE223" t="s">
        <v>4783</v>
      </c>
      <c r="AF223" t="s">
        <v>74</v>
      </c>
      <c r="AG223">
        <v>88</v>
      </c>
      <c r="AH223">
        <v>8</v>
      </c>
      <c r="AI223">
        <v>8</v>
      </c>
      <c r="AJ223">
        <v>6</v>
      </c>
      <c r="AK223">
        <v>30</v>
      </c>
      <c r="AL223" t="s">
        <v>605</v>
      </c>
      <c r="AM223" t="s">
        <v>606</v>
      </c>
      <c r="AN223" t="s">
        <v>607</v>
      </c>
      <c r="AO223" t="s">
        <v>633</v>
      </c>
      <c r="AP223" t="s">
        <v>634</v>
      </c>
      <c r="AQ223" t="s">
        <v>74</v>
      </c>
      <c r="AR223" t="s">
        <v>635</v>
      </c>
      <c r="AS223" t="s">
        <v>636</v>
      </c>
      <c r="AT223" t="s">
        <v>4722</v>
      </c>
      <c r="AU223">
        <v>2022</v>
      </c>
      <c r="AV223">
        <v>49</v>
      </c>
      <c r="AW223">
        <v>2</v>
      </c>
      <c r="AX223" t="s">
        <v>74</v>
      </c>
      <c r="AY223" t="s">
        <v>74</v>
      </c>
      <c r="AZ223" t="s">
        <v>74</v>
      </c>
      <c r="BA223" t="s">
        <v>74</v>
      </c>
      <c r="BB223" t="s">
        <v>74</v>
      </c>
      <c r="BC223" t="s">
        <v>74</v>
      </c>
      <c r="BD223" t="s">
        <v>4784</v>
      </c>
      <c r="BE223" t="s">
        <v>4785</v>
      </c>
      <c r="BF223" t="str">
        <f>HYPERLINK("http://dx.doi.org/10.1029/2021GL096519","http://dx.doi.org/10.1029/2021GL096519")</f>
        <v>http://dx.doi.org/10.1029/2021GL096519</v>
      </c>
      <c r="BG223" t="s">
        <v>74</v>
      </c>
      <c r="BH223" t="s">
        <v>74</v>
      </c>
      <c r="BI223">
        <v>11</v>
      </c>
      <c r="BJ223" t="s">
        <v>151</v>
      </c>
      <c r="BK223" t="s">
        <v>103</v>
      </c>
      <c r="BL223" t="s">
        <v>152</v>
      </c>
      <c r="BM223" t="s">
        <v>4768</v>
      </c>
      <c r="BN223" t="s">
        <v>74</v>
      </c>
      <c r="BO223" t="s">
        <v>3263</v>
      </c>
      <c r="BP223" t="s">
        <v>74</v>
      </c>
      <c r="BQ223" t="s">
        <v>74</v>
      </c>
      <c r="BR223" t="s">
        <v>106</v>
      </c>
      <c r="BS223" t="s">
        <v>4786</v>
      </c>
      <c r="BT223" t="str">
        <f>HYPERLINK("https%3A%2F%2Fwww.webofscience.com%2Fwos%2Fwoscc%2Ffull-record%2FWOS:000751642800017","View Full Record in Web of Science")</f>
        <v>View Full Record in Web of Science</v>
      </c>
    </row>
    <row r="224" spans="1:72" x14ac:dyDescent="0.15">
      <c r="A224" t="s">
        <v>72</v>
      </c>
      <c r="B224" t="s">
        <v>4787</v>
      </c>
      <c r="C224" t="s">
        <v>74</v>
      </c>
      <c r="D224" t="s">
        <v>74</v>
      </c>
      <c r="E224" t="s">
        <v>74</v>
      </c>
      <c r="F224" t="s">
        <v>4788</v>
      </c>
      <c r="G224" t="s">
        <v>74</v>
      </c>
      <c r="H224" t="s">
        <v>74</v>
      </c>
      <c r="I224" t="s">
        <v>4789</v>
      </c>
      <c r="J224" t="s">
        <v>620</v>
      </c>
      <c r="K224" t="s">
        <v>74</v>
      </c>
      <c r="L224" t="s">
        <v>74</v>
      </c>
      <c r="M224" t="s">
        <v>78</v>
      </c>
      <c r="N224" t="s">
        <v>79</v>
      </c>
      <c r="O224" t="s">
        <v>74</v>
      </c>
      <c r="P224" t="s">
        <v>74</v>
      </c>
      <c r="Q224" t="s">
        <v>74</v>
      </c>
      <c r="R224" t="s">
        <v>74</v>
      </c>
      <c r="S224" t="s">
        <v>74</v>
      </c>
      <c r="T224" t="s">
        <v>4790</v>
      </c>
      <c r="U224" t="s">
        <v>4791</v>
      </c>
      <c r="V224" t="s">
        <v>4792</v>
      </c>
      <c r="W224" t="s">
        <v>4793</v>
      </c>
      <c r="X224" t="s">
        <v>4794</v>
      </c>
      <c r="Y224" t="s">
        <v>4795</v>
      </c>
      <c r="Z224" t="s">
        <v>4796</v>
      </c>
      <c r="AA224" t="s">
        <v>4797</v>
      </c>
      <c r="AB224" t="s">
        <v>4798</v>
      </c>
      <c r="AC224" t="s">
        <v>4799</v>
      </c>
      <c r="AD224" t="s">
        <v>4800</v>
      </c>
      <c r="AE224" t="s">
        <v>4801</v>
      </c>
      <c r="AF224" t="s">
        <v>74</v>
      </c>
      <c r="AG224">
        <v>100</v>
      </c>
      <c r="AH224">
        <v>5</v>
      </c>
      <c r="AI224">
        <v>5</v>
      </c>
      <c r="AJ224">
        <v>1</v>
      </c>
      <c r="AK224">
        <v>8</v>
      </c>
      <c r="AL224" t="s">
        <v>605</v>
      </c>
      <c r="AM224" t="s">
        <v>606</v>
      </c>
      <c r="AN224" t="s">
        <v>607</v>
      </c>
      <c r="AO224" t="s">
        <v>633</v>
      </c>
      <c r="AP224" t="s">
        <v>634</v>
      </c>
      <c r="AQ224" t="s">
        <v>74</v>
      </c>
      <c r="AR224" t="s">
        <v>635</v>
      </c>
      <c r="AS224" t="s">
        <v>636</v>
      </c>
      <c r="AT224" t="s">
        <v>4722</v>
      </c>
      <c r="AU224">
        <v>2022</v>
      </c>
      <c r="AV224">
        <v>49</v>
      </c>
      <c r="AW224">
        <v>2</v>
      </c>
      <c r="AX224" t="s">
        <v>74</v>
      </c>
      <c r="AY224" t="s">
        <v>74</v>
      </c>
      <c r="AZ224" t="s">
        <v>74</v>
      </c>
      <c r="BA224" t="s">
        <v>74</v>
      </c>
      <c r="BB224" t="s">
        <v>74</v>
      </c>
      <c r="BC224" t="s">
        <v>74</v>
      </c>
      <c r="BD224" t="s">
        <v>4802</v>
      </c>
      <c r="BE224" t="s">
        <v>4803</v>
      </c>
      <c r="BF224" t="str">
        <f>HYPERLINK("http://dx.doi.org/10.1029/2021GL096246","http://dx.doi.org/10.1029/2021GL096246")</f>
        <v>http://dx.doi.org/10.1029/2021GL096246</v>
      </c>
      <c r="BG224" t="s">
        <v>74</v>
      </c>
      <c r="BH224" t="s">
        <v>74</v>
      </c>
      <c r="BI224">
        <v>14</v>
      </c>
      <c r="BJ224" t="s">
        <v>151</v>
      </c>
      <c r="BK224" t="s">
        <v>103</v>
      </c>
      <c r="BL224" t="s">
        <v>152</v>
      </c>
      <c r="BM224" t="s">
        <v>4768</v>
      </c>
      <c r="BN224" t="s">
        <v>74</v>
      </c>
      <c r="BO224" t="s">
        <v>948</v>
      </c>
      <c r="BP224" t="s">
        <v>74</v>
      </c>
      <c r="BQ224" t="s">
        <v>74</v>
      </c>
      <c r="BR224" t="s">
        <v>106</v>
      </c>
      <c r="BS224" t="s">
        <v>4804</v>
      </c>
      <c r="BT224" t="str">
        <f>HYPERLINK("https%3A%2F%2Fwww.webofscience.com%2Fwos%2Fwoscc%2Ffull-record%2FWOS:000751642800020","View Full Record in Web of Science")</f>
        <v>View Full Record in Web of Science</v>
      </c>
    </row>
    <row r="225" spans="1:72" x14ac:dyDescent="0.15">
      <c r="A225" t="s">
        <v>72</v>
      </c>
      <c r="B225" t="s">
        <v>4805</v>
      </c>
      <c r="C225" t="s">
        <v>74</v>
      </c>
      <c r="D225" t="s">
        <v>74</v>
      </c>
      <c r="E225" t="s">
        <v>74</v>
      </c>
      <c r="F225" t="s">
        <v>4806</v>
      </c>
      <c r="G225" t="s">
        <v>74</v>
      </c>
      <c r="H225" t="s">
        <v>74</v>
      </c>
      <c r="I225" t="s">
        <v>4807</v>
      </c>
      <c r="J225" t="s">
        <v>1063</v>
      </c>
      <c r="K225" t="s">
        <v>74</v>
      </c>
      <c r="L225" t="s">
        <v>74</v>
      </c>
      <c r="M225" t="s">
        <v>78</v>
      </c>
      <c r="N225" t="s">
        <v>79</v>
      </c>
      <c r="O225" t="s">
        <v>74</v>
      </c>
      <c r="P225" t="s">
        <v>74</v>
      </c>
      <c r="Q225" t="s">
        <v>74</v>
      </c>
      <c r="R225" t="s">
        <v>74</v>
      </c>
      <c r="S225" t="s">
        <v>74</v>
      </c>
      <c r="T225" t="s">
        <v>4808</v>
      </c>
      <c r="U225" t="s">
        <v>4809</v>
      </c>
      <c r="V225" t="s">
        <v>4810</v>
      </c>
      <c r="W225" t="s">
        <v>4811</v>
      </c>
      <c r="X225" t="s">
        <v>4812</v>
      </c>
      <c r="Y225" t="s">
        <v>4813</v>
      </c>
      <c r="Z225" t="s">
        <v>4814</v>
      </c>
      <c r="AA225" t="s">
        <v>4815</v>
      </c>
      <c r="AB225" t="s">
        <v>4816</v>
      </c>
      <c r="AC225" t="s">
        <v>4817</v>
      </c>
      <c r="AD225" t="s">
        <v>4818</v>
      </c>
      <c r="AE225" t="s">
        <v>4819</v>
      </c>
      <c r="AF225" t="s">
        <v>74</v>
      </c>
      <c r="AG225">
        <v>49</v>
      </c>
      <c r="AH225">
        <v>2</v>
      </c>
      <c r="AI225">
        <v>2</v>
      </c>
      <c r="AJ225">
        <v>2</v>
      </c>
      <c r="AK225">
        <v>10</v>
      </c>
      <c r="AL225" t="s">
        <v>1074</v>
      </c>
      <c r="AM225" t="s">
        <v>506</v>
      </c>
      <c r="AN225" t="s">
        <v>1075</v>
      </c>
      <c r="AO225" t="s">
        <v>1076</v>
      </c>
      <c r="AP225" t="s">
        <v>1077</v>
      </c>
      <c r="AQ225" t="s">
        <v>74</v>
      </c>
      <c r="AR225" t="s">
        <v>1078</v>
      </c>
      <c r="AS225" t="s">
        <v>1079</v>
      </c>
      <c r="AT225" t="s">
        <v>840</v>
      </c>
      <c r="AU225">
        <v>2022</v>
      </c>
      <c r="AV225">
        <v>45</v>
      </c>
      <c r="AW225">
        <v>2</v>
      </c>
      <c r="AX225" t="s">
        <v>74</v>
      </c>
      <c r="AY225" t="s">
        <v>74</v>
      </c>
      <c r="AZ225" t="s">
        <v>74</v>
      </c>
      <c r="BA225" t="s">
        <v>74</v>
      </c>
      <c r="BB225">
        <v>359</v>
      </c>
      <c r="BC225">
        <v>368</v>
      </c>
      <c r="BD225" t="s">
        <v>74</v>
      </c>
      <c r="BE225" t="s">
        <v>4820</v>
      </c>
      <c r="BF225" t="str">
        <f>HYPERLINK("http://dx.doi.org/10.1007/s00300-021-02994-2","http://dx.doi.org/10.1007/s00300-021-02994-2")</f>
        <v>http://dx.doi.org/10.1007/s00300-021-02994-2</v>
      </c>
      <c r="BG225" t="s">
        <v>74</v>
      </c>
      <c r="BH225" t="s">
        <v>4536</v>
      </c>
      <c r="BI225">
        <v>10</v>
      </c>
      <c r="BJ225" t="s">
        <v>1081</v>
      </c>
      <c r="BK225" t="s">
        <v>103</v>
      </c>
      <c r="BL225" t="s">
        <v>1082</v>
      </c>
      <c r="BM225" t="s">
        <v>4821</v>
      </c>
      <c r="BN225" t="s">
        <v>74</v>
      </c>
      <c r="BO225" t="s">
        <v>74</v>
      </c>
      <c r="BP225" t="s">
        <v>74</v>
      </c>
      <c r="BQ225" t="s">
        <v>74</v>
      </c>
      <c r="BR225" t="s">
        <v>106</v>
      </c>
      <c r="BS225" t="s">
        <v>4822</v>
      </c>
      <c r="BT225" t="str">
        <f>HYPERLINK("https%3A%2F%2Fwww.webofscience.com%2Fwos%2Fwoscc%2Ffull-record%2FWOS:000750375000004","View Full Record in Web of Science")</f>
        <v>View Full Record in Web of Science</v>
      </c>
    </row>
    <row r="226" spans="1:72" x14ac:dyDescent="0.15">
      <c r="A226" t="s">
        <v>72</v>
      </c>
      <c r="B226" t="s">
        <v>4823</v>
      </c>
      <c r="C226" t="s">
        <v>74</v>
      </c>
      <c r="D226" t="s">
        <v>74</v>
      </c>
      <c r="E226" t="s">
        <v>74</v>
      </c>
      <c r="F226" t="s">
        <v>4824</v>
      </c>
      <c r="G226" t="s">
        <v>74</v>
      </c>
      <c r="H226" t="s">
        <v>74</v>
      </c>
      <c r="I226" t="s">
        <v>4825</v>
      </c>
      <c r="J226" t="s">
        <v>1063</v>
      </c>
      <c r="K226" t="s">
        <v>74</v>
      </c>
      <c r="L226" t="s">
        <v>74</v>
      </c>
      <c r="M226" t="s">
        <v>78</v>
      </c>
      <c r="N226" t="s">
        <v>79</v>
      </c>
      <c r="O226" t="s">
        <v>74</v>
      </c>
      <c r="P226" t="s">
        <v>74</v>
      </c>
      <c r="Q226" t="s">
        <v>74</v>
      </c>
      <c r="R226" t="s">
        <v>74</v>
      </c>
      <c r="S226" t="s">
        <v>74</v>
      </c>
      <c r="T226" t="s">
        <v>4826</v>
      </c>
      <c r="U226" t="s">
        <v>4827</v>
      </c>
      <c r="V226" t="s">
        <v>4828</v>
      </c>
      <c r="W226" t="s">
        <v>4829</v>
      </c>
      <c r="X226" t="s">
        <v>4830</v>
      </c>
      <c r="Y226" t="s">
        <v>4831</v>
      </c>
      <c r="Z226" t="s">
        <v>4832</v>
      </c>
      <c r="AA226" t="s">
        <v>4833</v>
      </c>
      <c r="AB226" t="s">
        <v>4834</v>
      </c>
      <c r="AC226" t="s">
        <v>4835</v>
      </c>
      <c r="AD226" t="s">
        <v>4836</v>
      </c>
      <c r="AE226" t="s">
        <v>4837</v>
      </c>
      <c r="AF226" t="s">
        <v>74</v>
      </c>
      <c r="AG226">
        <v>60</v>
      </c>
      <c r="AH226">
        <v>5</v>
      </c>
      <c r="AI226">
        <v>5</v>
      </c>
      <c r="AJ226">
        <v>0</v>
      </c>
      <c r="AK226">
        <v>26</v>
      </c>
      <c r="AL226" t="s">
        <v>1074</v>
      </c>
      <c r="AM226" t="s">
        <v>506</v>
      </c>
      <c r="AN226" t="s">
        <v>1075</v>
      </c>
      <c r="AO226" t="s">
        <v>1076</v>
      </c>
      <c r="AP226" t="s">
        <v>1077</v>
      </c>
      <c r="AQ226" t="s">
        <v>74</v>
      </c>
      <c r="AR226" t="s">
        <v>1078</v>
      </c>
      <c r="AS226" t="s">
        <v>1079</v>
      </c>
      <c r="AT226" t="s">
        <v>99</v>
      </c>
      <c r="AU226">
        <v>2022</v>
      </c>
      <c r="AV226">
        <v>45</v>
      </c>
      <c r="AW226">
        <v>3</v>
      </c>
      <c r="AX226" t="s">
        <v>74</v>
      </c>
      <c r="AY226" t="s">
        <v>74</v>
      </c>
      <c r="AZ226" t="s">
        <v>74</v>
      </c>
      <c r="BA226" t="s">
        <v>74</v>
      </c>
      <c r="BB226">
        <v>405</v>
      </c>
      <c r="BC226">
        <v>418</v>
      </c>
      <c r="BD226" t="s">
        <v>74</v>
      </c>
      <c r="BE226" t="s">
        <v>4838</v>
      </c>
      <c r="BF226" t="str">
        <f>HYPERLINK("http://dx.doi.org/10.1007/s00300-021-02997-z","http://dx.doi.org/10.1007/s00300-021-02997-z")</f>
        <v>http://dx.doi.org/10.1007/s00300-021-02997-z</v>
      </c>
      <c r="BG226" t="s">
        <v>74</v>
      </c>
      <c r="BH226" t="s">
        <v>4536</v>
      </c>
      <c r="BI226">
        <v>14</v>
      </c>
      <c r="BJ226" t="s">
        <v>1081</v>
      </c>
      <c r="BK226" t="s">
        <v>103</v>
      </c>
      <c r="BL226" t="s">
        <v>1082</v>
      </c>
      <c r="BM226" t="s">
        <v>4273</v>
      </c>
      <c r="BN226" t="s">
        <v>74</v>
      </c>
      <c r="BO226" t="s">
        <v>74</v>
      </c>
      <c r="BP226" t="s">
        <v>74</v>
      </c>
      <c r="BQ226" t="s">
        <v>74</v>
      </c>
      <c r="BR226" t="s">
        <v>106</v>
      </c>
      <c r="BS226" t="s">
        <v>4839</v>
      </c>
      <c r="BT226" t="str">
        <f>HYPERLINK("https%3A%2F%2Fwww.webofscience.com%2Fwos%2Fwoscc%2Ffull-record%2FWOS:000750375000001","View Full Record in Web of Science")</f>
        <v>View Full Record in Web of Science</v>
      </c>
    </row>
    <row r="227" spans="1:72" x14ac:dyDescent="0.15">
      <c r="A227" t="s">
        <v>72</v>
      </c>
      <c r="B227" t="s">
        <v>4840</v>
      </c>
      <c r="C227" t="s">
        <v>74</v>
      </c>
      <c r="D227" t="s">
        <v>74</v>
      </c>
      <c r="E227" t="s">
        <v>74</v>
      </c>
      <c r="F227" t="s">
        <v>4841</v>
      </c>
      <c r="G227" t="s">
        <v>74</v>
      </c>
      <c r="H227" t="s">
        <v>74</v>
      </c>
      <c r="I227" t="s">
        <v>4842</v>
      </c>
      <c r="J227" t="s">
        <v>1063</v>
      </c>
      <c r="K227" t="s">
        <v>74</v>
      </c>
      <c r="L227" t="s">
        <v>74</v>
      </c>
      <c r="M227" t="s">
        <v>78</v>
      </c>
      <c r="N227" t="s">
        <v>79</v>
      </c>
      <c r="O227" t="s">
        <v>74</v>
      </c>
      <c r="P227" t="s">
        <v>74</v>
      </c>
      <c r="Q227" t="s">
        <v>74</v>
      </c>
      <c r="R227" t="s">
        <v>74</v>
      </c>
      <c r="S227" t="s">
        <v>74</v>
      </c>
      <c r="T227" t="s">
        <v>4843</v>
      </c>
      <c r="U227" t="s">
        <v>4844</v>
      </c>
      <c r="V227" t="s">
        <v>4845</v>
      </c>
      <c r="W227" t="s">
        <v>4846</v>
      </c>
      <c r="X227" t="s">
        <v>4847</v>
      </c>
      <c r="Y227" t="s">
        <v>4848</v>
      </c>
      <c r="Z227" t="s">
        <v>4849</v>
      </c>
      <c r="AA227" t="s">
        <v>74</v>
      </c>
      <c r="AB227" t="s">
        <v>74</v>
      </c>
      <c r="AC227" t="s">
        <v>4850</v>
      </c>
      <c r="AD227" t="s">
        <v>4850</v>
      </c>
      <c r="AE227" t="s">
        <v>4851</v>
      </c>
      <c r="AF227" t="s">
        <v>74</v>
      </c>
      <c r="AG227">
        <v>15</v>
      </c>
      <c r="AH227">
        <v>1</v>
      </c>
      <c r="AI227">
        <v>1</v>
      </c>
      <c r="AJ227">
        <v>0</v>
      </c>
      <c r="AK227">
        <v>2</v>
      </c>
      <c r="AL227" t="s">
        <v>1074</v>
      </c>
      <c r="AM227" t="s">
        <v>506</v>
      </c>
      <c r="AN227" t="s">
        <v>1075</v>
      </c>
      <c r="AO227" t="s">
        <v>1076</v>
      </c>
      <c r="AP227" t="s">
        <v>1077</v>
      </c>
      <c r="AQ227" t="s">
        <v>74</v>
      </c>
      <c r="AR227" t="s">
        <v>1078</v>
      </c>
      <c r="AS227" t="s">
        <v>1079</v>
      </c>
      <c r="AT227" t="s">
        <v>99</v>
      </c>
      <c r="AU227">
        <v>2022</v>
      </c>
      <c r="AV227">
        <v>45</v>
      </c>
      <c r="AW227">
        <v>3</v>
      </c>
      <c r="AX227" t="s">
        <v>74</v>
      </c>
      <c r="AY227" t="s">
        <v>74</v>
      </c>
      <c r="AZ227" t="s">
        <v>74</v>
      </c>
      <c r="BA227" t="s">
        <v>74</v>
      </c>
      <c r="BB227">
        <v>519</v>
      </c>
      <c r="BC227">
        <v>522</v>
      </c>
      <c r="BD227" t="s">
        <v>74</v>
      </c>
      <c r="BE227" t="s">
        <v>4852</v>
      </c>
      <c r="BF227" t="str">
        <f>HYPERLINK("http://dx.doi.org/10.1007/s00300-021-03000-5","http://dx.doi.org/10.1007/s00300-021-03000-5")</f>
        <v>http://dx.doi.org/10.1007/s00300-021-03000-5</v>
      </c>
      <c r="BG227" t="s">
        <v>74</v>
      </c>
      <c r="BH227" t="s">
        <v>4536</v>
      </c>
      <c r="BI227">
        <v>4</v>
      </c>
      <c r="BJ227" t="s">
        <v>1081</v>
      </c>
      <c r="BK227" t="s">
        <v>103</v>
      </c>
      <c r="BL227" t="s">
        <v>1082</v>
      </c>
      <c r="BM227" t="s">
        <v>4273</v>
      </c>
      <c r="BN227" t="s">
        <v>74</v>
      </c>
      <c r="BO227" t="s">
        <v>74</v>
      </c>
      <c r="BP227" t="s">
        <v>74</v>
      </c>
      <c r="BQ227" t="s">
        <v>74</v>
      </c>
      <c r="BR227" t="s">
        <v>106</v>
      </c>
      <c r="BS227" t="s">
        <v>4853</v>
      </c>
      <c r="BT227" t="str">
        <f>HYPERLINK("https%3A%2F%2Fwww.webofscience.com%2Fwos%2Fwoscc%2Ffull-record%2FWOS:000750375000003","View Full Record in Web of Science")</f>
        <v>View Full Record in Web of Science</v>
      </c>
    </row>
    <row r="228" spans="1:72" x14ac:dyDescent="0.15">
      <c r="A228" t="s">
        <v>72</v>
      </c>
      <c r="B228" t="s">
        <v>4854</v>
      </c>
      <c r="C228" t="s">
        <v>74</v>
      </c>
      <c r="D228" t="s">
        <v>74</v>
      </c>
      <c r="E228" t="s">
        <v>74</v>
      </c>
      <c r="F228" t="s">
        <v>4855</v>
      </c>
      <c r="G228" t="s">
        <v>74</v>
      </c>
      <c r="H228" t="s">
        <v>74</v>
      </c>
      <c r="I228" t="s">
        <v>4856</v>
      </c>
      <c r="J228" t="s">
        <v>4857</v>
      </c>
      <c r="K228" t="s">
        <v>74</v>
      </c>
      <c r="L228" t="s">
        <v>74</v>
      </c>
      <c r="M228" t="s">
        <v>78</v>
      </c>
      <c r="N228" t="s">
        <v>79</v>
      </c>
      <c r="O228" t="s">
        <v>74</v>
      </c>
      <c r="P228" t="s">
        <v>74</v>
      </c>
      <c r="Q228" t="s">
        <v>74</v>
      </c>
      <c r="R228" t="s">
        <v>74</v>
      </c>
      <c r="S228" t="s">
        <v>74</v>
      </c>
      <c r="T228" t="s">
        <v>74</v>
      </c>
      <c r="U228" t="s">
        <v>74</v>
      </c>
      <c r="V228" t="s">
        <v>4858</v>
      </c>
      <c r="W228" t="s">
        <v>4859</v>
      </c>
      <c r="X228" t="s">
        <v>4860</v>
      </c>
      <c r="Y228" t="s">
        <v>4861</v>
      </c>
      <c r="Z228" t="s">
        <v>74</v>
      </c>
      <c r="AA228" t="s">
        <v>4862</v>
      </c>
      <c r="AB228" t="s">
        <v>74</v>
      </c>
      <c r="AC228" t="s">
        <v>74</v>
      </c>
      <c r="AD228" t="s">
        <v>74</v>
      </c>
      <c r="AE228" t="s">
        <v>74</v>
      </c>
      <c r="AF228" t="s">
        <v>74</v>
      </c>
      <c r="AG228">
        <v>34</v>
      </c>
      <c r="AH228">
        <v>0</v>
      </c>
      <c r="AI228">
        <v>0</v>
      </c>
      <c r="AJ228">
        <v>0</v>
      </c>
      <c r="AK228">
        <v>2</v>
      </c>
      <c r="AL228" t="s">
        <v>4863</v>
      </c>
      <c r="AM228" t="s">
        <v>4588</v>
      </c>
      <c r="AN228" t="s">
        <v>4864</v>
      </c>
      <c r="AO228" t="s">
        <v>4865</v>
      </c>
      <c r="AP228" t="s">
        <v>4866</v>
      </c>
      <c r="AQ228" t="s">
        <v>74</v>
      </c>
      <c r="AR228" t="s">
        <v>4867</v>
      </c>
      <c r="AS228" t="s">
        <v>4868</v>
      </c>
      <c r="AT228" t="s">
        <v>4869</v>
      </c>
      <c r="AU228">
        <v>2022</v>
      </c>
      <c r="AV228">
        <v>166</v>
      </c>
      <c r="AW228" t="s">
        <v>4870</v>
      </c>
      <c r="AX228" t="s">
        <v>74</v>
      </c>
      <c r="AY228" t="s">
        <v>74</v>
      </c>
      <c r="AZ228" t="s">
        <v>74</v>
      </c>
      <c r="BA228" t="s">
        <v>74</v>
      </c>
      <c r="BB228">
        <v>64</v>
      </c>
      <c r="BC228">
        <v>72</v>
      </c>
      <c r="BD228" t="s">
        <v>74</v>
      </c>
      <c r="BE228" t="s">
        <v>4871</v>
      </c>
      <c r="BF228" t="str">
        <f>HYPERLINK("http://dx.doi.org/10.1080/03071847.2022.2028576","http://dx.doi.org/10.1080/03071847.2022.2028576")</f>
        <v>http://dx.doi.org/10.1080/03071847.2022.2028576</v>
      </c>
      <c r="BG228" t="s">
        <v>74</v>
      </c>
      <c r="BH228" t="s">
        <v>4536</v>
      </c>
      <c r="BI228">
        <v>9</v>
      </c>
      <c r="BJ228" t="s">
        <v>4872</v>
      </c>
      <c r="BK228" t="s">
        <v>724</v>
      </c>
      <c r="BL228" t="s">
        <v>4873</v>
      </c>
      <c r="BM228" t="s">
        <v>4874</v>
      </c>
      <c r="BN228" t="s">
        <v>74</v>
      </c>
      <c r="BO228" t="s">
        <v>948</v>
      </c>
      <c r="BP228" t="s">
        <v>74</v>
      </c>
      <c r="BQ228" t="s">
        <v>74</v>
      </c>
      <c r="BR228" t="s">
        <v>106</v>
      </c>
      <c r="BS228" t="s">
        <v>4875</v>
      </c>
      <c r="BT228" t="str">
        <f>HYPERLINK("https%3A%2F%2Fwww.webofscience.com%2Fwos%2Fwoscc%2Ffull-record%2FWOS:000750149100001","View Full Record in Web of Science")</f>
        <v>View Full Record in Web of Science</v>
      </c>
    </row>
    <row r="229" spans="1:72" x14ac:dyDescent="0.15">
      <c r="A229" t="s">
        <v>72</v>
      </c>
      <c r="B229" t="s">
        <v>4876</v>
      </c>
      <c r="C229" t="s">
        <v>74</v>
      </c>
      <c r="D229" t="s">
        <v>74</v>
      </c>
      <c r="E229" t="s">
        <v>74</v>
      </c>
      <c r="F229" t="s">
        <v>4877</v>
      </c>
      <c r="G229" t="s">
        <v>74</v>
      </c>
      <c r="H229" t="s">
        <v>74</v>
      </c>
      <c r="I229" t="s">
        <v>4878</v>
      </c>
      <c r="J229" t="s">
        <v>2305</v>
      </c>
      <c r="K229" t="s">
        <v>74</v>
      </c>
      <c r="L229" t="s">
        <v>74</v>
      </c>
      <c r="M229" t="s">
        <v>78</v>
      </c>
      <c r="N229" t="s">
        <v>79</v>
      </c>
      <c r="O229" t="s">
        <v>74</v>
      </c>
      <c r="P229" t="s">
        <v>74</v>
      </c>
      <c r="Q229" t="s">
        <v>74</v>
      </c>
      <c r="R229" t="s">
        <v>74</v>
      </c>
      <c r="S229" t="s">
        <v>74</v>
      </c>
      <c r="T229" t="s">
        <v>74</v>
      </c>
      <c r="U229" t="s">
        <v>4879</v>
      </c>
      <c r="V229" t="s">
        <v>4880</v>
      </c>
      <c r="W229" t="s">
        <v>4881</v>
      </c>
      <c r="X229" t="s">
        <v>4882</v>
      </c>
      <c r="Y229" t="s">
        <v>4883</v>
      </c>
      <c r="Z229" t="s">
        <v>4884</v>
      </c>
      <c r="AA229" t="s">
        <v>4885</v>
      </c>
      <c r="AB229" t="s">
        <v>4886</v>
      </c>
      <c r="AC229" t="s">
        <v>4887</v>
      </c>
      <c r="AD229" t="s">
        <v>4888</v>
      </c>
      <c r="AE229" t="s">
        <v>4889</v>
      </c>
      <c r="AF229" t="s">
        <v>74</v>
      </c>
      <c r="AG229">
        <v>80</v>
      </c>
      <c r="AH229">
        <v>5</v>
      </c>
      <c r="AI229">
        <v>5</v>
      </c>
      <c r="AJ229">
        <v>6</v>
      </c>
      <c r="AK229">
        <v>63</v>
      </c>
      <c r="AL229" t="s">
        <v>337</v>
      </c>
      <c r="AM229" t="s">
        <v>338</v>
      </c>
      <c r="AN229" t="s">
        <v>339</v>
      </c>
      <c r="AO229" t="s">
        <v>74</v>
      </c>
      <c r="AP229" t="s">
        <v>2316</v>
      </c>
      <c r="AQ229" t="s">
        <v>74</v>
      </c>
      <c r="AR229" t="s">
        <v>2317</v>
      </c>
      <c r="AS229" t="s">
        <v>2318</v>
      </c>
      <c r="AT229" t="s">
        <v>4722</v>
      </c>
      <c r="AU229">
        <v>2022</v>
      </c>
      <c r="AV229">
        <v>13</v>
      </c>
      <c r="AW229">
        <v>1</v>
      </c>
      <c r="AX229" t="s">
        <v>74</v>
      </c>
      <c r="AY229" t="s">
        <v>74</v>
      </c>
      <c r="AZ229" t="s">
        <v>74</v>
      </c>
      <c r="BA229" t="s">
        <v>74</v>
      </c>
      <c r="BB229" t="s">
        <v>74</v>
      </c>
      <c r="BC229" t="s">
        <v>74</v>
      </c>
      <c r="BD229">
        <v>566</v>
      </c>
      <c r="BE229" t="s">
        <v>4890</v>
      </c>
      <c r="BF229" t="str">
        <f>HYPERLINK("http://dx.doi.org/10.1038/s41467-022-28264-1","http://dx.doi.org/10.1038/s41467-022-28264-1")</f>
        <v>http://dx.doi.org/10.1038/s41467-022-28264-1</v>
      </c>
      <c r="BG229" t="s">
        <v>74</v>
      </c>
      <c r="BH229" t="s">
        <v>74</v>
      </c>
      <c r="BI229">
        <v>14</v>
      </c>
      <c r="BJ229" t="s">
        <v>289</v>
      </c>
      <c r="BK229" t="s">
        <v>103</v>
      </c>
      <c r="BL229" t="s">
        <v>290</v>
      </c>
      <c r="BM229" t="s">
        <v>4891</v>
      </c>
      <c r="BN229">
        <v>35091565</v>
      </c>
      <c r="BO229" t="s">
        <v>292</v>
      </c>
      <c r="BP229" t="s">
        <v>74</v>
      </c>
      <c r="BQ229" t="s">
        <v>74</v>
      </c>
      <c r="BR229" t="s">
        <v>106</v>
      </c>
      <c r="BS229" t="s">
        <v>4892</v>
      </c>
      <c r="BT229" t="str">
        <f>HYPERLINK("https%3A%2F%2Fwww.webofscience.com%2Fwos%2Fwoscc%2Ffull-record%2FWOS:000749314100001","View Full Record in Web of Science")</f>
        <v>View Full Record in Web of Science</v>
      </c>
    </row>
    <row r="230" spans="1:72" x14ac:dyDescent="0.15">
      <c r="A230" t="s">
        <v>72</v>
      </c>
      <c r="B230" t="s">
        <v>4893</v>
      </c>
      <c r="C230" t="s">
        <v>74</v>
      </c>
      <c r="D230" t="s">
        <v>74</v>
      </c>
      <c r="E230" t="s">
        <v>74</v>
      </c>
      <c r="F230" t="s">
        <v>4894</v>
      </c>
      <c r="G230" t="s">
        <v>74</v>
      </c>
      <c r="H230" t="s">
        <v>74</v>
      </c>
      <c r="I230" t="s">
        <v>4895</v>
      </c>
      <c r="J230" t="s">
        <v>4896</v>
      </c>
      <c r="K230" t="s">
        <v>74</v>
      </c>
      <c r="L230" t="s">
        <v>74</v>
      </c>
      <c r="M230" t="s">
        <v>78</v>
      </c>
      <c r="N230" t="s">
        <v>79</v>
      </c>
      <c r="O230" t="s">
        <v>74</v>
      </c>
      <c r="P230" t="s">
        <v>74</v>
      </c>
      <c r="Q230" t="s">
        <v>74</v>
      </c>
      <c r="R230" t="s">
        <v>74</v>
      </c>
      <c r="S230" t="s">
        <v>74</v>
      </c>
      <c r="T230" t="s">
        <v>4897</v>
      </c>
      <c r="U230" t="s">
        <v>4898</v>
      </c>
      <c r="V230" t="s">
        <v>4899</v>
      </c>
      <c r="W230" t="s">
        <v>4900</v>
      </c>
      <c r="X230" t="s">
        <v>4901</v>
      </c>
      <c r="Y230" t="s">
        <v>4902</v>
      </c>
      <c r="Z230" t="s">
        <v>4903</v>
      </c>
      <c r="AA230" t="s">
        <v>74</v>
      </c>
      <c r="AB230" t="s">
        <v>4904</v>
      </c>
      <c r="AC230" t="s">
        <v>4905</v>
      </c>
      <c r="AD230" t="s">
        <v>4906</v>
      </c>
      <c r="AE230" t="s">
        <v>4907</v>
      </c>
      <c r="AF230" t="s">
        <v>74</v>
      </c>
      <c r="AG230">
        <v>146</v>
      </c>
      <c r="AH230">
        <v>4</v>
      </c>
      <c r="AI230">
        <v>5</v>
      </c>
      <c r="AJ230">
        <v>1</v>
      </c>
      <c r="AK230">
        <v>5</v>
      </c>
      <c r="AL230" t="s">
        <v>4908</v>
      </c>
      <c r="AM230" t="s">
        <v>436</v>
      </c>
      <c r="AN230" t="s">
        <v>4909</v>
      </c>
      <c r="AO230" t="s">
        <v>74</v>
      </c>
      <c r="AP230" t="s">
        <v>4910</v>
      </c>
      <c r="AQ230" t="s">
        <v>74</v>
      </c>
      <c r="AR230" t="s">
        <v>4911</v>
      </c>
      <c r="AS230" t="s">
        <v>4912</v>
      </c>
      <c r="AT230" t="s">
        <v>4722</v>
      </c>
      <c r="AU230">
        <v>2022</v>
      </c>
      <c r="AV230">
        <v>20</v>
      </c>
      <c r="AW230">
        <v>1</v>
      </c>
      <c r="AX230" t="s">
        <v>74</v>
      </c>
      <c r="AY230" t="s">
        <v>74</v>
      </c>
      <c r="AZ230" t="s">
        <v>74</v>
      </c>
      <c r="BA230" t="s">
        <v>74</v>
      </c>
      <c r="BB230" t="s">
        <v>74</v>
      </c>
      <c r="BC230" t="s">
        <v>74</v>
      </c>
      <c r="BD230">
        <v>27</v>
      </c>
      <c r="BE230" t="s">
        <v>4913</v>
      </c>
      <c r="BF230" t="str">
        <f>HYPERLINK("http://dx.doi.org/10.1186/s12915-021-01212-z","http://dx.doi.org/10.1186/s12915-021-01212-z")</f>
        <v>http://dx.doi.org/10.1186/s12915-021-01212-z</v>
      </c>
      <c r="BG230" t="s">
        <v>74</v>
      </c>
      <c r="BH230" t="s">
        <v>74</v>
      </c>
      <c r="BI230">
        <v>33</v>
      </c>
      <c r="BJ230" t="s">
        <v>1177</v>
      </c>
      <c r="BK230" t="s">
        <v>103</v>
      </c>
      <c r="BL230" t="s">
        <v>1178</v>
      </c>
      <c r="BM230" t="s">
        <v>4914</v>
      </c>
      <c r="BN230">
        <v>35086529</v>
      </c>
      <c r="BO230" t="s">
        <v>211</v>
      </c>
      <c r="BP230" t="s">
        <v>74</v>
      </c>
      <c r="BQ230" t="s">
        <v>74</v>
      </c>
      <c r="BR230" t="s">
        <v>106</v>
      </c>
      <c r="BS230" t="s">
        <v>4915</v>
      </c>
      <c r="BT230" t="str">
        <f>HYPERLINK("https%3A%2F%2Fwww.webofscience.com%2Fwos%2Fwoscc%2Ffull-record%2FWOS:000749248300002","View Full Record in Web of Science")</f>
        <v>View Full Record in Web of Science</v>
      </c>
    </row>
    <row r="231" spans="1:72" x14ac:dyDescent="0.15">
      <c r="A231" t="s">
        <v>72</v>
      </c>
      <c r="B231" t="s">
        <v>4916</v>
      </c>
      <c r="C231" t="s">
        <v>74</v>
      </c>
      <c r="D231" t="s">
        <v>74</v>
      </c>
      <c r="E231" t="s">
        <v>74</v>
      </c>
      <c r="F231" t="s">
        <v>4917</v>
      </c>
      <c r="G231" t="s">
        <v>74</v>
      </c>
      <c r="H231" t="s">
        <v>74</v>
      </c>
      <c r="I231" t="s">
        <v>4918</v>
      </c>
      <c r="J231" t="s">
        <v>1985</v>
      </c>
      <c r="K231" t="s">
        <v>74</v>
      </c>
      <c r="L231" t="s">
        <v>74</v>
      </c>
      <c r="M231" t="s">
        <v>78</v>
      </c>
      <c r="N231" t="s">
        <v>79</v>
      </c>
      <c r="O231" t="s">
        <v>74</v>
      </c>
      <c r="P231" t="s">
        <v>74</v>
      </c>
      <c r="Q231" t="s">
        <v>74</v>
      </c>
      <c r="R231" t="s">
        <v>74</v>
      </c>
      <c r="S231" t="s">
        <v>74</v>
      </c>
      <c r="T231" t="s">
        <v>74</v>
      </c>
      <c r="U231" t="s">
        <v>4919</v>
      </c>
      <c r="V231" t="s">
        <v>4920</v>
      </c>
      <c r="W231" t="s">
        <v>4921</v>
      </c>
      <c r="X231" t="s">
        <v>4922</v>
      </c>
      <c r="Y231" t="s">
        <v>4923</v>
      </c>
      <c r="Z231" t="s">
        <v>4924</v>
      </c>
      <c r="AA231" t="s">
        <v>4925</v>
      </c>
      <c r="AB231" t="s">
        <v>4926</v>
      </c>
      <c r="AC231" t="s">
        <v>4927</v>
      </c>
      <c r="AD231" t="s">
        <v>4928</v>
      </c>
      <c r="AE231" t="s">
        <v>4929</v>
      </c>
      <c r="AF231" t="s">
        <v>74</v>
      </c>
      <c r="AG231">
        <v>44</v>
      </c>
      <c r="AH231">
        <v>7</v>
      </c>
      <c r="AI231">
        <v>7</v>
      </c>
      <c r="AJ231">
        <v>0</v>
      </c>
      <c r="AK231">
        <v>2</v>
      </c>
      <c r="AL231" t="s">
        <v>1996</v>
      </c>
      <c r="AM231" t="s">
        <v>1997</v>
      </c>
      <c r="AN231" t="s">
        <v>1998</v>
      </c>
      <c r="AO231" t="s">
        <v>1999</v>
      </c>
      <c r="AP231" t="s">
        <v>2000</v>
      </c>
      <c r="AQ231" t="s">
        <v>74</v>
      </c>
      <c r="AR231" t="s">
        <v>2001</v>
      </c>
      <c r="AS231" t="s">
        <v>2002</v>
      </c>
      <c r="AT231" t="s">
        <v>4722</v>
      </c>
      <c r="AU231">
        <v>2022</v>
      </c>
      <c r="AV231">
        <v>105</v>
      </c>
      <c r="AW231">
        <v>2</v>
      </c>
      <c r="AX231" t="s">
        <v>74</v>
      </c>
      <c r="AY231" t="s">
        <v>74</v>
      </c>
      <c r="AZ231" t="s">
        <v>74</v>
      </c>
      <c r="BA231" t="s">
        <v>74</v>
      </c>
      <c r="BB231" t="s">
        <v>74</v>
      </c>
      <c r="BC231" t="s">
        <v>74</v>
      </c>
      <c r="BD231">
        <v>22006</v>
      </c>
      <c r="BE231" t="s">
        <v>4930</v>
      </c>
      <c r="BF231" t="str">
        <f>HYPERLINK("http://dx.doi.org/10.1103/PhysRevD.105.022006","http://dx.doi.org/10.1103/PhysRevD.105.022006")</f>
        <v>http://dx.doi.org/10.1103/PhysRevD.105.022006</v>
      </c>
      <c r="BG231" t="s">
        <v>74</v>
      </c>
      <c r="BH231" t="s">
        <v>74</v>
      </c>
      <c r="BI231">
        <v>12</v>
      </c>
      <c r="BJ231" t="s">
        <v>2004</v>
      </c>
      <c r="BK231" t="s">
        <v>103</v>
      </c>
      <c r="BL231" t="s">
        <v>2005</v>
      </c>
      <c r="BM231" t="s">
        <v>4931</v>
      </c>
      <c r="BN231" t="s">
        <v>74</v>
      </c>
      <c r="BO231" t="s">
        <v>4932</v>
      </c>
      <c r="BP231" t="s">
        <v>74</v>
      </c>
      <c r="BQ231" t="s">
        <v>74</v>
      </c>
      <c r="BR231" t="s">
        <v>106</v>
      </c>
      <c r="BS231" t="s">
        <v>4933</v>
      </c>
      <c r="BT231" t="str">
        <f>HYPERLINK("https%3A%2F%2Fwww.webofscience.com%2Fwos%2Fwoscc%2Ffull-record%2FWOS:000749582300001","View Full Record in Web of Science")</f>
        <v>View Full Record in Web of Science</v>
      </c>
    </row>
    <row r="232" spans="1:72" x14ac:dyDescent="0.15">
      <c r="A232" t="s">
        <v>72</v>
      </c>
      <c r="B232" t="s">
        <v>4934</v>
      </c>
      <c r="C232" t="s">
        <v>74</v>
      </c>
      <c r="D232" t="s">
        <v>74</v>
      </c>
      <c r="E232" t="s">
        <v>74</v>
      </c>
      <c r="F232" t="s">
        <v>4935</v>
      </c>
      <c r="G232" t="s">
        <v>74</v>
      </c>
      <c r="H232" t="s">
        <v>74</v>
      </c>
      <c r="I232" t="s">
        <v>4936</v>
      </c>
      <c r="J232" t="s">
        <v>730</v>
      </c>
      <c r="K232" t="s">
        <v>74</v>
      </c>
      <c r="L232" t="s">
        <v>74</v>
      </c>
      <c r="M232" t="s">
        <v>78</v>
      </c>
      <c r="N232" t="s">
        <v>79</v>
      </c>
      <c r="O232" t="s">
        <v>74</v>
      </c>
      <c r="P232" t="s">
        <v>74</v>
      </c>
      <c r="Q232" t="s">
        <v>74</v>
      </c>
      <c r="R232" t="s">
        <v>74</v>
      </c>
      <c r="S232" t="s">
        <v>74</v>
      </c>
      <c r="T232" t="s">
        <v>74</v>
      </c>
      <c r="U232" t="s">
        <v>4937</v>
      </c>
      <c r="V232" t="s">
        <v>4938</v>
      </c>
      <c r="W232" t="s">
        <v>4939</v>
      </c>
      <c r="X232" t="s">
        <v>4940</v>
      </c>
      <c r="Y232" t="s">
        <v>4941</v>
      </c>
      <c r="Z232" t="s">
        <v>4942</v>
      </c>
      <c r="AA232" t="s">
        <v>4943</v>
      </c>
      <c r="AB232" t="s">
        <v>4944</v>
      </c>
      <c r="AC232" t="s">
        <v>4945</v>
      </c>
      <c r="AD232" t="s">
        <v>4946</v>
      </c>
      <c r="AE232" t="s">
        <v>4947</v>
      </c>
      <c r="AF232" t="s">
        <v>74</v>
      </c>
      <c r="AG232">
        <v>74</v>
      </c>
      <c r="AH232">
        <v>2</v>
      </c>
      <c r="AI232">
        <v>2</v>
      </c>
      <c r="AJ232">
        <v>2</v>
      </c>
      <c r="AK232">
        <v>20</v>
      </c>
      <c r="AL232" t="s">
        <v>171</v>
      </c>
      <c r="AM232" t="s">
        <v>172</v>
      </c>
      <c r="AN232" t="s">
        <v>173</v>
      </c>
      <c r="AO232" t="s">
        <v>742</v>
      </c>
      <c r="AP232" t="s">
        <v>743</v>
      </c>
      <c r="AQ232" t="s">
        <v>74</v>
      </c>
      <c r="AR232" t="s">
        <v>744</v>
      </c>
      <c r="AS232" t="s">
        <v>745</v>
      </c>
      <c r="AT232" t="s">
        <v>4533</v>
      </c>
      <c r="AU232">
        <v>2022</v>
      </c>
      <c r="AV232">
        <v>24</v>
      </c>
      <c r="AW232">
        <v>8</v>
      </c>
      <c r="AX232" t="s">
        <v>74</v>
      </c>
      <c r="AY232" t="s">
        <v>74</v>
      </c>
      <c r="AZ232" t="s">
        <v>74</v>
      </c>
      <c r="BA232" t="s">
        <v>74</v>
      </c>
      <c r="BB232">
        <v>3486</v>
      </c>
      <c r="BC232">
        <v>3499</v>
      </c>
      <c r="BD232" t="s">
        <v>74</v>
      </c>
      <c r="BE232" t="s">
        <v>4948</v>
      </c>
      <c r="BF232" t="str">
        <f>HYPERLINK("http://dx.doi.org/10.1111/1462-2920.15912","http://dx.doi.org/10.1111/1462-2920.15912")</f>
        <v>http://dx.doi.org/10.1111/1462-2920.15912</v>
      </c>
      <c r="BG232" t="s">
        <v>74</v>
      </c>
      <c r="BH232" t="s">
        <v>4536</v>
      </c>
      <c r="BI232">
        <v>14</v>
      </c>
      <c r="BJ232" t="s">
        <v>747</v>
      </c>
      <c r="BK232" t="s">
        <v>103</v>
      </c>
      <c r="BL232" t="s">
        <v>747</v>
      </c>
      <c r="BM232" t="s">
        <v>4949</v>
      </c>
      <c r="BN232">
        <v>35049116</v>
      </c>
      <c r="BO232" t="s">
        <v>4950</v>
      </c>
      <c r="BP232" t="s">
        <v>74</v>
      </c>
      <c r="BQ232" t="s">
        <v>74</v>
      </c>
      <c r="BR232" t="s">
        <v>106</v>
      </c>
      <c r="BS232" t="s">
        <v>4951</v>
      </c>
      <c r="BT232" t="str">
        <f>HYPERLINK("https%3A%2F%2Fwww.webofscience.com%2Fwos%2Fwoscc%2Ffull-record%2FWOS:000748113600001","View Full Record in Web of Science")</f>
        <v>View Full Record in Web of Science</v>
      </c>
    </row>
    <row r="233" spans="1:72" x14ac:dyDescent="0.15">
      <c r="A233" t="s">
        <v>72</v>
      </c>
      <c r="B233" t="s">
        <v>4952</v>
      </c>
      <c r="C233" t="s">
        <v>74</v>
      </c>
      <c r="D233" t="s">
        <v>74</v>
      </c>
      <c r="E233" t="s">
        <v>74</v>
      </c>
      <c r="F233" t="s">
        <v>4953</v>
      </c>
      <c r="G233" t="s">
        <v>74</v>
      </c>
      <c r="H233" t="s">
        <v>74</v>
      </c>
      <c r="I233" t="s">
        <v>4954</v>
      </c>
      <c r="J233" t="s">
        <v>4955</v>
      </c>
      <c r="K233" t="s">
        <v>74</v>
      </c>
      <c r="L233" t="s">
        <v>74</v>
      </c>
      <c r="M233" t="s">
        <v>78</v>
      </c>
      <c r="N233" t="s">
        <v>79</v>
      </c>
      <c r="O233" t="s">
        <v>74</v>
      </c>
      <c r="P233" t="s">
        <v>74</v>
      </c>
      <c r="Q233" t="s">
        <v>74</v>
      </c>
      <c r="R233" t="s">
        <v>74</v>
      </c>
      <c r="S233" t="s">
        <v>74</v>
      </c>
      <c r="T233" t="s">
        <v>74</v>
      </c>
      <c r="U233" t="s">
        <v>4956</v>
      </c>
      <c r="V233" t="s">
        <v>4957</v>
      </c>
      <c r="W233" t="s">
        <v>4958</v>
      </c>
      <c r="X233" t="s">
        <v>4959</v>
      </c>
      <c r="Y233" t="s">
        <v>4960</v>
      </c>
      <c r="Z233" t="s">
        <v>4961</v>
      </c>
      <c r="AA233" t="s">
        <v>4962</v>
      </c>
      <c r="AB233" t="s">
        <v>4963</v>
      </c>
      <c r="AC233" t="s">
        <v>4964</v>
      </c>
      <c r="AD233" t="s">
        <v>4965</v>
      </c>
      <c r="AE233" t="s">
        <v>4966</v>
      </c>
      <c r="AF233" t="s">
        <v>74</v>
      </c>
      <c r="AG233">
        <v>83</v>
      </c>
      <c r="AH233">
        <v>2</v>
      </c>
      <c r="AI233">
        <v>2</v>
      </c>
      <c r="AJ233">
        <v>0</v>
      </c>
      <c r="AK233">
        <v>0</v>
      </c>
      <c r="AL233" t="s">
        <v>120</v>
      </c>
      <c r="AM233" t="s">
        <v>121</v>
      </c>
      <c r="AN233" t="s">
        <v>122</v>
      </c>
      <c r="AO233" t="s">
        <v>74</v>
      </c>
      <c r="AP233" t="s">
        <v>4967</v>
      </c>
      <c r="AQ233" t="s">
        <v>74</v>
      </c>
      <c r="AR233" t="s">
        <v>4955</v>
      </c>
      <c r="AS233" t="s">
        <v>4968</v>
      </c>
      <c r="AT233" t="s">
        <v>4722</v>
      </c>
      <c r="AU233">
        <v>2022</v>
      </c>
      <c r="AV233">
        <v>4</v>
      </c>
      <c r="AW233">
        <v>1</v>
      </c>
      <c r="AX233" t="s">
        <v>74</v>
      </c>
      <c r="AY233" t="s">
        <v>74</v>
      </c>
      <c r="AZ233" t="s">
        <v>74</v>
      </c>
      <c r="BA233" t="s">
        <v>74</v>
      </c>
      <c r="BB233">
        <v>87</v>
      </c>
      <c r="BC233">
        <v>107</v>
      </c>
      <c r="BD233" t="s">
        <v>74</v>
      </c>
      <c r="BE233" t="s">
        <v>4969</v>
      </c>
      <c r="BF233" t="str">
        <f>HYPERLINK("http://dx.doi.org/10.5194/gchron-4-87-2022","http://dx.doi.org/10.5194/gchron-4-87-2022")</f>
        <v>http://dx.doi.org/10.5194/gchron-4-87-2022</v>
      </c>
      <c r="BG233" t="s">
        <v>74</v>
      </c>
      <c r="BH233" t="s">
        <v>74</v>
      </c>
      <c r="BI233">
        <v>21</v>
      </c>
      <c r="BJ233" t="s">
        <v>4970</v>
      </c>
      <c r="BK233" t="s">
        <v>724</v>
      </c>
      <c r="BL233" t="s">
        <v>4239</v>
      </c>
      <c r="BM233" t="s">
        <v>4971</v>
      </c>
      <c r="BN233" t="s">
        <v>74</v>
      </c>
      <c r="BO233" t="s">
        <v>154</v>
      </c>
      <c r="BP233" t="s">
        <v>74</v>
      </c>
      <c r="BQ233" t="s">
        <v>74</v>
      </c>
      <c r="BR233" t="s">
        <v>106</v>
      </c>
      <c r="BS233" t="s">
        <v>4972</v>
      </c>
      <c r="BT233" t="str">
        <f>HYPERLINK("https%3A%2F%2Fwww.webofscience.com%2Fwos%2Fwoscc%2Ffull-record%2FWOS:001162354500001","View Full Record in Web of Science")</f>
        <v>View Full Record in Web of Science</v>
      </c>
    </row>
    <row r="234" spans="1:72" x14ac:dyDescent="0.15">
      <c r="A234" t="s">
        <v>72</v>
      </c>
      <c r="B234" t="s">
        <v>4973</v>
      </c>
      <c r="C234" t="s">
        <v>74</v>
      </c>
      <c r="D234" t="s">
        <v>74</v>
      </c>
      <c r="E234" t="s">
        <v>74</v>
      </c>
      <c r="F234" t="s">
        <v>4974</v>
      </c>
      <c r="G234" t="s">
        <v>74</v>
      </c>
      <c r="H234" t="s">
        <v>74</v>
      </c>
      <c r="I234" t="s">
        <v>4975</v>
      </c>
      <c r="J234" t="s">
        <v>4976</v>
      </c>
      <c r="K234" t="s">
        <v>74</v>
      </c>
      <c r="L234" t="s">
        <v>74</v>
      </c>
      <c r="M234" t="s">
        <v>78</v>
      </c>
      <c r="N234" t="s">
        <v>79</v>
      </c>
      <c r="O234" t="s">
        <v>74</v>
      </c>
      <c r="P234" t="s">
        <v>74</v>
      </c>
      <c r="Q234" t="s">
        <v>74</v>
      </c>
      <c r="R234" t="s">
        <v>74</v>
      </c>
      <c r="S234" t="s">
        <v>74</v>
      </c>
      <c r="T234" t="s">
        <v>4977</v>
      </c>
      <c r="U234" t="s">
        <v>4978</v>
      </c>
      <c r="V234" t="s">
        <v>4979</v>
      </c>
      <c r="W234" t="s">
        <v>4980</v>
      </c>
      <c r="X234" t="s">
        <v>4981</v>
      </c>
      <c r="Y234" t="s">
        <v>4982</v>
      </c>
      <c r="Z234" t="s">
        <v>4983</v>
      </c>
      <c r="AA234" t="s">
        <v>4984</v>
      </c>
      <c r="AB234" t="s">
        <v>4985</v>
      </c>
      <c r="AC234" t="s">
        <v>74</v>
      </c>
      <c r="AD234" t="s">
        <v>74</v>
      </c>
      <c r="AE234" t="s">
        <v>74</v>
      </c>
      <c r="AF234" t="s">
        <v>74</v>
      </c>
      <c r="AG234">
        <v>136</v>
      </c>
      <c r="AH234">
        <v>8</v>
      </c>
      <c r="AI234">
        <v>8</v>
      </c>
      <c r="AJ234">
        <v>2</v>
      </c>
      <c r="AK234">
        <v>36</v>
      </c>
      <c r="AL234" t="s">
        <v>363</v>
      </c>
      <c r="AM234" t="s">
        <v>364</v>
      </c>
      <c r="AN234" t="s">
        <v>365</v>
      </c>
      <c r="AO234" t="s">
        <v>74</v>
      </c>
      <c r="AP234" t="s">
        <v>4986</v>
      </c>
      <c r="AQ234" t="s">
        <v>74</v>
      </c>
      <c r="AR234" t="s">
        <v>4987</v>
      </c>
      <c r="AS234" t="s">
        <v>4988</v>
      </c>
      <c r="AT234" t="s">
        <v>4989</v>
      </c>
      <c r="AU234">
        <v>2022</v>
      </c>
      <c r="AV234">
        <v>13</v>
      </c>
      <c r="AW234" t="s">
        <v>74</v>
      </c>
      <c r="AX234" t="s">
        <v>74</v>
      </c>
      <c r="AY234" t="s">
        <v>74</v>
      </c>
      <c r="AZ234" t="s">
        <v>74</v>
      </c>
      <c r="BA234" t="s">
        <v>74</v>
      </c>
      <c r="BB234" t="s">
        <v>74</v>
      </c>
      <c r="BC234" t="s">
        <v>74</v>
      </c>
      <c r="BD234">
        <v>722900</v>
      </c>
      <c r="BE234" t="s">
        <v>4990</v>
      </c>
      <c r="BF234" t="str">
        <f>HYPERLINK("http://dx.doi.org/10.3389/fmicb.2022.722900","http://dx.doi.org/10.3389/fmicb.2022.722900")</f>
        <v>http://dx.doi.org/10.3389/fmicb.2022.722900</v>
      </c>
      <c r="BG234" t="s">
        <v>74</v>
      </c>
      <c r="BH234" t="s">
        <v>74</v>
      </c>
      <c r="BI234">
        <v>21</v>
      </c>
      <c r="BJ234" t="s">
        <v>747</v>
      </c>
      <c r="BK234" t="s">
        <v>103</v>
      </c>
      <c r="BL234" t="s">
        <v>747</v>
      </c>
      <c r="BM234" t="s">
        <v>4991</v>
      </c>
      <c r="BN234">
        <v>35154048</v>
      </c>
      <c r="BO234" t="s">
        <v>4992</v>
      </c>
      <c r="BP234" t="s">
        <v>74</v>
      </c>
      <c r="BQ234" t="s">
        <v>74</v>
      </c>
      <c r="BR234" t="s">
        <v>106</v>
      </c>
      <c r="BS234" t="s">
        <v>4993</v>
      </c>
      <c r="BT234" t="str">
        <f>HYPERLINK("https%3A%2F%2Fwww.webofscience.com%2Fwos%2Fwoscc%2Ffull-record%2FWOS:000753189400001","View Full Record in Web of Science")</f>
        <v>View Full Record in Web of Science</v>
      </c>
    </row>
    <row r="235" spans="1:72" x14ac:dyDescent="0.15">
      <c r="A235" t="s">
        <v>72</v>
      </c>
      <c r="B235" t="s">
        <v>4994</v>
      </c>
      <c r="C235" t="s">
        <v>74</v>
      </c>
      <c r="D235" t="s">
        <v>74</v>
      </c>
      <c r="E235" t="s">
        <v>74</v>
      </c>
      <c r="F235" t="s">
        <v>4995</v>
      </c>
      <c r="G235" t="s">
        <v>74</v>
      </c>
      <c r="H235" t="s">
        <v>74</v>
      </c>
      <c r="I235" t="s">
        <v>4996</v>
      </c>
      <c r="J235" t="s">
        <v>351</v>
      </c>
      <c r="K235" t="s">
        <v>74</v>
      </c>
      <c r="L235" t="s">
        <v>74</v>
      </c>
      <c r="M235" t="s">
        <v>78</v>
      </c>
      <c r="N235" t="s">
        <v>79</v>
      </c>
      <c r="O235" t="s">
        <v>74</v>
      </c>
      <c r="P235" t="s">
        <v>74</v>
      </c>
      <c r="Q235" t="s">
        <v>74</v>
      </c>
      <c r="R235" t="s">
        <v>74</v>
      </c>
      <c r="S235" t="s">
        <v>74</v>
      </c>
      <c r="T235" t="s">
        <v>4997</v>
      </c>
      <c r="U235" t="s">
        <v>4998</v>
      </c>
      <c r="V235" t="s">
        <v>4999</v>
      </c>
      <c r="W235" t="s">
        <v>5000</v>
      </c>
      <c r="X235" t="s">
        <v>5001</v>
      </c>
      <c r="Y235" t="s">
        <v>5002</v>
      </c>
      <c r="Z235" t="s">
        <v>5003</v>
      </c>
      <c r="AA235" t="s">
        <v>5004</v>
      </c>
      <c r="AB235" t="s">
        <v>5005</v>
      </c>
      <c r="AC235" t="s">
        <v>74</v>
      </c>
      <c r="AD235" t="s">
        <v>74</v>
      </c>
      <c r="AE235" t="s">
        <v>74</v>
      </c>
      <c r="AF235" t="s">
        <v>74</v>
      </c>
      <c r="AG235">
        <v>75</v>
      </c>
      <c r="AH235">
        <v>1</v>
      </c>
      <c r="AI235">
        <v>1</v>
      </c>
      <c r="AJ235">
        <v>0</v>
      </c>
      <c r="AK235">
        <v>8</v>
      </c>
      <c r="AL235" t="s">
        <v>363</v>
      </c>
      <c r="AM235" t="s">
        <v>364</v>
      </c>
      <c r="AN235" t="s">
        <v>365</v>
      </c>
      <c r="AO235" t="s">
        <v>74</v>
      </c>
      <c r="AP235" t="s">
        <v>366</v>
      </c>
      <c r="AQ235" t="s">
        <v>74</v>
      </c>
      <c r="AR235" t="s">
        <v>367</v>
      </c>
      <c r="AS235" t="s">
        <v>368</v>
      </c>
      <c r="AT235" t="s">
        <v>4989</v>
      </c>
      <c r="AU235">
        <v>2022</v>
      </c>
      <c r="AV235">
        <v>8</v>
      </c>
      <c r="AW235" t="s">
        <v>74</v>
      </c>
      <c r="AX235" t="s">
        <v>74</v>
      </c>
      <c r="AY235" t="s">
        <v>74</v>
      </c>
      <c r="AZ235" t="s">
        <v>74</v>
      </c>
      <c r="BA235" t="s">
        <v>74</v>
      </c>
      <c r="BB235" t="s">
        <v>74</v>
      </c>
      <c r="BC235" t="s">
        <v>74</v>
      </c>
      <c r="BD235">
        <v>782524</v>
      </c>
      <c r="BE235" t="s">
        <v>5006</v>
      </c>
      <c r="BF235" t="str">
        <f>HYPERLINK("http://dx.doi.org/10.3389/fmars.2021.782524","http://dx.doi.org/10.3389/fmars.2021.782524")</f>
        <v>http://dx.doi.org/10.3389/fmars.2021.782524</v>
      </c>
      <c r="BG235" t="s">
        <v>74</v>
      </c>
      <c r="BH235" t="s">
        <v>74</v>
      </c>
      <c r="BI235">
        <v>16</v>
      </c>
      <c r="BJ235" t="s">
        <v>102</v>
      </c>
      <c r="BK235" t="s">
        <v>103</v>
      </c>
      <c r="BL235" t="s">
        <v>104</v>
      </c>
      <c r="BM235" t="s">
        <v>5007</v>
      </c>
      <c r="BN235" t="s">
        <v>74</v>
      </c>
      <c r="BO235" t="s">
        <v>292</v>
      </c>
      <c r="BP235" t="s">
        <v>74</v>
      </c>
      <c r="BQ235" t="s">
        <v>74</v>
      </c>
      <c r="BR235" t="s">
        <v>106</v>
      </c>
      <c r="BS235" t="s">
        <v>5008</v>
      </c>
      <c r="BT235" t="str">
        <f>HYPERLINK("https%3A%2F%2Fwww.webofscience.com%2Fwos%2Fwoscc%2Ffull-record%2FWOS:000753166700001","View Full Record in Web of Science")</f>
        <v>View Full Record in Web of Science</v>
      </c>
    </row>
    <row r="236" spans="1:72" x14ac:dyDescent="0.15">
      <c r="A236" t="s">
        <v>72</v>
      </c>
      <c r="B236" t="s">
        <v>5009</v>
      </c>
      <c r="C236" t="s">
        <v>74</v>
      </c>
      <c r="D236" t="s">
        <v>74</v>
      </c>
      <c r="E236" t="s">
        <v>74</v>
      </c>
      <c r="F236" t="s">
        <v>5010</v>
      </c>
      <c r="G236" t="s">
        <v>74</v>
      </c>
      <c r="H236" t="s">
        <v>74</v>
      </c>
      <c r="I236" t="s">
        <v>5011</v>
      </c>
      <c r="J236" t="s">
        <v>1184</v>
      </c>
      <c r="K236" t="s">
        <v>74</v>
      </c>
      <c r="L236" t="s">
        <v>74</v>
      </c>
      <c r="M236" t="s">
        <v>78</v>
      </c>
      <c r="N236" t="s">
        <v>79</v>
      </c>
      <c r="O236" t="s">
        <v>74</v>
      </c>
      <c r="P236" t="s">
        <v>74</v>
      </c>
      <c r="Q236" t="s">
        <v>74</v>
      </c>
      <c r="R236" t="s">
        <v>74</v>
      </c>
      <c r="S236" t="s">
        <v>74</v>
      </c>
      <c r="T236" t="s">
        <v>74</v>
      </c>
      <c r="U236" t="s">
        <v>5012</v>
      </c>
      <c r="V236" t="s">
        <v>5013</v>
      </c>
      <c r="W236" t="s">
        <v>5014</v>
      </c>
      <c r="X236" t="s">
        <v>5015</v>
      </c>
      <c r="Y236" t="s">
        <v>5016</v>
      </c>
      <c r="Z236" t="s">
        <v>5017</v>
      </c>
      <c r="AA236" t="s">
        <v>5018</v>
      </c>
      <c r="AB236" t="s">
        <v>5019</v>
      </c>
      <c r="AC236" t="s">
        <v>5020</v>
      </c>
      <c r="AD236" t="s">
        <v>5021</v>
      </c>
      <c r="AE236" t="s">
        <v>5022</v>
      </c>
      <c r="AF236" t="s">
        <v>74</v>
      </c>
      <c r="AG236">
        <v>132</v>
      </c>
      <c r="AH236">
        <v>2</v>
      </c>
      <c r="AI236">
        <v>4</v>
      </c>
      <c r="AJ236">
        <v>4</v>
      </c>
      <c r="AK236">
        <v>21</v>
      </c>
      <c r="AL236" t="s">
        <v>120</v>
      </c>
      <c r="AM236" t="s">
        <v>121</v>
      </c>
      <c r="AN236" t="s">
        <v>122</v>
      </c>
      <c r="AO236" t="s">
        <v>1196</v>
      </c>
      <c r="AP236" t="s">
        <v>1197</v>
      </c>
      <c r="AQ236" t="s">
        <v>74</v>
      </c>
      <c r="AR236" t="s">
        <v>1198</v>
      </c>
      <c r="AS236" t="s">
        <v>1199</v>
      </c>
      <c r="AT236" t="s">
        <v>4989</v>
      </c>
      <c r="AU236">
        <v>2022</v>
      </c>
      <c r="AV236">
        <v>18</v>
      </c>
      <c r="AW236">
        <v>1</v>
      </c>
      <c r="AX236" t="s">
        <v>74</v>
      </c>
      <c r="AY236" t="s">
        <v>74</v>
      </c>
      <c r="AZ236" t="s">
        <v>74</v>
      </c>
      <c r="BA236" t="s">
        <v>74</v>
      </c>
      <c r="BB236">
        <v>147</v>
      </c>
      <c r="BC236">
        <v>166</v>
      </c>
      <c r="BD236" t="s">
        <v>74</v>
      </c>
      <c r="BE236" t="s">
        <v>5023</v>
      </c>
      <c r="BF236" t="str">
        <f>HYPERLINK("http://dx.doi.org/10.5194/cp-18-147-2022","http://dx.doi.org/10.5194/cp-18-147-2022")</f>
        <v>http://dx.doi.org/10.5194/cp-18-147-2022</v>
      </c>
      <c r="BG236" t="s">
        <v>74</v>
      </c>
      <c r="BH236" t="s">
        <v>74</v>
      </c>
      <c r="BI236">
        <v>20</v>
      </c>
      <c r="BJ236" t="s">
        <v>1201</v>
      </c>
      <c r="BK236" t="s">
        <v>103</v>
      </c>
      <c r="BL236" t="s">
        <v>1202</v>
      </c>
      <c r="BM236" t="s">
        <v>5024</v>
      </c>
      <c r="BN236" t="s">
        <v>74</v>
      </c>
      <c r="BO236" t="s">
        <v>154</v>
      </c>
      <c r="BP236" t="s">
        <v>74</v>
      </c>
      <c r="BQ236" t="s">
        <v>74</v>
      </c>
      <c r="BR236" t="s">
        <v>106</v>
      </c>
      <c r="BS236" t="s">
        <v>5025</v>
      </c>
      <c r="BT236" t="str">
        <f>HYPERLINK("https%3A%2F%2Fwww.webofscience.com%2Fwos%2Fwoscc%2Ffull-record%2FWOS:000751073300001","View Full Record in Web of Science")</f>
        <v>View Full Record in Web of Science</v>
      </c>
    </row>
    <row r="237" spans="1:72" x14ac:dyDescent="0.15">
      <c r="A237" t="s">
        <v>72</v>
      </c>
      <c r="B237" t="s">
        <v>5026</v>
      </c>
      <c r="C237" t="s">
        <v>74</v>
      </c>
      <c r="D237" t="s">
        <v>74</v>
      </c>
      <c r="E237" t="s">
        <v>74</v>
      </c>
      <c r="F237" t="s">
        <v>5027</v>
      </c>
      <c r="G237" t="s">
        <v>74</v>
      </c>
      <c r="H237" t="s">
        <v>74</v>
      </c>
      <c r="I237" t="s">
        <v>5028</v>
      </c>
      <c r="J237" t="s">
        <v>592</v>
      </c>
      <c r="K237" t="s">
        <v>74</v>
      </c>
      <c r="L237" t="s">
        <v>74</v>
      </c>
      <c r="M237" t="s">
        <v>78</v>
      </c>
      <c r="N237" t="s">
        <v>79</v>
      </c>
      <c r="O237" t="s">
        <v>74</v>
      </c>
      <c r="P237" t="s">
        <v>74</v>
      </c>
      <c r="Q237" t="s">
        <v>74</v>
      </c>
      <c r="R237" t="s">
        <v>74</v>
      </c>
      <c r="S237" t="s">
        <v>74</v>
      </c>
      <c r="T237" t="s">
        <v>5029</v>
      </c>
      <c r="U237" t="s">
        <v>5030</v>
      </c>
      <c r="V237" t="s">
        <v>5031</v>
      </c>
      <c r="W237" t="s">
        <v>5032</v>
      </c>
      <c r="X237" t="s">
        <v>5033</v>
      </c>
      <c r="Y237" t="s">
        <v>5034</v>
      </c>
      <c r="Z237" t="s">
        <v>5035</v>
      </c>
      <c r="AA237" t="s">
        <v>5036</v>
      </c>
      <c r="AB237" t="s">
        <v>5037</v>
      </c>
      <c r="AC237" t="s">
        <v>5038</v>
      </c>
      <c r="AD237" t="s">
        <v>5039</v>
      </c>
      <c r="AE237" t="s">
        <v>5040</v>
      </c>
      <c r="AF237" t="s">
        <v>74</v>
      </c>
      <c r="AG237">
        <v>86</v>
      </c>
      <c r="AH237">
        <v>14</v>
      </c>
      <c r="AI237">
        <v>14</v>
      </c>
      <c r="AJ237">
        <v>2</v>
      </c>
      <c r="AK237">
        <v>14</v>
      </c>
      <c r="AL237" t="s">
        <v>605</v>
      </c>
      <c r="AM237" t="s">
        <v>606</v>
      </c>
      <c r="AN237" t="s">
        <v>607</v>
      </c>
      <c r="AO237" t="s">
        <v>608</v>
      </c>
      <c r="AP237" t="s">
        <v>609</v>
      </c>
      <c r="AQ237" t="s">
        <v>74</v>
      </c>
      <c r="AR237" t="s">
        <v>610</v>
      </c>
      <c r="AS237" t="s">
        <v>611</v>
      </c>
      <c r="AT237" t="s">
        <v>4989</v>
      </c>
      <c r="AU237">
        <v>2022</v>
      </c>
      <c r="AV237">
        <v>127</v>
      </c>
      <c r="AW237">
        <v>2</v>
      </c>
      <c r="AX237" t="s">
        <v>74</v>
      </c>
      <c r="AY237" t="s">
        <v>74</v>
      </c>
      <c r="AZ237" t="s">
        <v>74</v>
      </c>
      <c r="BA237" t="s">
        <v>74</v>
      </c>
      <c r="BB237" t="s">
        <v>74</v>
      </c>
      <c r="BC237" t="s">
        <v>74</v>
      </c>
      <c r="BD237" t="s">
        <v>5041</v>
      </c>
      <c r="BE237" t="s">
        <v>5042</v>
      </c>
      <c r="BF237" t="str">
        <f>HYPERLINK("http://dx.doi.org/10.1029/2021JD035210","http://dx.doi.org/10.1029/2021JD035210")</f>
        <v>http://dx.doi.org/10.1029/2021JD035210</v>
      </c>
      <c r="BG237" t="s">
        <v>74</v>
      </c>
      <c r="BH237" t="s">
        <v>74</v>
      </c>
      <c r="BI237">
        <v>23</v>
      </c>
      <c r="BJ237" t="s">
        <v>514</v>
      </c>
      <c r="BK237" t="s">
        <v>103</v>
      </c>
      <c r="BL237" t="s">
        <v>514</v>
      </c>
      <c r="BM237" t="s">
        <v>5043</v>
      </c>
      <c r="BN237" t="s">
        <v>74</v>
      </c>
      <c r="BO237" t="s">
        <v>640</v>
      </c>
      <c r="BP237" t="s">
        <v>74</v>
      </c>
      <c r="BQ237" t="s">
        <v>74</v>
      </c>
      <c r="BR237" t="s">
        <v>106</v>
      </c>
      <c r="BS237" t="s">
        <v>5044</v>
      </c>
      <c r="BT237" t="str">
        <f>HYPERLINK("https%3A%2F%2Fwww.webofscience.com%2Fwos%2Fwoscc%2Ffull-record%2FWOS:000751226300010","View Full Record in Web of Science")</f>
        <v>View Full Record in Web of Science</v>
      </c>
    </row>
    <row r="238" spans="1:72" x14ac:dyDescent="0.15">
      <c r="A238" t="s">
        <v>72</v>
      </c>
      <c r="B238" t="s">
        <v>5045</v>
      </c>
      <c r="C238" t="s">
        <v>74</v>
      </c>
      <c r="D238" t="s">
        <v>74</v>
      </c>
      <c r="E238" t="s">
        <v>74</v>
      </c>
      <c r="F238" t="s">
        <v>5046</v>
      </c>
      <c r="G238" t="s">
        <v>74</v>
      </c>
      <c r="H238" t="s">
        <v>74</v>
      </c>
      <c r="I238" t="s">
        <v>5047</v>
      </c>
      <c r="J238" t="s">
        <v>5048</v>
      </c>
      <c r="K238" t="s">
        <v>74</v>
      </c>
      <c r="L238" t="s">
        <v>74</v>
      </c>
      <c r="M238" t="s">
        <v>78</v>
      </c>
      <c r="N238" t="s">
        <v>79</v>
      </c>
      <c r="O238" t="s">
        <v>74</v>
      </c>
      <c r="P238" t="s">
        <v>74</v>
      </c>
      <c r="Q238" t="s">
        <v>74</v>
      </c>
      <c r="R238" t="s">
        <v>74</v>
      </c>
      <c r="S238" t="s">
        <v>74</v>
      </c>
      <c r="T238" t="s">
        <v>74</v>
      </c>
      <c r="U238" t="s">
        <v>5049</v>
      </c>
      <c r="V238" t="s">
        <v>5050</v>
      </c>
      <c r="W238" t="s">
        <v>5051</v>
      </c>
      <c r="X238" t="s">
        <v>5052</v>
      </c>
      <c r="Y238" t="s">
        <v>5053</v>
      </c>
      <c r="Z238" t="s">
        <v>5054</v>
      </c>
      <c r="AA238" t="s">
        <v>74</v>
      </c>
      <c r="AB238" t="s">
        <v>5055</v>
      </c>
      <c r="AC238" t="s">
        <v>5056</v>
      </c>
      <c r="AD238" t="s">
        <v>5057</v>
      </c>
      <c r="AE238" t="s">
        <v>5058</v>
      </c>
      <c r="AF238" t="s">
        <v>74</v>
      </c>
      <c r="AG238">
        <v>166</v>
      </c>
      <c r="AH238">
        <v>0</v>
      </c>
      <c r="AI238">
        <v>0</v>
      </c>
      <c r="AJ238">
        <v>0</v>
      </c>
      <c r="AK238">
        <v>2</v>
      </c>
      <c r="AL238" t="s">
        <v>198</v>
      </c>
      <c r="AM238" t="s">
        <v>506</v>
      </c>
      <c r="AN238" t="s">
        <v>1695</v>
      </c>
      <c r="AO238" t="s">
        <v>5059</v>
      </c>
      <c r="AP238" t="s">
        <v>5060</v>
      </c>
      <c r="AQ238" t="s">
        <v>74</v>
      </c>
      <c r="AR238" t="s">
        <v>5061</v>
      </c>
      <c r="AS238" t="s">
        <v>5062</v>
      </c>
      <c r="AT238" t="s">
        <v>178</v>
      </c>
      <c r="AU238">
        <v>2022</v>
      </c>
      <c r="AV238">
        <v>96</v>
      </c>
      <c r="AW238">
        <v>3</v>
      </c>
      <c r="AX238" t="s">
        <v>74</v>
      </c>
      <c r="AY238" t="s">
        <v>74</v>
      </c>
      <c r="AZ238" t="s">
        <v>74</v>
      </c>
      <c r="BA238" t="s">
        <v>74</v>
      </c>
      <c r="BB238">
        <v>493</v>
      </c>
      <c r="BC238">
        <v>512</v>
      </c>
      <c r="BD238" t="s">
        <v>74</v>
      </c>
      <c r="BE238" t="s">
        <v>5063</v>
      </c>
      <c r="BF238" t="str">
        <f>HYPERLINK("http://dx.doi.org/10.1017/jpa.2021.120","http://dx.doi.org/10.1017/jpa.2021.120")</f>
        <v>http://dx.doi.org/10.1017/jpa.2021.120</v>
      </c>
      <c r="BG238" t="s">
        <v>74</v>
      </c>
      <c r="BH238" t="s">
        <v>4536</v>
      </c>
      <c r="BI238">
        <v>20</v>
      </c>
      <c r="BJ238" t="s">
        <v>2956</v>
      </c>
      <c r="BK238" t="s">
        <v>103</v>
      </c>
      <c r="BL238" t="s">
        <v>2956</v>
      </c>
      <c r="BM238" t="s">
        <v>5064</v>
      </c>
      <c r="BN238" t="s">
        <v>74</v>
      </c>
      <c r="BO238" t="s">
        <v>74</v>
      </c>
      <c r="BP238" t="s">
        <v>74</v>
      </c>
      <c r="BQ238" t="s">
        <v>74</v>
      </c>
      <c r="BR238" t="s">
        <v>106</v>
      </c>
      <c r="BS238" t="s">
        <v>5065</v>
      </c>
      <c r="BT238" t="str">
        <f>HYPERLINK("https%3A%2F%2Fwww.webofscience.com%2Fwos%2Fwoscc%2Ffull-record%2FWOS:000748881600001","View Full Record in Web of Science")</f>
        <v>View Full Record in Web of Science</v>
      </c>
    </row>
    <row r="239" spans="1:72" x14ac:dyDescent="0.15">
      <c r="A239" t="s">
        <v>72</v>
      </c>
      <c r="B239" t="s">
        <v>5066</v>
      </c>
      <c r="C239" t="s">
        <v>74</v>
      </c>
      <c r="D239" t="s">
        <v>74</v>
      </c>
      <c r="E239" t="s">
        <v>74</v>
      </c>
      <c r="F239" t="s">
        <v>5067</v>
      </c>
      <c r="G239" t="s">
        <v>74</v>
      </c>
      <c r="H239" t="s">
        <v>74</v>
      </c>
      <c r="I239" t="s">
        <v>5068</v>
      </c>
      <c r="J239" t="s">
        <v>5069</v>
      </c>
      <c r="K239" t="s">
        <v>74</v>
      </c>
      <c r="L239" t="s">
        <v>74</v>
      </c>
      <c r="M239" t="s">
        <v>78</v>
      </c>
      <c r="N239" t="s">
        <v>79</v>
      </c>
      <c r="O239" t="s">
        <v>74</v>
      </c>
      <c r="P239" t="s">
        <v>74</v>
      </c>
      <c r="Q239" t="s">
        <v>74</v>
      </c>
      <c r="R239" t="s">
        <v>74</v>
      </c>
      <c r="S239" t="s">
        <v>74</v>
      </c>
      <c r="T239" t="s">
        <v>5070</v>
      </c>
      <c r="U239" t="s">
        <v>5071</v>
      </c>
      <c r="V239" t="s">
        <v>5072</v>
      </c>
      <c r="W239" t="s">
        <v>5073</v>
      </c>
      <c r="X239" t="s">
        <v>5074</v>
      </c>
      <c r="Y239" t="s">
        <v>5075</v>
      </c>
      <c r="Z239" t="s">
        <v>5076</v>
      </c>
      <c r="AA239" t="s">
        <v>5077</v>
      </c>
      <c r="AB239" t="s">
        <v>5078</v>
      </c>
      <c r="AC239" t="s">
        <v>5079</v>
      </c>
      <c r="AD239" t="s">
        <v>5080</v>
      </c>
      <c r="AE239" t="s">
        <v>5081</v>
      </c>
      <c r="AF239" t="s">
        <v>74</v>
      </c>
      <c r="AG239">
        <v>76</v>
      </c>
      <c r="AH239">
        <v>1</v>
      </c>
      <c r="AI239">
        <v>1</v>
      </c>
      <c r="AJ239">
        <v>0</v>
      </c>
      <c r="AK239">
        <v>7</v>
      </c>
      <c r="AL239" t="s">
        <v>171</v>
      </c>
      <c r="AM239" t="s">
        <v>172</v>
      </c>
      <c r="AN239" t="s">
        <v>173</v>
      </c>
      <c r="AO239" t="s">
        <v>5082</v>
      </c>
      <c r="AP239" t="s">
        <v>5083</v>
      </c>
      <c r="AQ239" t="s">
        <v>74</v>
      </c>
      <c r="AR239" t="s">
        <v>5084</v>
      </c>
      <c r="AS239" t="s">
        <v>5085</v>
      </c>
      <c r="AT239" t="s">
        <v>99</v>
      </c>
      <c r="AU239">
        <v>2022</v>
      </c>
      <c r="AV239">
        <v>100</v>
      </c>
      <c r="AW239">
        <v>3</v>
      </c>
      <c r="AX239" t="s">
        <v>74</v>
      </c>
      <c r="AY239" t="s">
        <v>74</v>
      </c>
      <c r="AZ239" t="s">
        <v>74</v>
      </c>
      <c r="BA239" t="s">
        <v>74</v>
      </c>
      <c r="BB239">
        <v>835</v>
      </c>
      <c r="BC239">
        <v>842</v>
      </c>
      <c r="BD239" t="s">
        <v>74</v>
      </c>
      <c r="BE239" t="s">
        <v>5086</v>
      </c>
      <c r="BF239" t="str">
        <f>HYPERLINK("http://dx.doi.org/10.1111/jfb.14983","http://dx.doi.org/10.1111/jfb.14983")</f>
        <v>http://dx.doi.org/10.1111/jfb.14983</v>
      </c>
      <c r="BG239" t="s">
        <v>74</v>
      </c>
      <c r="BH239" t="s">
        <v>4536</v>
      </c>
      <c r="BI239">
        <v>8</v>
      </c>
      <c r="BJ239" t="s">
        <v>5087</v>
      </c>
      <c r="BK239" t="s">
        <v>103</v>
      </c>
      <c r="BL239" t="s">
        <v>5087</v>
      </c>
      <c r="BM239" t="s">
        <v>5088</v>
      </c>
      <c r="BN239">
        <v>34931706</v>
      </c>
      <c r="BO239" t="s">
        <v>74</v>
      </c>
      <c r="BP239" t="s">
        <v>74</v>
      </c>
      <c r="BQ239" t="s">
        <v>74</v>
      </c>
      <c r="BR239" t="s">
        <v>106</v>
      </c>
      <c r="BS239" t="s">
        <v>5089</v>
      </c>
      <c r="BT239" t="str">
        <f>HYPERLINK("https%3A%2F%2Fwww.webofscience.com%2Fwos%2Fwoscc%2Ffull-record%2FWOS:000747303500001","View Full Record in Web of Science")</f>
        <v>View Full Record in Web of Science</v>
      </c>
    </row>
    <row r="240" spans="1:72" x14ac:dyDescent="0.15">
      <c r="A240" t="s">
        <v>72</v>
      </c>
      <c r="B240" t="s">
        <v>5090</v>
      </c>
      <c r="C240" t="s">
        <v>74</v>
      </c>
      <c r="D240" t="s">
        <v>74</v>
      </c>
      <c r="E240" t="s">
        <v>74</v>
      </c>
      <c r="F240" t="s">
        <v>5091</v>
      </c>
      <c r="G240" t="s">
        <v>74</v>
      </c>
      <c r="H240" t="s">
        <v>74</v>
      </c>
      <c r="I240" t="s">
        <v>5092</v>
      </c>
      <c r="J240" t="s">
        <v>1539</v>
      </c>
      <c r="K240" t="s">
        <v>74</v>
      </c>
      <c r="L240" t="s">
        <v>74</v>
      </c>
      <c r="M240" t="s">
        <v>78</v>
      </c>
      <c r="N240" t="s">
        <v>79</v>
      </c>
      <c r="O240" t="s">
        <v>74</v>
      </c>
      <c r="P240" t="s">
        <v>74</v>
      </c>
      <c r="Q240" t="s">
        <v>74</v>
      </c>
      <c r="R240" t="s">
        <v>74</v>
      </c>
      <c r="S240" t="s">
        <v>74</v>
      </c>
      <c r="T240" t="s">
        <v>5093</v>
      </c>
      <c r="U240" t="s">
        <v>5094</v>
      </c>
      <c r="V240" t="s">
        <v>5095</v>
      </c>
      <c r="W240" t="s">
        <v>5096</v>
      </c>
      <c r="X240" t="s">
        <v>5097</v>
      </c>
      <c r="Y240" t="s">
        <v>5098</v>
      </c>
      <c r="Z240" t="s">
        <v>5099</v>
      </c>
      <c r="AA240" t="s">
        <v>5100</v>
      </c>
      <c r="AB240" t="s">
        <v>5101</v>
      </c>
      <c r="AC240" t="s">
        <v>5102</v>
      </c>
      <c r="AD240" t="s">
        <v>5103</v>
      </c>
      <c r="AE240" t="s">
        <v>5104</v>
      </c>
      <c r="AF240" t="s">
        <v>74</v>
      </c>
      <c r="AG240">
        <v>70</v>
      </c>
      <c r="AH240">
        <v>19</v>
      </c>
      <c r="AI240">
        <v>19</v>
      </c>
      <c r="AJ240">
        <v>2</v>
      </c>
      <c r="AK240">
        <v>11</v>
      </c>
      <c r="AL240" t="s">
        <v>1552</v>
      </c>
      <c r="AM240" t="s">
        <v>436</v>
      </c>
      <c r="AN240" t="s">
        <v>1553</v>
      </c>
      <c r="AO240" t="s">
        <v>1554</v>
      </c>
      <c r="AP240" t="s">
        <v>1555</v>
      </c>
      <c r="AQ240" t="s">
        <v>74</v>
      </c>
      <c r="AR240" t="s">
        <v>1556</v>
      </c>
      <c r="AS240" t="s">
        <v>1557</v>
      </c>
      <c r="AT240" t="s">
        <v>5105</v>
      </c>
      <c r="AU240">
        <v>2022</v>
      </c>
      <c r="AV240">
        <v>307</v>
      </c>
      <c r="AW240" t="s">
        <v>74</v>
      </c>
      <c r="AX240" t="s">
        <v>74</v>
      </c>
      <c r="AY240" t="s">
        <v>74</v>
      </c>
      <c r="AZ240" t="s">
        <v>74</v>
      </c>
      <c r="BA240" t="s">
        <v>74</v>
      </c>
      <c r="BB240" t="s">
        <v>74</v>
      </c>
      <c r="BC240" t="s">
        <v>74</v>
      </c>
      <c r="BD240">
        <v>114549</v>
      </c>
      <c r="BE240" t="s">
        <v>5106</v>
      </c>
      <c r="BF240" t="str">
        <f>HYPERLINK("http://dx.doi.org/10.1016/j.jenvman.2022.114549","http://dx.doi.org/10.1016/j.jenvman.2022.114549")</f>
        <v>http://dx.doi.org/10.1016/j.jenvman.2022.114549</v>
      </c>
      <c r="BG240" t="s">
        <v>74</v>
      </c>
      <c r="BH240" t="s">
        <v>4536</v>
      </c>
      <c r="BI240">
        <v>9</v>
      </c>
      <c r="BJ240" t="s">
        <v>1560</v>
      </c>
      <c r="BK240" t="s">
        <v>103</v>
      </c>
      <c r="BL240" t="s">
        <v>1561</v>
      </c>
      <c r="BM240" t="s">
        <v>5107</v>
      </c>
      <c r="BN240">
        <v>35092888</v>
      </c>
      <c r="BO240" t="s">
        <v>749</v>
      </c>
      <c r="BP240" t="s">
        <v>74</v>
      </c>
      <c r="BQ240" t="s">
        <v>74</v>
      </c>
      <c r="BR240" t="s">
        <v>106</v>
      </c>
      <c r="BS240" t="s">
        <v>5108</v>
      </c>
      <c r="BT240" t="str">
        <f>HYPERLINK("https%3A%2F%2Fwww.webofscience.com%2Fwos%2Fwoscc%2Ffull-record%2FWOS:000784496500004","View Full Record in Web of Science")</f>
        <v>View Full Record in Web of Science</v>
      </c>
    </row>
    <row r="241" spans="1:72" x14ac:dyDescent="0.15">
      <c r="A241" t="s">
        <v>72</v>
      </c>
      <c r="B241" t="s">
        <v>5109</v>
      </c>
      <c r="C241" t="s">
        <v>74</v>
      </c>
      <c r="D241" t="s">
        <v>74</v>
      </c>
      <c r="E241" t="s">
        <v>74</v>
      </c>
      <c r="F241" t="s">
        <v>5110</v>
      </c>
      <c r="G241" t="s">
        <v>74</v>
      </c>
      <c r="H241" t="s">
        <v>74</v>
      </c>
      <c r="I241" t="s">
        <v>5111</v>
      </c>
      <c r="J241" t="s">
        <v>77</v>
      </c>
      <c r="K241" t="s">
        <v>74</v>
      </c>
      <c r="L241" t="s">
        <v>74</v>
      </c>
      <c r="M241" t="s">
        <v>78</v>
      </c>
      <c r="N241" t="s">
        <v>79</v>
      </c>
      <c r="O241" t="s">
        <v>74</v>
      </c>
      <c r="P241" t="s">
        <v>74</v>
      </c>
      <c r="Q241" t="s">
        <v>74</v>
      </c>
      <c r="R241" t="s">
        <v>74</v>
      </c>
      <c r="S241" t="s">
        <v>74</v>
      </c>
      <c r="T241" t="s">
        <v>5112</v>
      </c>
      <c r="U241" t="s">
        <v>5113</v>
      </c>
      <c r="V241" t="s">
        <v>5114</v>
      </c>
      <c r="W241" t="s">
        <v>5115</v>
      </c>
      <c r="X241" t="s">
        <v>5116</v>
      </c>
      <c r="Y241" t="s">
        <v>5117</v>
      </c>
      <c r="Z241" t="s">
        <v>5118</v>
      </c>
      <c r="AA241" t="s">
        <v>74</v>
      </c>
      <c r="AB241" t="s">
        <v>5119</v>
      </c>
      <c r="AC241" t="s">
        <v>74</v>
      </c>
      <c r="AD241" t="s">
        <v>74</v>
      </c>
      <c r="AE241" t="s">
        <v>74</v>
      </c>
      <c r="AF241" t="s">
        <v>74</v>
      </c>
      <c r="AG241">
        <v>39</v>
      </c>
      <c r="AH241">
        <v>3</v>
      </c>
      <c r="AI241">
        <v>3</v>
      </c>
      <c r="AJ241">
        <v>3</v>
      </c>
      <c r="AK241">
        <v>19</v>
      </c>
      <c r="AL241" t="s">
        <v>92</v>
      </c>
      <c r="AM241" t="s">
        <v>93</v>
      </c>
      <c r="AN241" t="s">
        <v>94</v>
      </c>
      <c r="AO241" t="s">
        <v>95</v>
      </c>
      <c r="AP241" t="s">
        <v>96</v>
      </c>
      <c r="AQ241" t="s">
        <v>74</v>
      </c>
      <c r="AR241" t="s">
        <v>97</v>
      </c>
      <c r="AS241" t="s">
        <v>98</v>
      </c>
      <c r="AT241" t="s">
        <v>840</v>
      </c>
      <c r="AU241">
        <v>2022</v>
      </c>
      <c r="AV241">
        <v>175</v>
      </c>
      <c r="AW241" t="s">
        <v>74</v>
      </c>
      <c r="AX241" t="s">
        <v>74</v>
      </c>
      <c r="AY241" t="s">
        <v>74</v>
      </c>
      <c r="AZ241" t="s">
        <v>74</v>
      </c>
      <c r="BA241" t="s">
        <v>74</v>
      </c>
      <c r="BB241" t="s">
        <v>74</v>
      </c>
      <c r="BC241" t="s">
        <v>74</v>
      </c>
      <c r="BD241">
        <v>113332</v>
      </c>
      <c r="BE241" t="s">
        <v>5120</v>
      </c>
      <c r="BF241" t="str">
        <f>HYPERLINK("http://dx.doi.org/10.1016/j.marpolbul.2022.113332","http://dx.doi.org/10.1016/j.marpolbul.2022.113332")</f>
        <v>http://dx.doi.org/10.1016/j.marpolbul.2022.113332</v>
      </c>
      <c r="BG241" t="s">
        <v>74</v>
      </c>
      <c r="BH241" t="s">
        <v>4536</v>
      </c>
      <c r="BI241">
        <v>6</v>
      </c>
      <c r="BJ241" t="s">
        <v>102</v>
      </c>
      <c r="BK241" t="s">
        <v>103</v>
      </c>
      <c r="BL241" t="s">
        <v>104</v>
      </c>
      <c r="BM241" t="s">
        <v>5121</v>
      </c>
      <c r="BN241">
        <v>35091342</v>
      </c>
      <c r="BO241" t="s">
        <v>74</v>
      </c>
      <c r="BP241" t="s">
        <v>74</v>
      </c>
      <c r="BQ241" t="s">
        <v>74</v>
      </c>
      <c r="BR241" t="s">
        <v>106</v>
      </c>
      <c r="BS241" t="s">
        <v>5122</v>
      </c>
      <c r="BT241" t="str">
        <f>HYPERLINK("https%3A%2F%2Fwww.webofscience.com%2Fwos%2Fwoscc%2Ffull-record%2FWOS:000748992700009","View Full Record in Web of Science")</f>
        <v>View Full Record in Web of Science</v>
      </c>
    </row>
    <row r="242" spans="1:72" x14ac:dyDescent="0.15">
      <c r="A242" t="s">
        <v>72</v>
      </c>
      <c r="B242" t="s">
        <v>5123</v>
      </c>
      <c r="C242" t="s">
        <v>74</v>
      </c>
      <c r="D242" t="s">
        <v>74</v>
      </c>
      <c r="E242" t="s">
        <v>74</v>
      </c>
      <c r="F242" t="s">
        <v>5124</v>
      </c>
      <c r="G242" t="s">
        <v>74</v>
      </c>
      <c r="H242" t="s">
        <v>74</v>
      </c>
      <c r="I242" t="s">
        <v>5125</v>
      </c>
      <c r="J242" t="s">
        <v>137</v>
      </c>
      <c r="K242" t="s">
        <v>74</v>
      </c>
      <c r="L242" t="s">
        <v>74</v>
      </c>
      <c r="M242" t="s">
        <v>78</v>
      </c>
      <c r="N242" t="s">
        <v>79</v>
      </c>
      <c r="O242" t="s">
        <v>74</v>
      </c>
      <c r="P242" t="s">
        <v>74</v>
      </c>
      <c r="Q242" t="s">
        <v>74</v>
      </c>
      <c r="R242" t="s">
        <v>74</v>
      </c>
      <c r="S242" t="s">
        <v>74</v>
      </c>
      <c r="T242" t="s">
        <v>74</v>
      </c>
      <c r="U242" t="s">
        <v>5126</v>
      </c>
      <c r="V242" t="s">
        <v>5127</v>
      </c>
      <c r="W242" t="s">
        <v>5128</v>
      </c>
      <c r="X242" t="s">
        <v>5129</v>
      </c>
      <c r="Y242" t="s">
        <v>5130</v>
      </c>
      <c r="Z242" t="s">
        <v>5131</v>
      </c>
      <c r="AA242" t="s">
        <v>5132</v>
      </c>
      <c r="AB242" t="s">
        <v>5133</v>
      </c>
      <c r="AC242" t="s">
        <v>5134</v>
      </c>
      <c r="AD242" t="s">
        <v>5135</v>
      </c>
      <c r="AE242" t="s">
        <v>5136</v>
      </c>
      <c r="AF242" t="s">
        <v>74</v>
      </c>
      <c r="AG242">
        <v>115</v>
      </c>
      <c r="AH242">
        <v>7</v>
      </c>
      <c r="AI242">
        <v>7</v>
      </c>
      <c r="AJ242">
        <v>0</v>
      </c>
      <c r="AK242">
        <v>4</v>
      </c>
      <c r="AL242" t="s">
        <v>120</v>
      </c>
      <c r="AM242" t="s">
        <v>121</v>
      </c>
      <c r="AN242" t="s">
        <v>122</v>
      </c>
      <c r="AO242" t="s">
        <v>146</v>
      </c>
      <c r="AP242" t="s">
        <v>147</v>
      </c>
      <c r="AQ242" t="s">
        <v>74</v>
      </c>
      <c r="AR242" t="s">
        <v>148</v>
      </c>
      <c r="AS242" t="s">
        <v>149</v>
      </c>
      <c r="AT242" t="s">
        <v>5137</v>
      </c>
      <c r="AU242">
        <v>2022</v>
      </c>
      <c r="AV242">
        <v>15</v>
      </c>
      <c r="AW242">
        <v>2</v>
      </c>
      <c r="AX242" t="s">
        <v>74</v>
      </c>
      <c r="AY242" t="s">
        <v>74</v>
      </c>
      <c r="AZ242" t="s">
        <v>74</v>
      </c>
      <c r="BA242" t="s">
        <v>74</v>
      </c>
      <c r="BB242">
        <v>617</v>
      </c>
      <c r="BC242">
        <v>647</v>
      </c>
      <c r="BD242" t="s">
        <v>74</v>
      </c>
      <c r="BE242" t="s">
        <v>5138</v>
      </c>
      <c r="BF242" t="str">
        <f>HYPERLINK("http://dx.doi.org/10.5194/gmd-15-617-2022","http://dx.doi.org/10.5194/gmd-15-617-2022")</f>
        <v>http://dx.doi.org/10.5194/gmd-15-617-2022</v>
      </c>
      <c r="BG242" t="s">
        <v>74</v>
      </c>
      <c r="BH242" t="s">
        <v>74</v>
      </c>
      <c r="BI242">
        <v>31</v>
      </c>
      <c r="BJ242" t="s">
        <v>151</v>
      </c>
      <c r="BK242" t="s">
        <v>103</v>
      </c>
      <c r="BL242" t="s">
        <v>152</v>
      </c>
      <c r="BM242" t="s">
        <v>5139</v>
      </c>
      <c r="BN242" t="s">
        <v>74</v>
      </c>
      <c r="BO242" t="s">
        <v>132</v>
      </c>
      <c r="BP242" t="s">
        <v>74</v>
      </c>
      <c r="BQ242" t="s">
        <v>74</v>
      </c>
      <c r="BR242" t="s">
        <v>106</v>
      </c>
      <c r="BS242" t="s">
        <v>5140</v>
      </c>
      <c r="BT242" t="str">
        <f>HYPERLINK("https%3A%2F%2Fwww.webofscience.com%2Fwos%2Fwoscc%2Ffull-record%2FWOS:000751175900001","View Full Record in Web of Science")</f>
        <v>View Full Record in Web of Science</v>
      </c>
    </row>
    <row r="243" spans="1:72" x14ac:dyDescent="0.15">
      <c r="A243" t="s">
        <v>72</v>
      </c>
      <c r="B243" t="s">
        <v>5141</v>
      </c>
      <c r="C243" t="s">
        <v>74</v>
      </c>
      <c r="D243" t="s">
        <v>74</v>
      </c>
      <c r="E243" t="s">
        <v>74</v>
      </c>
      <c r="F243" t="s">
        <v>5142</v>
      </c>
      <c r="G243" t="s">
        <v>74</v>
      </c>
      <c r="H243" t="s">
        <v>74</v>
      </c>
      <c r="I243" t="s">
        <v>5143</v>
      </c>
      <c r="J243" t="s">
        <v>5144</v>
      </c>
      <c r="K243" t="s">
        <v>74</v>
      </c>
      <c r="L243" t="s">
        <v>74</v>
      </c>
      <c r="M243" t="s">
        <v>78</v>
      </c>
      <c r="N243" t="s">
        <v>79</v>
      </c>
      <c r="O243" t="s">
        <v>74</v>
      </c>
      <c r="P243" t="s">
        <v>74</v>
      </c>
      <c r="Q243" t="s">
        <v>74</v>
      </c>
      <c r="R243" t="s">
        <v>74</v>
      </c>
      <c r="S243" t="s">
        <v>74</v>
      </c>
      <c r="T243" t="s">
        <v>5145</v>
      </c>
      <c r="U243" t="s">
        <v>5146</v>
      </c>
      <c r="V243" t="s">
        <v>5147</v>
      </c>
      <c r="W243" t="s">
        <v>5148</v>
      </c>
      <c r="X243" t="s">
        <v>5149</v>
      </c>
      <c r="Y243" t="s">
        <v>5150</v>
      </c>
      <c r="Z243" t="s">
        <v>5151</v>
      </c>
      <c r="AA243" t="s">
        <v>5152</v>
      </c>
      <c r="AB243" t="s">
        <v>5153</v>
      </c>
      <c r="AC243" t="s">
        <v>5154</v>
      </c>
      <c r="AD243" t="s">
        <v>5155</v>
      </c>
      <c r="AE243" t="s">
        <v>5156</v>
      </c>
      <c r="AF243" t="s">
        <v>74</v>
      </c>
      <c r="AG243">
        <v>87</v>
      </c>
      <c r="AH243">
        <v>9</v>
      </c>
      <c r="AI243">
        <v>9</v>
      </c>
      <c r="AJ243">
        <v>1</v>
      </c>
      <c r="AK243">
        <v>13</v>
      </c>
      <c r="AL243" t="s">
        <v>1170</v>
      </c>
      <c r="AM243" t="s">
        <v>436</v>
      </c>
      <c r="AN243" t="s">
        <v>1171</v>
      </c>
      <c r="AO243" t="s">
        <v>5157</v>
      </c>
      <c r="AP243" t="s">
        <v>5158</v>
      </c>
      <c r="AQ243" t="s">
        <v>74</v>
      </c>
      <c r="AR243" t="s">
        <v>5159</v>
      </c>
      <c r="AS243" t="s">
        <v>5160</v>
      </c>
      <c r="AT243" t="s">
        <v>5137</v>
      </c>
      <c r="AU243">
        <v>2022</v>
      </c>
      <c r="AV243">
        <v>289</v>
      </c>
      <c r="AW243">
        <v>1967</v>
      </c>
      <c r="AX243" t="s">
        <v>74</v>
      </c>
      <c r="AY243" t="s">
        <v>74</v>
      </c>
      <c r="AZ243" t="s">
        <v>74</v>
      </c>
      <c r="BA243" t="s">
        <v>74</v>
      </c>
      <c r="BB243" t="s">
        <v>74</v>
      </c>
      <c r="BC243" t="s">
        <v>74</v>
      </c>
      <c r="BD243">
        <v>20212452</v>
      </c>
      <c r="BE243" t="s">
        <v>5161</v>
      </c>
      <c r="BF243" t="str">
        <f>HYPERLINK("http://dx.doi.org/10.1098/rspb.2021.2452","http://dx.doi.org/10.1098/rspb.2021.2452")</f>
        <v>http://dx.doi.org/10.1098/rspb.2021.2452</v>
      </c>
      <c r="BG243" t="s">
        <v>74</v>
      </c>
      <c r="BH243" t="s">
        <v>74</v>
      </c>
      <c r="BI243">
        <v>9</v>
      </c>
      <c r="BJ243" t="s">
        <v>5162</v>
      </c>
      <c r="BK243" t="s">
        <v>103</v>
      </c>
      <c r="BL243" t="s">
        <v>5163</v>
      </c>
      <c r="BM243" t="s">
        <v>5164</v>
      </c>
      <c r="BN243">
        <v>35078353</v>
      </c>
      <c r="BO243" t="s">
        <v>640</v>
      </c>
      <c r="BP243" t="s">
        <v>74</v>
      </c>
      <c r="BQ243" t="s">
        <v>74</v>
      </c>
      <c r="BR243" t="s">
        <v>106</v>
      </c>
      <c r="BS243" t="s">
        <v>5165</v>
      </c>
      <c r="BT243" t="str">
        <f>HYPERLINK("https%3A%2F%2Fwww.webofscience.com%2Fwos%2Fwoscc%2Ffull-record%2FWOS:000746806400015","View Full Record in Web of Science")</f>
        <v>View Full Record in Web of Science</v>
      </c>
    </row>
    <row r="244" spans="1:72" x14ac:dyDescent="0.15">
      <c r="A244" t="s">
        <v>72</v>
      </c>
      <c r="B244" t="s">
        <v>5166</v>
      </c>
      <c r="C244" t="s">
        <v>74</v>
      </c>
      <c r="D244" t="s">
        <v>74</v>
      </c>
      <c r="E244" t="s">
        <v>74</v>
      </c>
      <c r="F244" t="s">
        <v>5167</v>
      </c>
      <c r="G244" t="s">
        <v>74</v>
      </c>
      <c r="H244" t="s">
        <v>74</v>
      </c>
      <c r="I244" t="s">
        <v>5168</v>
      </c>
      <c r="J244" t="s">
        <v>5144</v>
      </c>
      <c r="K244" t="s">
        <v>74</v>
      </c>
      <c r="L244" t="s">
        <v>74</v>
      </c>
      <c r="M244" t="s">
        <v>78</v>
      </c>
      <c r="N244" t="s">
        <v>79</v>
      </c>
      <c r="O244" t="s">
        <v>74</v>
      </c>
      <c r="P244" t="s">
        <v>74</v>
      </c>
      <c r="Q244" t="s">
        <v>74</v>
      </c>
      <c r="R244" t="s">
        <v>74</v>
      </c>
      <c r="S244" t="s">
        <v>74</v>
      </c>
      <c r="T244" t="s">
        <v>5169</v>
      </c>
      <c r="U244" t="s">
        <v>5170</v>
      </c>
      <c r="V244" t="s">
        <v>5171</v>
      </c>
      <c r="W244" t="s">
        <v>5172</v>
      </c>
      <c r="X244" t="s">
        <v>5173</v>
      </c>
      <c r="Y244" t="s">
        <v>5174</v>
      </c>
      <c r="Z244" t="s">
        <v>5175</v>
      </c>
      <c r="AA244" t="s">
        <v>5176</v>
      </c>
      <c r="AB244" t="s">
        <v>5177</v>
      </c>
      <c r="AC244" t="s">
        <v>5178</v>
      </c>
      <c r="AD244" t="s">
        <v>5179</v>
      </c>
      <c r="AE244" t="s">
        <v>5180</v>
      </c>
      <c r="AF244" t="s">
        <v>74</v>
      </c>
      <c r="AG244">
        <v>73</v>
      </c>
      <c r="AH244">
        <v>18</v>
      </c>
      <c r="AI244">
        <v>19</v>
      </c>
      <c r="AJ244">
        <v>3</v>
      </c>
      <c r="AK244">
        <v>19</v>
      </c>
      <c r="AL244" t="s">
        <v>1170</v>
      </c>
      <c r="AM244" t="s">
        <v>436</v>
      </c>
      <c r="AN244" t="s">
        <v>1171</v>
      </c>
      <c r="AO244" t="s">
        <v>5157</v>
      </c>
      <c r="AP244" t="s">
        <v>5158</v>
      </c>
      <c r="AQ244" t="s">
        <v>74</v>
      </c>
      <c r="AR244" t="s">
        <v>5159</v>
      </c>
      <c r="AS244" t="s">
        <v>5160</v>
      </c>
      <c r="AT244" t="s">
        <v>5137</v>
      </c>
      <c r="AU244">
        <v>2022</v>
      </c>
      <c r="AV244">
        <v>289</v>
      </c>
      <c r="AW244">
        <v>1967</v>
      </c>
      <c r="AX244" t="s">
        <v>74</v>
      </c>
      <c r="AY244" t="s">
        <v>74</v>
      </c>
      <c r="AZ244" t="s">
        <v>74</v>
      </c>
      <c r="BA244" t="s">
        <v>74</v>
      </c>
      <c r="BB244" t="s">
        <v>74</v>
      </c>
      <c r="BC244" t="s">
        <v>74</v>
      </c>
      <c r="BD244">
        <v>20211781</v>
      </c>
      <c r="BE244" t="s">
        <v>5181</v>
      </c>
      <c r="BF244" t="str">
        <f>HYPERLINK("http://dx.doi.org/10.1098/rspb.2021.1781","http://dx.doi.org/10.1098/rspb.2021.1781")</f>
        <v>http://dx.doi.org/10.1098/rspb.2021.1781</v>
      </c>
      <c r="BG244" t="s">
        <v>74</v>
      </c>
      <c r="BH244" t="s">
        <v>74</v>
      </c>
      <c r="BI244">
        <v>10</v>
      </c>
      <c r="BJ244" t="s">
        <v>5162</v>
      </c>
      <c r="BK244" t="s">
        <v>103</v>
      </c>
      <c r="BL244" t="s">
        <v>5163</v>
      </c>
      <c r="BM244" t="s">
        <v>5164</v>
      </c>
      <c r="BN244">
        <v>35078354</v>
      </c>
      <c r="BO244" t="s">
        <v>1745</v>
      </c>
      <c r="BP244" t="s">
        <v>74</v>
      </c>
      <c r="BQ244" t="s">
        <v>74</v>
      </c>
      <c r="BR244" t="s">
        <v>106</v>
      </c>
      <c r="BS244" t="s">
        <v>5182</v>
      </c>
      <c r="BT244" t="str">
        <f>HYPERLINK("https%3A%2F%2Fwww.webofscience.com%2Fwos%2Fwoscc%2Ffull-record%2FWOS:000746806400001","View Full Record in Web of Science")</f>
        <v>View Full Record in Web of Science</v>
      </c>
    </row>
    <row r="245" spans="1:72" x14ac:dyDescent="0.15">
      <c r="A245" t="s">
        <v>72</v>
      </c>
      <c r="B245" t="s">
        <v>5183</v>
      </c>
      <c r="C245" t="s">
        <v>74</v>
      </c>
      <c r="D245" t="s">
        <v>74</v>
      </c>
      <c r="E245" t="s">
        <v>74</v>
      </c>
      <c r="F245" t="s">
        <v>5184</v>
      </c>
      <c r="G245" t="s">
        <v>74</v>
      </c>
      <c r="H245" t="s">
        <v>74</v>
      </c>
      <c r="I245" t="s">
        <v>5185</v>
      </c>
      <c r="J245" t="s">
        <v>5186</v>
      </c>
      <c r="K245" t="s">
        <v>74</v>
      </c>
      <c r="L245" t="s">
        <v>74</v>
      </c>
      <c r="M245" t="s">
        <v>78</v>
      </c>
      <c r="N245" t="s">
        <v>79</v>
      </c>
      <c r="O245" t="s">
        <v>74</v>
      </c>
      <c r="P245" t="s">
        <v>74</v>
      </c>
      <c r="Q245" t="s">
        <v>74</v>
      </c>
      <c r="R245" t="s">
        <v>74</v>
      </c>
      <c r="S245" t="s">
        <v>74</v>
      </c>
      <c r="T245" t="s">
        <v>5187</v>
      </c>
      <c r="U245" t="s">
        <v>5188</v>
      </c>
      <c r="V245" t="s">
        <v>5189</v>
      </c>
      <c r="W245" t="s">
        <v>5190</v>
      </c>
      <c r="X245" t="s">
        <v>5191</v>
      </c>
      <c r="Y245" t="s">
        <v>5192</v>
      </c>
      <c r="Z245" t="s">
        <v>5193</v>
      </c>
      <c r="AA245" t="s">
        <v>5194</v>
      </c>
      <c r="AB245" t="s">
        <v>5195</v>
      </c>
      <c r="AC245" t="s">
        <v>5196</v>
      </c>
      <c r="AD245" t="s">
        <v>5197</v>
      </c>
      <c r="AE245" t="s">
        <v>5198</v>
      </c>
      <c r="AF245" t="s">
        <v>74</v>
      </c>
      <c r="AG245">
        <v>48</v>
      </c>
      <c r="AH245">
        <v>2</v>
      </c>
      <c r="AI245">
        <v>2</v>
      </c>
      <c r="AJ245">
        <v>3</v>
      </c>
      <c r="AK245">
        <v>9</v>
      </c>
      <c r="AL245" t="s">
        <v>4129</v>
      </c>
      <c r="AM245" t="s">
        <v>4130</v>
      </c>
      <c r="AN245" t="s">
        <v>4131</v>
      </c>
      <c r="AO245" t="s">
        <v>5199</v>
      </c>
      <c r="AP245" t="s">
        <v>5200</v>
      </c>
      <c r="AQ245" t="s">
        <v>74</v>
      </c>
      <c r="AR245" t="s">
        <v>5201</v>
      </c>
      <c r="AS245" t="s">
        <v>5202</v>
      </c>
      <c r="AT245" t="s">
        <v>1674</v>
      </c>
      <c r="AU245">
        <v>2022</v>
      </c>
      <c r="AV245">
        <v>22</v>
      </c>
      <c r="AW245">
        <v>2</v>
      </c>
      <c r="AX245" t="s">
        <v>74</v>
      </c>
      <c r="AY245" t="s">
        <v>74</v>
      </c>
      <c r="AZ245" t="s">
        <v>74</v>
      </c>
      <c r="BA245" t="s">
        <v>74</v>
      </c>
      <c r="BB245">
        <v>431</v>
      </c>
      <c r="BC245">
        <v>456</v>
      </c>
      <c r="BD245" t="s">
        <v>74</v>
      </c>
      <c r="BE245" t="s">
        <v>5203</v>
      </c>
      <c r="BF245" t="str">
        <f>HYPERLINK("http://dx.doi.org/10.1007/s13127-022-00541-3","http://dx.doi.org/10.1007/s13127-022-00541-3")</f>
        <v>http://dx.doi.org/10.1007/s13127-022-00541-3</v>
      </c>
      <c r="BG245" t="s">
        <v>74</v>
      </c>
      <c r="BH245" t="s">
        <v>4536</v>
      </c>
      <c r="BI245">
        <v>26</v>
      </c>
      <c r="BJ245" t="s">
        <v>5204</v>
      </c>
      <c r="BK245" t="s">
        <v>103</v>
      </c>
      <c r="BL245" t="s">
        <v>5204</v>
      </c>
      <c r="BM245" t="s">
        <v>5205</v>
      </c>
      <c r="BN245" t="s">
        <v>74</v>
      </c>
      <c r="BO245" t="s">
        <v>74</v>
      </c>
      <c r="BP245" t="s">
        <v>74</v>
      </c>
      <c r="BQ245" t="s">
        <v>74</v>
      </c>
      <c r="BR245" t="s">
        <v>106</v>
      </c>
      <c r="BS245" t="s">
        <v>5206</v>
      </c>
      <c r="BT245" t="str">
        <f>HYPERLINK("https%3A%2F%2Fwww.webofscience.com%2Fwos%2Fwoscc%2Ffull-record%2FWOS:000747082800002","View Full Record in Web of Science")</f>
        <v>View Full Record in Web of Science</v>
      </c>
    </row>
    <row r="246" spans="1:72" x14ac:dyDescent="0.15">
      <c r="A246" t="s">
        <v>72</v>
      </c>
      <c r="B246" t="s">
        <v>5207</v>
      </c>
      <c r="C246" t="s">
        <v>74</v>
      </c>
      <c r="D246" t="s">
        <v>74</v>
      </c>
      <c r="E246" t="s">
        <v>74</v>
      </c>
      <c r="F246" t="s">
        <v>5208</v>
      </c>
      <c r="G246" t="s">
        <v>74</v>
      </c>
      <c r="H246" t="s">
        <v>74</v>
      </c>
      <c r="I246" t="s">
        <v>5209</v>
      </c>
      <c r="J246" t="s">
        <v>5210</v>
      </c>
      <c r="K246" t="s">
        <v>74</v>
      </c>
      <c r="L246" t="s">
        <v>74</v>
      </c>
      <c r="M246" t="s">
        <v>78</v>
      </c>
      <c r="N246" t="s">
        <v>79</v>
      </c>
      <c r="O246" t="s">
        <v>74</v>
      </c>
      <c r="P246" t="s">
        <v>74</v>
      </c>
      <c r="Q246" t="s">
        <v>74</v>
      </c>
      <c r="R246" t="s">
        <v>74</v>
      </c>
      <c r="S246" t="s">
        <v>74</v>
      </c>
      <c r="T246" t="s">
        <v>5211</v>
      </c>
      <c r="U246" t="s">
        <v>5212</v>
      </c>
      <c r="V246" t="s">
        <v>5213</v>
      </c>
      <c r="W246" t="s">
        <v>5214</v>
      </c>
      <c r="X246" t="s">
        <v>5215</v>
      </c>
      <c r="Y246" t="s">
        <v>5216</v>
      </c>
      <c r="Z246" t="s">
        <v>5217</v>
      </c>
      <c r="AA246" t="s">
        <v>74</v>
      </c>
      <c r="AB246" t="s">
        <v>5218</v>
      </c>
      <c r="AC246" t="s">
        <v>5219</v>
      </c>
      <c r="AD246" t="s">
        <v>5220</v>
      </c>
      <c r="AE246" t="s">
        <v>5221</v>
      </c>
      <c r="AF246" t="s">
        <v>74</v>
      </c>
      <c r="AG246">
        <v>67</v>
      </c>
      <c r="AH246">
        <v>1</v>
      </c>
      <c r="AI246">
        <v>1</v>
      </c>
      <c r="AJ246">
        <v>0</v>
      </c>
      <c r="AK246">
        <v>4</v>
      </c>
      <c r="AL246" t="s">
        <v>1603</v>
      </c>
      <c r="AM246" t="s">
        <v>93</v>
      </c>
      <c r="AN246" t="s">
        <v>1604</v>
      </c>
      <c r="AO246" t="s">
        <v>5222</v>
      </c>
      <c r="AP246" t="s">
        <v>5223</v>
      </c>
      <c r="AQ246" t="s">
        <v>74</v>
      </c>
      <c r="AR246" t="s">
        <v>5224</v>
      </c>
      <c r="AS246" t="s">
        <v>5225</v>
      </c>
      <c r="AT246" t="s">
        <v>5226</v>
      </c>
      <c r="AU246">
        <v>2022</v>
      </c>
      <c r="AV246">
        <v>44</v>
      </c>
      <c r="AW246">
        <v>1</v>
      </c>
      <c r="AX246" t="s">
        <v>74</v>
      </c>
      <c r="AY246" t="s">
        <v>74</v>
      </c>
      <c r="AZ246" t="s">
        <v>74</v>
      </c>
      <c r="BA246" t="s">
        <v>74</v>
      </c>
      <c r="BB246">
        <v>116</v>
      </c>
      <c r="BC246">
        <v>129</v>
      </c>
      <c r="BD246" t="s">
        <v>74</v>
      </c>
      <c r="BE246" t="s">
        <v>5227</v>
      </c>
      <c r="BF246" t="str">
        <f>HYPERLINK("http://dx.doi.org/10.1093/plankt/fbab082","http://dx.doi.org/10.1093/plankt/fbab082")</f>
        <v>http://dx.doi.org/10.1093/plankt/fbab082</v>
      </c>
      <c r="BG246" t="s">
        <v>74</v>
      </c>
      <c r="BH246" t="s">
        <v>74</v>
      </c>
      <c r="BI246">
        <v>14</v>
      </c>
      <c r="BJ246" t="s">
        <v>772</v>
      </c>
      <c r="BK246" t="s">
        <v>103</v>
      </c>
      <c r="BL246" t="s">
        <v>772</v>
      </c>
      <c r="BM246" t="s">
        <v>5228</v>
      </c>
      <c r="BN246" t="s">
        <v>74</v>
      </c>
      <c r="BO246" t="s">
        <v>74</v>
      </c>
      <c r="BP246" t="s">
        <v>74</v>
      </c>
      <c r="BQ246" t="s">
        <v>74</v>
      </c>
      <c r="BR246" t="s">
        <v>106</v>
      </c>
      <c r="BS246" t="s">
        <v>5229</v>
      </c>
      <c r="BT246" t="str">
        <f>HYPERLINK("https%3A%2F%2Fwww.webofscience.com%2Fwos%2Fwoscc%2Ffull-record%2FWOS:000761462500010","View Full Record in Web of Science")</f>
        <v>View Full Record in Web of Science</v>
      </c>
    </row>
    <row r="247" spans="1:72" x14ac:dyDescent="0.15">
      <c r="A247" t="s">
        <v>72</v>
      </c>
      <c r="B247" t="s">
        <v>5230</v>
      </c>
      <c r="C247" t="s">
        <v>74</v>
      </c>
      <c r="D247" t="s">
        <v>74</v>
      </c>
      <c r="E247" t="s">
        <v>74</v>
      </c>
      <c r="F247" t="s">
        <v>5231</v>
      </c>
      <c r="G247" t="s">
        <v>74</v>
      </c>
      <c r="H247" t="s">
        <v>74</v>
      </c>
      <c r="I247" t="s">
        <v>5232</v>
      </c>
      <c r="J247" t="s">
        <v>137</v>
      </c>
      <c r="K247" t="s">
        <v>74</v>
      </c>
      <c r="L247" t="s">
        <v>74</v>
      </c>
      <c r="M247" t="s">
        <v>78</v>
      </c>
      <c r="N247" t="s">
        <v>79</v>
      </c>
      <c r="O247" t="s">
        <v>74</v>
      </c>
      <c r="P247" t="s">
        <v>74</v>
      </c>
      <c r="Q247" t="s">
        <v>74</v>
      </c>
      <c r="R247" t="s">
        <v>74</v>
      </c>
      <c r="S247" t="s">
        <v>74</v>
      </c>
      <c r="T247" t="s">
        <v>74</v>
      </c>
      <c r="U247" t="s">
        <v>5233</v>
      </c>
      <c r="V247" t="s">
        <v>5234</v>
      </c>
      <c r="W247" t="s">
        <v>5235</v>
      </c>
      <c r="X247" t="s">
        <v>5236</v>
      </c>
      <c r="Y247" t="s">
        <v>5237</v>
      </c>
      <c r="Z247" t="s">
        <v>5238</v>
      </c>
      <c r="AA247" t="s">
        <v>5239</v>
      </c>
      <c r="AB247" t="s">
        <v>5240</v>
      </c>
      <c r="AC247" t="s">
        <v>5241</v>
      </c>
      <c r="AD247" t="s">
        <v>5242</v>
      </c>
      <c r="AE247" t="s">
        <v>5243</v>
      </c>
      <c r="AF247" t="s">
        <v>74</v>
      </c>
      <c r="AG247">
        <v>190</v>
      </c>
      <c r="AH247">
        <v>14</v>
      </c>
      <c r="AI247">
        <v>14</v>
      </c>
      <c r="AJ247">
        <v>0</v>
      </c>
      <c r="AK247">
        <v>8</v>
      </c>
      <c r="AL247" t="s">
        <v>120</v>
      </c>
      <c r="AM247" t="s">
        <v>121</v>
      </c>
      <c r="AN247" t="s">
        <v>122</v>
      </c>
      <c r="AO247" t="s">
        <v>146</v>
      </c>
      <c r="AP247" t="s">
        <v>147</v>
      </c>
      <c r="AQ247" t="s">
        <v>74</v>
      </c>
      <c r="AR247" t="s">
        <v>148</v>
      </c>
      <c r="AS247" t="s">
        <v>149</v>
      </c>
      <c r="AT247" t="s">
        <v>5226</v>
      </c>
      <c r="AU247">
        <v>2022</v>
      </c>
      <c r="AV247">
        <v>15</v>
      </c>
      <c r="AW247">
        <v>2</v>
      </c>
      <c r="AX247" t="s">
        <v>74</v>
      </c>
      <c r="AY247" t="s">
        <v>74</v>
      </c>
      <c r="AZ247" t="s">
        <v>74</v>
      </c>
      <c r="BA247" t="s">
        <v>74</v>
      </c>
      <c r="BB247">
        <v>553</v>
      </c>
      <c r="BC247">
        <v>594</v>
      </c>
      <c r="BD247" t="s">
        <v>74</v>
      </c>
      <c r="BE247" t="s">
        <v>5244</v>
      </c>
      <c r="BF247" t="str">
        <f>HYPERLINK("http://dx.doi.org/10.5194/gmd-15-553-2022","http://dx.doi.org/10.5194/gmd-15-553-2022")</f>
        <v>http://dx.doi.org/10.5194/gmd-15-553-2022</v>
      </c>
      <c r="BG247" t="s">
        <v>74</v>
      </c>
      <c r="BH247" t="s">
        <v>74</v>
      </c>
      <c r="BI247">
        <v>42</v>
      </c>
      <c r="BJ247" t="s">
        <v>151</v>
      </c>
      <c r="BK247" t="s">
        <v>103</v>
      </c>
      <c r="BL247" t="s">
        <v>152</v>
      </c>
      <c r="BM247" t="s">
        <v>5245</v>
      </c>
      <c r="BN247" t="s">
        <v>74</v>
      </c>
      <c r="BO247" t="s">
        <v>2277</v>
      </c>
      <c r="BP247" t="s">
        <v>74</v>
      </c>
      <c r="BQ247" t="s">
        <v>74</v>
      </c>
      <c r="BR247" t="s">
        <v>106</v>
      </c>
      <c r="BS247" t="s">
        <v>5246</v>
      </c>
      <c r="BT247" t="str">
        <f>HYPERLINK("https%3A%2F%2Fwww.webofscience.com%2Fwos%2Fwoscc%2Ffull-record%2FWOS:000751173900001","View Full Record in Web of Science")</f>
        <v>View Full Record in Web of Science</v>
      </c>
    </row>
    <row r="248" spans="1:72" x14ac:dyDescent="0.15">
      <c r="A248" t="s">
        <v>72</v>
      </c>
      <c r="B248" t="s">
        <v>5247</v>
      </c>
      <c r="C248" t="s">
        <v>74</v>
      </c>
      <c r="D248" t="s">
        <v>74</v>
      </c>
      <c r="E248" t="s">
        <v>74</v>
      </c>
      <c r="F248" t="s">
        <v>5248</v>
      </c>
      <c r="G248" t="s">
        <v>74</v>
      </c>
      <c r="H248" t="s">
        <v>74</v>
      </c>
      <c r="I248" t="s">
        <v>5249</v>
      </c>
      <c r="J248" t="s">
        <v>5250</v>
      </c>
      <c r="K248" t="s">
        <v>74</v>
      </c>
      <c r="L248" t="s">
        <v>74</v>
      </c>
      <c r="M248" t="s">
        <v>78</v>
      </c>
      <c r="N248" t="s">
        <v>79</v>
      </c>
      <c r="O248" t="s">
        <v>74</v>
      </c>
      <c r="P248" t="s">
        <v>74</v>
      </c>
      <c r="Q248" t="s">
        <v>74</v>
      </c>
      <c r="R248" t="s">
        <v>74</v>
      </c>
      <c r="S248" t="s">
        <v>74</v>
      </c>
      <c r="T248" t="s">
        <v>5251</v>
      </c>
      <c r="U248" t="s">
        <v>5252</v>
      </c>
      <c r="V248" t="s">
        <v>5253</v>
      </c>
      <c r="W248" t="s">
        <v>5254</v>
      </c>
      <c r="X248" t="s">
        <v>5255</v>
      </c>
      <c r="Y248" t="s">
        <v>5256</v>
      </c>
      <c r="Z248" t="s">
        <v>5257</v>
      </c>
      <c r="AA248" t="s">
        <v>5258</v>
      </c>
      <c r="AB248" t="s">
        <v>5259</v>
      </c>
      <c r="AC248" t="s">
        <v>5260</v>
      </c>
      <c r="AD248" t="s">
        <v>5261</v>
      </c>
      <c r="AE248" t="s">
        <v>5262</v>
      </c>
      <c r="AF248" t="s">
        <v>74</v>
      </c>
      <c r="AG248">
        <v>125</v>
      </c>
      <c r="AH248">
        <v>6</v>
      </c>
      <c r="AI248">
        <v>6</v>
      </c>
      <c r="AJ248">
        <v>0</v>
      </c>
      <c r="AK248">
        <v>4</v>
      </c>
      <c r="AL248" t="s">
        <v>92</v>
      </c>
      <c r="AM248" t="s">
        <v>93</v>
      </c>
      <c r="AN248" t="s">
        <v>94</v>
      </c>
      <c r="AO248" t="s">
        <v>5263</v>
      </c>
      <c r="AP248" t="s">
        <v>5264</v>
      </c>
      <c r="AQ248" t="s">
        <v>74</v>
      </c>
      <c r="AR248" t="s">
        <v>5265</v>
      </c>
      <c r="AS248" t="s">
        <v>5266</v>
      </c>
      <c r="AT248" t="s">
        <v>889</v>
      </c>
      <c r="AU248">
        <v>2022</v>
      </c>
      <c r="AV248">
        <v>319</v>
      </c>
      <c r="AW248" t="s">
        <v>74</v>
      </c>
      <c r="AX248" t="s">
        <v>74</v>
      </c>
      <c r="AY248" t="s">
        <v>74</v>
      </c>
      <c r="AZ248" t="s">
        <v>74</v>
      </c>
      <c r="BA248" t="s">
        <v>74</v>
      </c>
      <c r="BB248">
        <v>94</v>
      </c>
      <c r="BC248">
        <v>117</v>
      </c>
      <c r="BD248" t="s">
        <v>74</v>
      </c>
      <c r="BE248" t="s">
        <v>5267</v>
      </c>
      <c r="BF248" t="str">
        <f>HYPERLINK("http://dx.doi.org/10.1016/j.gca.2021.11.019","http://dx.doi.org/10.1016/j.gca.2021.11.019")</f>
        <v>http://dx.doi.org/10.1016/j.gca.2021.11.019</v>
      </c>
      <c r="BG248" t="s">
        <v>74</v>
      </c>
      <c r="BH248" t="s">
        <v>4536</v>
      </c>
      <c r="BI248">
        <v>24</v>
      </c>
      <c r="BJ248" t="s">
        <v>1014</v>
      </c>
      <c r="BK248" t="s">
        <v>103</v>
      </c>
      <c r="BL248" t="s">
        <v>1014</v>
      </c>
      <c r="BM248" t="s">
        <v>5268</v>
      </c>
      <c r="BN248" t="s">
        <v>74</v>
      </c>
      <c r="BO248" t="s">
        <v>749</v>
      </c>
      <c r="BP248" t="s">
        <v>74</v>
      </c>
      <c r="BQ248" t="s">
        <v>74</v>
      </c>
      <c r="BR248" t="s">
        <v>106</v>
      </c>
      <c r="BS248" t="s">
        <v>5269</v>
      </c>
      <c r="BT248" t="str">
        <f>HYPERLINK("https%3A%2F%2Fwww.webofscience.com%2Fwos%2Fwoscc%2Ffull-record%2FWOS:000820068400001","View Full Record in Web of Science")</f>
        <v>View Full Record in Web of Science</v>
      </c>
    </row>
    <row r="249" spans="1:72" x14ac:dyDescent="0.15">
      <c r="A249" t="s">
        <v>72</v>
      </c>
      <c r="B249" t="s">
        <v>5270</v>
      </c>
      <c r="C249" t="s">
        <v>74</v>
      </c>
      <c r="D249" t="s">
        <v>74</v>
      </c>
      <c r="E249" t="s">
        <v>74</v>
      </c>
      <c r="F249" t="s">
        <v>5271</v>
      </c>
      <c r="G249" t="s">
        <v>74</v>
      </c>
      <c r="H249" t="s">
        <v>2472</v>
      </c>
      <c r="I249" t="s">
        <v>5272</v>
      </c>
      <c r="J249" t="s">
        <v>2474</v>
      </c>
      <c r="K249" t="s">
        <v>74</v>
      </c>
      <c r="L249" t="s">
        <v>74</v>
      </c>
      <c r="M249" t="s">
        <v>78</v>
      </c>
      <c r="N249" t="s">
        <v>79</v>
      </c>
      <c r="O249" t="s">
        <v>74</v>
      </c>
      <c r="P249" t="s">
        <v>74</v>
      </c>
      <c r="Q249" t="s">
        <v>74</v>
      </c>
      <c r="R249" t="s">
        <v>74</v>
      </c>
      <c r="S249" t="s">
        <v>74</v>
      </c>
      <c r="T249" t="s">
        <v>5273</v>
      </c>
      <c r="U249" t="s">
        <v>5274</v>
      </c>
      <c r="V249" t="s">
        <v>5275</v>
      </c>
      <c r="W249" t="s">
        <v>5276</v>
      </c>
      <c r="X249" t="s">
        <v>5277</v>
      </c>
      <c r="Y249" t="s">
        <v>5278</v>
      </c>
      <c r="Z249" t="s">
        <v>5279</v>
      </c>
      <c r="AA249" t="s">
        <v>5280</v>
      </c>
      <c r="AB249" t="s">
        <v>5281</v>
      </c>
      <c r="AC249" t="s">
        <v>5282</v>
      </c>
      <c r="AD249" t="s">
        <v>5283</v>
      </c>
      <c r="AE249" t="s">
        <v>5284</v>
      </c>
      <c r="AF249" t="s">
        <v>74</v>
      </c>
      <c r="AG249">
        <v>175</v>
      </c>
      <c r="AH249">
        <v>10</v>
      </c>
      <c r="AI249">
        <v>10</v>
      </c>
      <c r="AJ249">
        <v>1</v>
      </c>
      <c r="AK249">
        <v>6</v>
      </c>
      <c r="AL249" t="s">
        <v>310</v>
      </c>
      <c r="AM249" t="s">
        <v>311</v>
      </c>
      <c r="AN249" t="s">
        <v>312</v>
      </c>
      <c r="AO249" t="s">
        <v>2487</v>
      </c>
      <c r="AP249" t="s">
        <v>2488</v>
      </c>
      <c r="AQ249" t="s">
        <v>74</v>
      </c>
      <c r="AR249" t="s">
        <v>2474</v>
      </c>
      <c r="AS249" t="s">
        <v>2489</v>
      </c>
      <c r="AT249" t="s">
        <v>1153</v>
      </c>
      <c r="AU249">
        <v>2022</v>
      </c>
      <c r="AV249">
        <v>401</v>
      </c>
      <c r="AW249" t="s">
        <v>74</v>
      </c>
      <c r="AX249" t="s">
        <v>74</v>
      </c>
      <c r="AY249" t="s">
        <v>74</v>
      </c>
      <c r="AZ249" t="s">
        <v>74</v>
      </c>
      <c r="BA249" t="s">
        <v>74</v>
      </c>
      <c r="BB249" t="s">
        <v>74</v>
      </c>
      <c r="BC249" t="s">
        <v>74</v>
      </c>
      <c r="BD249">
        <v>108112</v>
      </c>
      <c r="BE249" t="s">
        <v>5285</v>
      </c>
      <c r="BF249" t="str">
        <f>HYPERLINK("http://dx.doi.org/10.1016/j.geomorph.2022.108112","http://dx.doi.org/10.1016/j.geomorph.2022.108112")</f>
        <v>http://dx.doi.org/10.1016/j.geomorph.2022.108112</v>
      </c>
      <c r="BG249" t="s">
        <v>74</v>
      </c>
      <c r="BH249" t="s">
        <v>4536</v>
      </c>
      <c r="BI249">
        <v>19</v>
      </c>
      <c r="BJ249" t="s">
        <v>208</v>
      </c>
      <c r="BK249" t="s">
        <v>103</v>
      </c>
      <c r="BL249" t="s">
        <v>209</v>
      </c>
      <c r="BM249" t="s">
        <v>2491</v>
      </c>
      <c r="BN249" t="s">
        <v>74</v>
      </c>
      <c r="BO249" t="s">
        <v>749</v>
      </c>
      <c r="BP249" t="s">
        <v>74</v>
      </c>
      <c r="BQ249" t="s">
        <v>74</v>
      </c>
      <c r="BR249" t="s">
        <v>106</v>
      </c>
      <c r="BS249" t="s">
        <v>5286</v>
      </c>
      <c r="BT249" t="str">
        <f>HYPERLINK("https%3A%2F%2Fwww.webofscience.com%2Fwos%2Fwoscc%2Ffull-record%2FWOS:000784307000006","View Full Record in Web of Science")</f>
        <v>View Full Record in Web of Science</v>
      </c>
    </row>
    <row r="250" spans="1:72" x14ac:dyDescent="0.15">
      <c r="A250" t="s">
        <v>72</v>
      </c>
      <c r="B250" t="s">
        <v>5287</v>
      </c>
      <c r="C250" t="s">
        <v>74</v>
      </c>
      <c r="D250" t="s">
        <v>74</v>
      </c>
      <c r="E250" t="s">
        <v>74</v>
      </c>
      <c r="F250" t="s">
        <v>5288</v>
      </c>
      <c r="G250" t="s">
        <v>74</v>
      </c>
      <c r="H250" t="s">
        <v>74</v>
      </c>
      <c r="I250" t="s">
        <v>5289</v>
      </c>
      <c r="J250" t="s">
        <v>5290</v>
      </c>
      <c r="K250" t="s">
        <v>74</v>
      </c>
      <c r="L250" t="s">
        <v>74</v>
      </c>
      <c r="M250" t="s">
        <v>78</v>
      </c>
      <c r="N250" t="s">
        <v>79</v>
      </c>
      <c r="O250" t="s">
        <v>74</v>
      </c>
      <c r="P250" t="s">
        <v>74</v>
      </c>
      <c r="Q250" t="s">
        <v>74</v>
      </c>
      <c r="R250" t="s">
        <v>74</v>
      </c>
      <c r="S250" t="s">
        <v>74</v>
      </c>
      <c r="T250" t="s">
        <v>5291</v>
      </c>
      <c r="U250" t="s">
        <v>5292</v>
      </c>
      <c r="V250" t="s">
        <v>5293</v>
      </c>
      <c r="W250" t="s">
        <v>5294</v>
      </c>
      <c r="X250" t="s">
        <v>5295</v>
      </c>
      <c r="Y250" t="s">
        <v>5296</v>
      </c>
      <c r="Z250" t="s">
        <v>5297</v>
      </c>
      <c r="AA250" t="s">
        <v>5298</v>
      </c>
      <c r="AB250" t="s">
        <v>5299</v>
      </c>
      <c r="AC250" t="s">
        <v>5300</v>
      </c>
      <c r="AD250" t="s">
        <v>5301</v>
      </c>
      <c r="AE250" t="s">
        <v>5302</v>
      </c>
      <c r="AF250" t="s">
        <v>74</v>
      </c>
      <c r="AG250">
        <v>49</v>
      </c>
      <c r="AH250">
        <v>1</v>
      </c>
      <c r="AI250">
        <v>2</v>
      </c>
      <c r="AJ250">
        <v>7</v>
      </c>
      <c r="AK250">
        <v>23</v>
      </c>
      <c r="AL250" t="s">
        <v>1170</v>
      </c>
      <c r="AM250" t="s">
        <v>436</v>
      </c>
      <c r="AN250" t="s">
        <v>1171</v>
      </c>
      <c r="AO250" t="s">
        <v>5303</v>
      </c>
      <c r="AP250" t="s">
        <v>5304</v>
      </c>
      <c r="AQ250" t="s">
        <v>74</v>
      </c>
      <c r="AR250" t="s">
        <v>5305</v>
      </c>
      <c r="AS250" t="s">
        <v>5306</v>
      </c>
      <c r="AT250" t="s">
        <v>5307</v>
      </c>
      <c r="AU250">
        <v>2022</v>
      </c>
      <c r="AV250">
        <v>380</v>
      </c>
      <c r="AW250">
        <v>2215</v>
      </c>
      <c r="AX250" t="s">
        <v>74</v>
      </c>
      <c r="AY250" t="s">
        <v>74</v>
      </c>
      <c r="AZ250" t="s">
        <v>74</v>
      </c>
      <c r="BA250" t="s">
        <v>74</v>
      </c>
      <c r="BB250" t="s">
        <v>74</v>
      </c>
      <c r="BC250" t="s">
        <v>74</v>
      </c>
      <c r="BD250">
        <v>20210192</v>
      </c>
      <c r="BE250" t="s">
        <v>5308</v>
      </c>
      <c r="BF250" t="str">
        <f>HYPERLINK("http://dx.doi.org/10.1098/rsta.2021.0192","http://dx.doi.org/10.1098/rsta.2021.0192")</f>
        <v>http://dx.doi.org/10.1098/rsta.2021.0192</v>
      </c>
      <c r="BG250" t="s">
        <v>74</v>
      </c>
      <c r="BH250" t="s">
        <v>74</v>
      </c>
      <c r="BI250">
        <v>18</v>
      </c>
      <c r="BJ250" t="s">
        <v>289</v>
      </c>
      <c r="BK250" t="s">
        <v>103</v>
      </c>
      <c r="BL250" t="s">
        <v>290</v>
      </c>
      <c r="BM250" t="s">
        <v>5309</v>
      </c>
      <c r="BN250">
        <v>34865529</v>
      </c>
      <c r="BO250" t="s">
        <v>1890</v>
      </c>
      <c r="BP250" t="s">
        <v>74</v>
      </c>
      <c r="BQ250" t="s">
        <v>74</v>
      </c>
      <c r="BR250" t="s">
        <v>106</v>
      </c>
      <c r="BS250" t="s">
        <v>5310</v>
      </c>
      <c r="BT250" t="str">
        <f>HYPERLINK("https%3A%2F%2Fwww.webofscience.com%2Fwos%2Fwoscc%2Ffull-record%2FWOS:000784085600009","View Full Record in Web of Science")</f>
        <v>View Full Record in Web of Science</v>
      </c>
    </row>
    <row r="251" spans="1:72" x14ac:dyDescent="0.15">
      <c r="A251" t="s">
        <v>72</v>
      </c>
      <c r="B251" t="s">
        <v>5311</v>
      </c>
      <c r="C251" t="s">
        <v>74</v>
      </c>
      <c r="D251" t="s">
        <v>74</v>
      </c>
      <c r="E251" t="s">
        <v>74</v>
      </c>
      <c r="F251" t="s">
        <v>5312</v>
      </c>
      <c r="G251" t="s">
        <v>74</v>
      </c>
      <c r="H251" t="s">
        <v>74</v>
      </c>
      <c r="I251" t="s">
        <v>5313</v>
      </c>
      <c r="J251" t="s">
        <v>5290</v>
      </c>
      <c r="K251" t="s">
        <v>74</v>
      </c>
      <c r="L251" t="s">
        <v>74</v>
      </c>
      <c r="M251" t="s">
        <v>78</v>
      </c>
      <c r="N251" t="s">
        <v>79</v>
      </c>
      <c r="O251" t="s">
        <v>74</v>
      </c>
      <c r="P251" t="s">
        <v>74</v>
      </c>
      <c r="Q251" t="s">
        <v>74</v>
      </c>
      <c r="R251" t="s">
        <v>74</v>
      </c>
      <c r="S251" t="s">
        <v>74</v>
      </c>
      <c r="T251" t="s">
        <v>5314</v>
      </c>
      <c r="U251" t="s">
        <v>5315</v>
      </c>
      <c r="V251" t="s">
        <v>5316</v>
      </c>
      <c r="W251" t="s">
        <v>5317</v>
      </c>
      <c r="X251" t="s">
        <v>5318</v>
      </c>
      <c r="Y251" t="s">
        <v>5319</v>
      </c>
      <c r="Z251" t="s">
        <v>5320</v>
      </c>
      <c r="AA251" t="s">
        <v>5321</v>
      </c>
      <c r="AB251" t="s">
        <v>5322</v>
      </c>
      <c r="AC251" t="s">
        <v>5323</v>
      </c>
      <c r="AD251" t="s">
        <v>5324</v>
      </c>
      <c r="AE251" t="s">
        <v>5325</v>
      </c>
      <c r="AF251" t="s">
        <v>74</v>
      </c>
      <c r="AG251">
        <v>53</v>
      </c>
      <c r="AH251">
        <v>7</v>
      </c>
      <c r="AI251">
        <v>7</v>
      </c>
      <c r="AJ251">
        <v>3</v>
      </c>
      <c r="AK251">
        <v>20</v>
      </c>
      <c r="AL251" t="s">
        <v>1170</v>
      </c>
      <c r="AM251" t="s">
        <v>436</v>
      </c>
      <c r="AN251" t="s">
        <v>1171</v>
      </c>
      <c r="AO251" t="s">
        <v>5303</v>
      </c>
      <c r="AP251" t="s">
        <v>5304</v>
      </c>
      <c r="AQ251" t="s">
        <v>74</v>
      </c>
      <c r="AR251" t="s">
        <v>5305</v>
      </c>
      <c r="AS251" t="s">
        <v>5306</v>
      </c>
      <c r="AT251" t="s">
        <v>5307</v>
      </c>
      <c r="AU251">
        <v>2022</v>
      </c>
      <c r="AV251">
        <v>380</v>
      </c>
      <c r="AW251">
        <v>2215</v>
      </c>
      <c r="AX251" t="s">
        <v>74</v>
      </c>
      <c r="AY251" t="s">
        <v>74</v>
      </c>
      <c r="AZ251" t="s">
        <v>74</v>
      </c>
      <c r="BA251" t="s">
        <v>74</v>
      </c>
      <c r="BB251" t="s">
        <v>74</v>
      </c>
      <c r="BC251" t="s">
        <v>74</v>
      </c>
      <c r="BD251">
        <v>20200449</v>
      </c>
      <c r="BE251" t="s">
        <v>5326</v>
      </c>
      <c r="BF251" t="str">
        <f>HYPERLINK("http://dx.doi.org/10.1098/rsta.2020.0449","http://dx.doi.org/10.1098/rsta.2020.0449")</f>
        <v>http://dx.doi.org/10.1098/rsta.2020.0449</v>
      </c>
      <c r="BG251" t="s">
        <v>74</v>
      </c>
      <c r="BH251" t="s">
        <v>74</v>
      </c>
      <c r="BI251">
        <v>18</v>
      </c>
      <c r="BJ251" t="s">
        <v>289</v>
      </c>
      <c r="BK251" t="s">
        <v>103</v>
      </c>
      <c r="BL251" t="s">
        <v>290</v>
      </c>
      <c r="BM251" t="s">
        <v>5309</v>
      </c>
      <c r="BN251">
        <v>34865534</v>
      </c>
      <c r="BO251" t="s">
        <v>5327</v>
      </c>
      <c r="BP251" t="s">
        <v>74</v>
      </c>
      <c r="BQ251" t="s">
        <v>74</v>
      </c>
      <c r="BR251" t="s">
        <v>106</v>
      </c>
      <c r="BS251" t="s">
        <v>5328</v>
      </c>
      <c r="BT251" t="str">
        <f>HYPERLINK("https%3A%2F%2Fwww.webofscience.com%2Fwos%2Fwoscc%2Ffull-record%2FWOS:000784085600003","View Full Record in Web of Science")</f>
        <v>View Full Record in Web of Science</v>
      </c>
    </row>
    <row r="252" spans="1:72" x14ac:dyDescent="0.15">
      <c r="A252" t="s">
        <v>72</v>
      </c>
      <c r="B252" t="s">
        <v>5329</v>
      </c>
      <c r="C252" t="s">
        <v>74</v>
      </c>
      <c r="D252" t="s">
        <v>74</v>
      </c>
      <c r="E252" t="s">
        <v>74</v>
      </c>
      <c r="F252" t="s">
        <v>5330</v>
      </c>
      <c r="G252" t="s">
        <v>74</v>
      </c>
      <c r="H252" t="s">
        <v>5331</v>
      </c>
      <c r="I252" t="s">
        <v>5332</v>
      </c>
      <c r="J252" t="s">
        <v>5290</v>
      </c>
      <c r="K252" t="s">
        <v>74</v>
      </c>
      <c r="L252" t="s">
        <v>74</v>
      </c>
      <c r="M252" t="s">
        <v>78</v>
      </c>
      <c r="N252" t="s">
        <v>79</v>
      </c>
      <c r="O252" t="s">
        <v>74</v>
      </c>
      <c r="P252" t="s">
        <v>74</v>
      </c>
      <c r="Q252" t="s">
        <v>74</v>
      </c>
      <c r="R252" t="s">
        <v>74</v>
      </c>
      <c r="S252" t="s">
        <v>74</v>
      </c>
      <c r="T252" t="s">
        <v>5333</v>
      </c>
      <c r="U252" t="s">
        <v>5334</v>
      </c>
      <c r="V252" t="s">
        <v>5335</v>
      </c>
      <c r="W252" t="s">
        <v>5336</v>
      </c>
      <c r="X252" t="s">
        <v>5337</v>
      </c>
      <c r="Y252" t="s">
        <v>5338</v>
      </c>
      <c r="Z252" t="s">
        <v>5339</v>
      </c>
      <c r="AA252" t="s">
        <v>5340</v>
      </c>
      <c r="AB252" t="s">
        <v>5341</v>
      </c>
      <c r="AC252" t="s">
        <v>5342</v>
      </c>
      <c r="AD252" t="s">
        <v>5343</v>
      </c>
      <c r="AE252" t="s">
        <v>5344</v>
      </c>
      <c r="AF252" t="s">
        <v>74</v>
      </c>
      <c r="AG252">
        <v>59</v>
      </c>
      <c r="AH252">
        <v>6</v>
      </c>
      <c r="AI252">
        <v>6</v>
      </c>
      <c r="AJ252">
        <v>3</v>
      </c>
      <c r="AK252">
        <v>15</v>
      </c>
      <c r="AL252" t="s">
        <v>1170</v>
      </c>
      <c r="AM252" t="s">
        <v>436</v>
      </c>
      <c r="AN252" t="s">
        <v>1171</v>
      </c>
      <c r="AO252" t="s">
        <v>5303</v>
      </c>
      <c r="AP252" t="s">
        <v>5304</v>
      </c>
      <c r="AQ252" t="s">
        <v>74</v>
      </c>
      <c r="AR252" t="s">
        <v>5305</v>
      </c>
      <c r="AS252" t="s">
        <v>5306</v>
      </c>
      <c r="AT252" t="s">
        <v>5307</v>
      </c>
      <c r="AU252">
        <v>2022</v>
      </c>
      <c r="AV252">
        <v>380</v>
      </c>
      <c r="AW252">
        <v>2215</v>
      </c>
      <c r="AX252" t="s">
        <v>74</v>
      </c>
      <c r="AY252" t="s">
        <v>74</v>
      </c>
      <c r="AZ252" t="s">
        <v>74</v>
      </c>
      <c r="BA252" t="s">
        <v>74</v>
      </c>
      <c r="BB252" t="s">
        <v>74</v>
      </c>
      <c r="BC252" t="s">
        <v>74</v>
      </c>
      <c r="BD252">
        <v>20210112</v>
      </c>
      <c r="BE252" t="s">
        <v>5345</v>
      </c>
      <c r="BF252" t="str">
        <f>HYPERLINK("http://dx.doi.org/10.1098/rsta.2021.0112","http://dx.doi.org/10.1098/rsta.2021.0112")</f>
        <v>http://dx.doi.org/10.1098/rsta.2021.0112</v>
      </c>
      <c r="BG252" t="s">
        <v>74</v>
      </c>
      <c r="BH252" t="s">
        <v>74</v>
      </c>
      <c r="BI252">
        <v>17</v>
      </c>
      <c r="BJ252" t="s">
        <v>289</v>
      </c>
      <c r="BK252" t="s">
        <v>103</v>
      </c>
      <c r="BL252" t="s">
        <v>290</v>
      </c>
      <c r="BM252" t="s">
        <v>5309</v>
      </c>
      <c r="BN252">
        <v>34865533</v>
      </c>
      <c r="BO252" t="s">
        <v>5327</v>
      </c>
      <c r="BP252" t="s">
        <v>74</v>
      </c>
      <c r="BQ252" t="s">
        <v>74</v>
      </c>
      <c r="BR252" t="s">
        <v>106</v>
      </c>
      <c r="BS252" t="s">
        <v>5346</v>
      </c>
      <c r="BT252" t="str">
        <f>HYPERLINK("https%3A%2F%2Fwww.webofscience.com%2Fwos%2Fwoscc%2Ffull-record%2FWOS:000784085600007","View Full Record in Web of Science")</f>
        <v>View Full Record in Web of Science</v>
      </c>
    </row>
    <row r="253" spans="1:72" x14ac:dyDescent="0.15">
      <c r="A253" t="s">
        <v>72</v>
      </c>
      <c r="B253" t="s">
        <v>5347</v>
      </c>
      <c r="C253" t="s">
        <v>74</v>
      </c>
      <c r="D253" t="s">
        <v>74</v>
      </c>
      <c r="E253" t="s">
        <v>74</v>
      </c>
      <c r="F253" t="s">
        <v>5348</v>
      </c>
      <c r="G253" t="s">
        <v>74</v>
      </c>
      <c r="H253" t="s">
        <v>74</v>
      </c>
      <c r="I253" t="s">
        <v>5349</v>
      </c>
      <c r="J253" t="s">
        <v>5290</v>
      </c>
      <c r="K253" t="s">
        <v>74</v>
      </c>
      <c r="L253" t="s">
        <v>74</v>
      </c>
      <c r="M253" t="s">
        <v>78</v>
      </c>
      <c r="N253" t="s">
        <v>79</v>
      </c>
      <c r="O253" t="s">
        <v>74</v>
      </c>
      <c r="P253" t="s">
        <v>74</v>
      </c>
      <c r="Q253" t="s">
        <v>74</v>
      </c>
      <c r="R253" t="s">
        <v>74</v>
      </c>
      <c r="S253" t="s">
        <v>74</v>
      </c>
      <c r="T253" t="s">
        <v>5350</v>
      </c>
      <c r="U253" t="s">
        <v>5351</v>
      </c>
      <c r="V253" t="s">
        <v>5352</v>
      </c>
      <c r="W253" t="s">
        <v>5353</v>
      </c>
      <c r="X253" t="s">
        <v>5354</v>
      </c>
      <c r="Y253" t="s">
        <v>5355</v>
      </c>
      <c r="Z253" t="s">
        <v>5356</v>
      </c>
      <c r="AA253" t="s">
        <v>5357</v>
      </c>
      <c r="AB253" t="s">
        <v>5358</v>
      </c>
      <c r="AC253" t="s">
        <v>5359</v>
      </c>
      <c r="AD253" t="s">
        <v>5360</v>
      </c>
      <c r="AE253" t="s">
        <v>5361</v>
      </c>
      <c r="AF253" t="s">
        <v>74</v>
      </c>
      <c r="AG253">
        <v>41</v>
      </c>
      <c r="AH253">
        <v>11</v>
      </c>
      <c r="AI253">
        <v>11</v>
      </c>
      <c r="AJ253">
        <v>14</v>
      </c>
      <c r="AK253">
        <v>61</v>
      </c>
      <c r="AL253" t="s">
        <v>1170</v>
      </c>
      <c r="AM253" t="s">
        <v>436</v>
      </c>
      <c r="AN253" t="s">
        <v>1171</v>
      </c>
      <c r="AO253" t="s">
        <v>5303</v>
      </c>
      <c r="AP253" t="s">
        <v>5304</v>
      </c>
      <c r="AQ253" t="s">
        <v>74</v>
      </c>
      <c r="AR253" t="s">
        <v>5305</v>
      </c>
      <c r="AS253" t="s">
        <v>5306</v>
      </c>
      <c r="AT253" t="s">
        <v>5307</v>
      </c>
      <c r="AU253">
        <v>2022</v>
      </c>
      <c r="AV253">
        <v>380</v>
      </c>
      <c r="AW253">
        <v>2215</v>
      </c>
      <c r="AX253" t="s">
        <v>74</v>
      </c>
      <c r="AY253" t="s">
        <v>74</v>
      </c>
      <c r="AZ253" t="s">
        <v>74</v>
      </c>
      <c r="BA253" t="s">
        <v>74</v>
      </c>
      <c r="BB253" t="s">
        <v>74</v>
      </c>
      <c r="BC253" t="s">
        <v>74</v>
      </c>
      <c r="BD253">
        <v>20210108</v>
      </c>
      <c r="BE253" t="s">
        <v>5362</v>
      </c>
      <c r="BF253" t="str">
        <f>HYPERLINK("http://dx.doi.org/10.1098/rsta.2021.0108","http://dx.doi.org/10.1098/rsta.2021.0108")</f>
        <v>http://dx.doi.org/10.1098/rsta.2021.0108</v>
      </c>
      <c r="BG253" t="s">
        <v>74</v>
      </c>
      <c r="BH253" t="s">
        <v>74</v>
      </c>
      <c r="BI253">
        <v>12</v>
      </c>
      <c r="BJ253" t="s">
        <v>289</v>
      </c>
      <c r="BK253" t="s">
        <v>103</v>
      </c>
      <c r="BL253" t="s">
        <v>290</v>
      </c>
      <c r="BM253" t="s">
        <v>5309</v>
      </c>
      <c r="BN253">
        <v>34865528</v>
      </c>
      <c r="BO253" t="s">
        <v>659</v>
      </c>
      <c r="BP253" t="s">
        <v>74</v>
      </c>
      <c r="BQ253" t="s">
        <v>74</v>
      </c>
      <c r="BR253" t="s">
        <v>106</v>
      </c>
      <c r="BS253" t="s">
        <v>5363</v>
      </c>
      <c r="BT253" t="str">
        <f>HYPERLINK("https%3A%2F%2Fwww.webofscience.com%2Fwos%2Fwoscc%2Ffull-record%2FWOS:000784085600006","View Full Record in Web of Science")</f>
        <v>View Full Record in Web of Science</v>
      </c>
    </row>
    <row r="254" spans="1:72" x14ac:dyDescent="0.15">
      <c r="A254" t="s">
        <v>72</v>
      </c>
      <c r="B254" t="s">
        <v>5364</v>
      </c>
      <c r="C254" t="s">
        <v>74</v>
      </c>
      <c r="D254" t="s">
        <v>74</v>
      </c>
      <c r="E254" t="s">
        <v>74</v>
      </c>
      <c r="F254" t="s">
        <v>5365</v>
      </c>
      <c r="G254" t="s">
        <v>74</v>
      </c>
      <c r="H254" t="s">
        <v>74</v>
      </c>
      <c r="I254" t="s">
        <v>5366</v>
      </c>
      <c r="J254" t="s">
        <v>5290</v>
      </c>
      <c r="K254" t="s">
        <v>74</v>
      </c>
      <c r="L254" t="s">
        <v>74</v>
      </c>
      <c r="M254" t="s">
        <v>78</v>
      </c>
      <c r="N254" t="s">
        <v>779</v>
      </c>
      <c r="O254" t="s">
        <v>74</v>
      </c>
      <c r="P254" t="s">
        <v>74</v>
      </c>
      <c r="Q254" t="s">
        <v>74</v>
      </c>
      <c r="R254" t="s">
        <v>74</v>
      </c>
      <c r="S254" t="s">
        <v>74</v>
      </c>
      <c r="T254" t="s">
        <v>74</v>
      </c>
      <c r="U254" t="s">
        <v>74</v>
      </c>
      <c r="V254" t="s">
        <v>74</v>
      </c>
      <c r="W254" t="s">
        <v>5367</v>
      </c>
      <c r="X254" t="s">
        <v>5368</v>
      </c>
      <c r="Y254" t="s">
        <v>5369</v>
      </c>
      <c r="Z254" t="s">
        <v>5356</v>
      </c>
      <c r="AA254" t="s">
        <v>5370</v>
      </c>
      <c r="AB254" t="s">
        <v>5371</v>
      </c>
      <c r="AC254" t="s">
        <v>5372</v>
      </c>
      <c r="AD254" t="s">
        <v>5373</v>
      </c>
      <c r="AE254" t="s">
        <v>74</v>
      </c>
      <c r="AF254" t="s">
        <v>74</v>
      </c>
      <c r="AG254">
        <v>0</v>
      </c>
      <c r="AH254">
        <v>4</v>
      </c>
      <c r="AI254">
        <v>4</v>
      </c>
      <c r="AJ254">
        <v>5</v>
      </c>
      <c r="AK254">
        <v>17</v>
      </c>
      <c r="AL254" t="s">
        <v>1170</v>
      </c>
      <c r="AM254" t="s">
        <v>436</v>
      </c>
      <c r="AN254" t="s">
        <v>1171</v>
      </c>
      <c r="AO254" t="s">
        <v>5303</v>
      </c>
      <c r="AP254" t="s">
        <v>5304</v>
      </c>
      <c r="AQ254" t="s">
        <v>74</v>
      </c>
      <c r="AR254" t="s">
        <v>5305</v>
      </c>
      <c r="AS254" t="s">
        <v>5306</v>
      </c>
      <c r="AT254" t="s">
        <v>5307</v>
      </c>
      <c r="AU254">
        <v>2022</v>
      </c>
      <c r="AV254">
        <v>380</v>
      </c>
      <c r="AW254">
        <v>2215</v>
      </c>
      <c r="AX254" t="s">
        <v>74</v>
      </c>
      <c r="AY254" t="s">
        <v>74</v>
      </c>
      <c r="AZ254" t="s">
        <v>74</v>
      </c>
      <c r="BA254" t="s">
        <v>74</v>
      </c>
      <c r="BB254" t="s">
        <v>74</v>
      </c>
      <c r="BC254" t="s">
        <v>74</v>
      </c>
      <c r="BD254">
        <v>20210334</v>
      </c>
      <c r="BE254" t="s">
        <v>5374</v>
      </c>
      <c r="BF254" t="str">
        <f>HYPERLINK("http://dx.doi.org/10.1098/rsta.2021.0334","http://dx.doi.org/10.1098/rsta.2021.0334")</f>
        <v>http://dx.doi.org/10.1098/rsta.2021.0334</v>
      </c>
      <c r="BG254" t="s">
        <v>74</v>
      </c>
      <c r="BH254" t="s">
        <v>74</v>
      </c>
      <c r="BI254">
        <v>4</v>
      </c>
      <c r="BJ254" t="s">
        <v>289</v>
      </c>
      <c r="BK254" t="s">
        <v>103</v>
      </c>
      <c r="BL254" t="s">
        <v>290</v>
      </c>
      <c r="BM254" t="s">
        <v>5375</v>
      </c>
      <c r="BN254">
        <v>34865535</v>
      </c>
      <c r="BO254" t="s">
        <v>749</v>
      </c>
      <c r="BP254" t="s">
        <v>74</v>
      </c>
      <c r="BQ254" t="s">
        <v>74</v>
      </c>
      <c r="BR254" t="s">
        <v>106</v>
      </c>
      <c r="BS254" t="s">
        <v>5376</v>
      </c>
      <c r="BT254" t="str">
        <f>HYPERLINK("https%3A%2F%2Fwww.webofscience.com%2Fwos%2Fwoscc%2Ffull-record%2FWOS:000766222000001","View Full Record in Web of Science")</f>
        <v>View Full Record in Web of Science</v>
      </c>
    </row>
    <row r="255" spans="1:72" x14ac:dyDescent="0.15">
      <c r="A255" t="s">
        <v>72</v>
      </c>
      <c r="B255" t="s">
        <v>5377</v>
      </c>
      <c r="C255" t="s">
        <v>74</v>
      </c>
      <c r="D255" t="s">
        <v>74</v>
      </c>
      <c r="E255" t="s">
        <v>74</v>
      </c>
      <c r="F255" t="s">
        <v>5378</v>
      </c>
      <c r="G255" t="s">
        <v>74</v>
      </c>
      <c r="H255" t="s">
        <v>74</v>
      </c>
      <c r="I255" t="s">
        <v>5379</v>
      </c>
      <c r="J255" t="s">
        <v>1375</v>
      </c>
      <c r="K255" t="s">
        <v>74</v>
      </c>
      <c r="L255" t="s">
        <v>74</v>
      </c>
      <c r="M255" t="s">
        <v>78</v>
      </c>
      <c r="N255" t="s">
        <v>79</v>
      </c>
      <c r="O255" t="s">
        <v>74</v>
      </c>
      <c r="P255" t="s">
        <v>74</v>
      </c>
      <c r="Q255" t="s">
        <v>74</v>
      </c>
      <c r="R255" t="s">
        <v>74</v>
      </c>
      <c r="S255" t="s">
        <v>74</v>
      </c>
      <c r="T255" t="s">
        <v>5380</v>
      </c>
      <c r="U255" t="s">
        <v>5381</v>
      </c>
      <c r="V255" t="s">
        <v>5382</v>
      </c>
      <c r="W255" t="s">
        <v>5383</v>
      </c>
      <c r="X255" t="s">
        <v>5384</v>
      </c>
      <c r="Y255" t="s">
        <v>5385</v>
      </c>
      <c r="Z255" t="s">
        <v>5386</v>
      </c>
      <c r="AA255" t="s">
        <v>5387</v>
      </c>
      <c r="AB255" t="s">
        <v>5388</v>
      </c>
      <c r="AC255" t="s">
        <v>5389</v>
      </c>
      <c r="AD255" t="s">
        <v>5390</v>
      </c>
      <c r="AE255" t="s">
        <v>5391</v>
      </c>
      <c r="AF255" t="s">
        <v>74</v>
      </c>
      <c r="AG255">
        <v>82</v>
      </c>
      <c r="AH255">
        <v>2</v>
      </c>
      <c r="AI255">
        <v>2</v>
      </c>
      <c r="AJ255">
        <v>0</v>
      </c>
      <c r="AK255">
        <v>6</v>
      </c>
      <c r="AL255" t="s">
        <v>363</v>
      </c>
      <c r="AM255" t="s">
        <v>364</v>
      </c>
      <c r="AN255" t="s">
        <v>365</v>
      </c>
      <c r="AO255" t="s">
        <v>74</v>
      </c>
      <c r="AP255" t="s">
        <v>1388</v>
      </c>
      <c r="AQ255" t="s">
        <v>74</v>
      </c>
      <c r="AR255" t="s">
        <v>1389</v>
      </c>
      <c r="AS255" t="s">
        <v>1390</v>
      </c>
      <c r="AT255" t="s">
        <v>5307</v>
      </c>
      <c r="AU255">
        <v>2022</v>
      </c>
      <c r="AV255">
        <v>9</v>
      </c>
      <c r="AW255" t="s">
        <v>74</v>
      </c>
      <c r="AX255" t="s">
        <v>74</v>
      </c>
      <c r="AY255" t="s">
        <v>74</v>
      </c>
      <c r="AZ255" t="s">
        <v>74</v>
      </c>
      <c r="BA255" t="s">
        <v>74</v>
      </c>
      <c r="BB255" t="s">
        <v>74</v>
      </c>
      <c r="BC255" t="s">
        <v>74</v>
      </c>
      <c r="BD255">
        <v>785396</v>
      </c>
      <c r="BE255" t="s">
        <v>5392</v>
      </c>
      <c r="BF255" t="str">
        <f>HYPERLINK("http://dx.doi.org/10.3389/feart.2021.785396","http://dx.doi.org/10.3389/feart.2021.785396")</f>
        <v>http://dx.doi.org/10.3389/feart.2021.785396</v>
      </c>
      <c r="BG255" t="s">
        <v>74</v>
      </c>
      <c r="BH255" t="s">
        <v>74</v>
      </c>
      <c r="BI255">
        <v>23</v>
      </c>
      <c r="BJ255" t="s">
        <v>151</v>
      </c>
      <c r="BK255" t="s">
        <v>103</v>
      </c>
      <c r="BL255" t="s">
        <v>152</v>
      </c>
      <c r="BM255" t="s">
        <v>5393</v>
      </c>
      <c r="BN255" t="s">
        <v>74</v>
      </c>
      <c r="BO255" t="s">
        <v>371</v>
      </c>
      <c r="BP255" t="s">
        <v>74</v>
      </c>
      <c r="BQ255" t="s">
        <v>74</v>
      </c>
      <c r="BR255" t="s">
        <v>106</v>
      </c>
      <c r="BS255" t="s">
        <v>5394</v>
      </c>
      <c r="BT255" t="str">
        <f>HYPERLINK("https%3A%2F%2Fwww.webofscience.com%2Fwos%2Fwoscc%2Ffull-record%2FWOS:000753779000001","View Full Record in Web of Science")</f>
        <v>View Full Record in Web of Science</v>
      </c>
    </row>
    <row r="256" spans="1:72" x14ac:dyDescent="0.15">
      <c r="A256" t="s">
        <v>72</v>
      </c>
      <c r="B256" t="s">
        <v>5395</v>
      </c>
      <c r="C256" t="s">
        <v>74</v>
      </c>
      <c r="D256" t="s">
        <v>74</v>
      </c>
      <c r="E256" t="s">
        <v>74</v>
      </c>
      <c r="F256" t="s">
        <v>5396</v>
      </c>
      <c r="G256" t="s">
        <v>74</v>
      </c>
      <c r="H256" t="s">
        <v>74</v>
      </c>
      <c r="I256" t="s">
        <v>5397</v>
      </c>
      <c r="J256" t="s">
        <v>4729</v>
      </c>
      <c r="K256" t="s">
        <v>74</v>
      </c>
      <c r="L256" t="s">
        <v>74</v>
      </c>
      <c r="M256" t="s">
        <v>78</v>
      </c>
      <c r="N256" t="s">
        <v>79</v>
      </c>
      <c r="O256" t="s">
        <v>74</v>
      </c>
      <c r="P256" t="s">
        <v>74</v>
      </c>
      <c r="Q256" t="s">
        <v>74</v>
      </c>
      <c r="R256" t="s">
        <v>74</v>
      </c>
      <c r="S256" t="s">
        <v>74</v>
      </c>
      <c r="T256" t="s">
        <v>5398</v>
      </c>
      <c r="U256" t="s">
        <v>5399</v>
      </c>
      <c r="V256" t="s">
        <v>5400</v>
      </c>
      <c r="W256" t="s">
        <v>5401</v>
      </c>
      <c r="X256" t="s">
        <v>5402</v>
      </c>
      <c r="Y256" t="s">
        <v>5403</v>
      </c>
      <c r="Z256" t="s">
        <v>5404</v>
      </c>
      <c r="AA256" t="s">
        <v>5405</v>
      </c>
      <c r="AB256" t="s">
        <v>5406</v>
      </c>
      <c r="AC256" t="s">
        <v>5407</v>
      </c>
      <c r="AD256" t="s">
        <v>5408</v>
      </c>
      <c r="AE256" t="s">
        <v>5409</v>
      </c>
      <c r="AF256" t="s">
        <v>74</v>
      </c>
      <c r="AG256">
        <v>60</v>
      </c>
      <c r="AH256">
        <v>5</v>
      </c>
      <c r="AI256">
        <v>5</v>
      </c>
      <c r="AJ256">
        <v>2</v>
      </c>
      <c r="AK256">
        <v>23</v>
      </c>
      <c r="AL256" t="s">
        <v>254</v>
      </c>
      <c r="AM256" t="s">
        <v>255</v>
      </c>
      <c r="AN256" t="s">
        <v>256</v>
      </c>
      <c r="AO256" t="s">
        <v>4742</v>
      </c>
      <c r="AP256" t="s">
        <v>4743</v>
      </c>
      <c r="AQ256" t="s">
        <v>74</v>
      </c>
      <c r="AR256" t="s">
        <v>4744</v>
      </c>
      <c r="AS256" t="s">
        <v>4745</v>
      </c>
      <c r="AT256" t="s">
        <v>1558</v>
      </c>
      <c r="AU256">
        <v>2022</v>
      </c>
      <c r="AV256">
        <v>206</v>
      </c>
      <c r="AW256" t="s">
        <v>74</v>
      </c>
      <c r="AX256" t="s">
        <v>74</v>
      </c>
      <c r="AY256" t="s">
        <v>74</v>
      </c>
      <c r="AZ256" t="s">
        <v>74</v>
      </c>
      <c r="BA256" t="s">
        <v>74</v>
      </c>
      <c r="BB256" t="s">
        <v>74</v>
      </c>
      <c r="BC256" t="s">
        <v>74</v>
      </c>
      <c r="BD256">
        <v>112421</v>
      </c>
      <c r="BE256" t="s">
        <v>5410</v>
      </c>
      <c r="BF256" t="str">
        <f>HYPERLINK("http://dx.doi.org/10.1016/j.envres.2021.112421","http://dx.doi.org/10.1016/j.envres.2021.112421")</f>
        <v>http://dx.doi.org/10.1016/j.envres.2021.112421</v>
      </c>
      <c r="BG256" t="s">
        <v>74</v>
      </c>
      <c r="BH256" t="s">
        <v>4536</v>
      </c>
      <c r="BI256">
        <v>7</v>
      </c>
      <c r="BJ256" t="s">
        <v>4748</v>
      </c>
      <c r="BK256" t="s">
        <v>103</v>
      </c>
      <c r="BL256" t="s">
        <v>4749</v>
      </c>
      <c r="BM256" t="s">
        <v>5411</v>
      </c>
      <c r="BN256">
        <v>34838759</v>
      </c>
      <c r="BO256" t="s">
        <v>74</v>
      </c>
      <c r="BP256" t="s">
        <v>74</v>
      </c>
      <c r="BQ256" t="s">
        <v>74</v>
      </c>
      <c r="BR256" t="s">
        <v>106</v>
      </c>
      <c r="BS256" t="s">
        <v>5412</v>
      </c>
      <c r="BT256" t="str">
        <f>HYPERLINK("https%3A%2F%2Fwww.webofscience.com%2Fwos%2Fwoscc%2Ffull-record%2FWOS:000751883700011","View Full Record in Web of Science")</f>
        <v>View Full Record in Web of Science</v>
      </c>
    </row>
    <row r="257" spans="1:72" x14ac:dyDescent="0.15">
      <c r="A257" t="s">
        <v>72</v>
      </c>
      <c r="B257" t="s">
        <v>5413</v>
      </c>
      <c r="C257" t="s">
        <v>74</v>
      </c>
      <c r="D257" t="s">
        <v>74</v>
      </c>
      <c r="E257" t="s">
        <v>74</v>
      </c>
      <c r="F257" t="s">
        <v>5414</v>
      </c>
      <c r="G257" t="s">
        <v>74</v>
      </c>
      <c r="H257" t="s">
        <v>74</v>
      </c>
      <c r="I257" t="s">
        <v>5415</v>
      </c>
      <c r="J257" t="s">
        <v>5416</v>
      </c>
      <c r="K257" t="s">
        <v>74</v>
      </c>
      <c r="L257" t="s">
        <v>74</v>
      </c>
      <c r="M257" t="s">
        <v>78</v>
      </c>
      <c r="N257" t="s">
        <v>79</v>
      </c>
      <c r="O257" t="s">
        <v>74</v>
      </c>
      <c r="P257" t="s">
        <v>74</v>
      </c>
      <c r="Q257" t="s">
        <v>74</v>
      </c>
      <c r="R257" t="s">
        <v>74</v>
      </c>
      <c r="S257" t="s">
        <v>74</v>
      </c>
      <c r="T257" t="s">
        <v>5417</v>
      </c>
      <c r="U257" t="s">
        <v>5418</v>
      </c>
      <c r="V257" t="s">
        <v>5419</v>
      </c>
      <c r="W257" t="s">
        <v>5420</v>
      </c>
      <c r="X257" t="s">
        <v>5421</v>
      </c>
      <c r="Y257" t="s">
        <v>5422</v>
      </c>
      <c r="Z257" t="s">
        <v>5423</v>
      </c>
      <c r="AA257" t="s">
        <v>5424</v>
      </c>
      <c r="AB257" t="s">
        <v>5425</v>
      </c>
      <c r="AC257" t="s">
        <v>5426</v>
      </c>
      <c r="AD257" t="s">
        <v>5427</v>
      </c>
      <c r="AE257" t="s">
        <v>5428</v>
      </c>
      <c r="AF257" t="s">
        <v>74</v>
      </c>
      <c r="AG257">
        <v>63</v>
      </c>
      <c r="AH257">
        <v>1</v>
      </c>
      <c r="AI257">
        <v>1</v>
      </c>
      <c r="AJ257">
        <v>3</v>
      </c>
      <c r="AK257">
        <v>15</v>
      </c>
      <c r="AL257" t="s">
        <v>310</v>
      </c>
      <c r="AM257" t="s">
        <v>311</v>
      </c>
      <c r="AN257" t="s">
        <v>312</v>
      </c>
      <c r="AO257" t="s">
        <v>5429</v>
      </c>
      <c r="AP257" t="s">
        <v>5430</v>
      </c>
      <c r="AQ257" t="s">
        <v>74</v>
      </c>
      <c r="AR257" t="s">
        <v>5431</v>
      </c>
      <c r="AS257" t="s">
        <v>5432</v>
      </c>
      <c r="AT257" t="s">
        <v>840</v>
      </c>
      <c r="AU257">
        <v>2022</v>
      </c>
      <c r="AV257">
        <v>209</v>
      </c>
      <c r="AW257" t="s">
        <v>74</v>
      </c>
      <c r="AX257" t="s">
        <v>74</v>
      </c>
      <c r="AY257" t="s">
        <v>74</v>
      </c>
      <c r="AZ257" t="s">
        <v>74</v>
      </c>
      <c r="BA257" t="s">
        <v>74</v>
      </c>
      <c r="BB257" t="s">
        <v>74</v>
      </c>
      <c r="BC257" t="s">
        <v>74</v>
      </c>
      <c r="BD257">
        <v>103745</v>
      </c>
      <c r="BE257" t="s">
        <v>5433</v>
      </c>
      <c r="BF257" t="str">
        <f>HYPERLINK("http://dx.doi.org/10.1016/j.gloplacha.2022.103745","http://dx.doi.org/10.1016/j.gloplacha.2022.103745")</f>
        <v>http://dx.doi.org/10.1016/j.gloplacha.2022.103745</v>
      </c>
      <c r="BG257" t="s">
        <v>74</v>
      </c>
      <c r="BH257" t="s">
        <v>4536</v>
      </c>
      <c r="BI257">
        <v>10</v>
      </c>
      <c r="BJ257" t="s">
        <v>208</v>
      </c>
      <c r="BK257" t="s">
        <v>103</v>
      </c>
      <c r="BL257" t="s">
        <v>209</v>
      </c>
      <c r="BM257" t="s">
        <v>5434</v>
      </c>
      <c r="BN257" t="s">
        <v>74</v>
      </c>
      <c r="BO257" t="s">
        <v>74</v>
      </c>
      <c r="BP257" t="s">
        <v>74</v>
      </c>
      <c r="BQ257" t="s">
        <v>74</v>
      </c>
      <c r="BR257" t="s">
        <v>106</v>
      </c>
      <c r="BS257" t="s">
        <v>5435</v>
      </c>
      <c r="BT257" t="str">
        <f>HYPERLINK("https%3A%2F%2Fwww.webofscience.com%2Fwos%2Fwoscc%2Ffull-record%2FWOS:000748992000005","View Full Record in Web of Science")</f>
        <v>View Full Record in Web of Science</v>
      </c>
    </row>
    <row r="258" spans="1:72" x14ac:dyDescent="0.15">
      <c r="A258" t="s">
        <v>72</v>
      </c>
      <c r="B258" t="s">
        <v>5436</v>
      </c>
      <c r="C258" t="s">
        <v>74</v>
      </c>
      <c r="D258" t="s">
        <v>74</v>
      </c>
      <c r="E258" t="s">
        <v>74</v>
      </c>
      <c r="F258" t="s">
        <v>5437</v>
      </c>
      <c r="G258" t="s">
        <v>74</v>
      </c>
      <c r="H258" t="s">
        <v>74</v>
      </c>
      <c r="I258" t="s">
        <v>5438</v>
      </c>
      <c r="J258" t="s">
        <v>111</v>
      </c>
      <c r="K258" t="s">
        <v>74</v>
      </c>
      <c r="L258" t="s">
        <v>74</v>
      </c>
      <c r="M258" t="s">
        <v>78</v>
      </c>
      <c r="N258" t="s">
        <v>79</v>
      </c>
      <c r="O258" t="s">
        <v>74</v>
      </c>
      <c r="P258" t="s">
        <v>74</v>
      </c>
      <c r="Q258" t="s">
        <v>74</v>
      </c>
      <c r="R258" t="s">
        <v>74</v>
      </c>
      <c r="S258" t="s">
        <v>74</v>
      </c>
      <c r="T258" t="s">
        <v>74</v>
      </c>
      <c r="U258" t="s">
        <v>5439</v>
      </c>
      <c r="V258" t="s">
        <v>5440</v>
      </c>
      <c r="W258" t="s">
        <v>5441</v>
      </c>
      <c r="X258" t="s">
        <v>5442</v>
      </c>
      <c r="Y258" t="s">
        <v>5443</v>
      </c>
      <c r="Z258" t="s">
        <v>5444</v>
      </c>
      <c r="AA258" t="s">
        <v>5445</v>
      </c>
      <c r="AB258" t="s">
        <v>5446</v>
      </c>
      <c r="AC258" t="s">
        <v>5447</v>
      </c>
      <c r="AD258" t="s">
        <v>5448</v>
      </c>
      <c r="AE258" t="s">
        <v>5449</v>
      </c>
      <c r="AF258" t="s">
        <v>74</v>
      </c>
      <c r="AG258">
        <v>27</v>
      </c>
      <c r="AH258">
        <v>2</v>
      </c>
      <c r="AI258">
        <v>2</v>
      </c>
      <c r="AJ258">
        <v>2</v>
      </c>
      <c r="AK258">
        <v>24</v>
      </c>
      <c r="AL258" t="s">
        <v>120</v>
      </c>
      <c r="AM258" t="s">
        <v>121</v>
      </c>
      <c r="AN258" t="s">
        <v>122</v>
      </c>
      <c r="AO258" t="s">
        <v>123</v>
      </c>
      <c r="AP258" t="s">
        <v>124</v>
      </c>
      <c r="AQ258" t="s">
        <v>74</v>
      </c>
      <c r="AR258" t="s">
        <v>125</v>
      </c>
      <c r="AS258" t="s">
        <v>126</v>
      </c>
      <c r="AT258" t="s">
        <v>5307</v>
      </c>
      <c r="AU258">
        <v>2022</v>
      </c>
      <c r="AV258">
        <v>22</v>
      </c>
      <c r="AW258">
        <v>2</v>
      </c>
      <c r="AX258" t="s">
        <v>74</v>
      </c>
      <c r="AY258" t="s">
        <v>74</v>
      </c>
      <c r="AZ258" t="s">
        <v>74</v>
      </c>
      <c r="BA258" t="s">
        <v>74</v>
      </c>
      <c r="BB258">
        <v>1149</v>
      </c>
      <c r="BC258">
        <v>1157</v>
      </c>
      <c r="BD258" t="s">
        <v>74</v>
      </c>
      <c r="BE258" t="s">
        <v>5450</v>
      </c>
      <c r="BF258" t="str">
        <f>HYPERLINK("http://dx.doi.org/10.5194/acp-22-1149-2022","http://dx.doi.org/10.5194/acp-22-1149-2022")</f>
        <v>http://dx.doi.org/10.5194/acp-22-1149-2022</v>
      </c>
      <c r="BG258" t="s">
        <v>74</v>
      </c>
      <c r="BH258" t="s">
        <v>74</v>
      </c>
      <c r="BI258">
        <v>9</v>
      </c>
      <c r="BJ258" t="s">
        <v>129</v>
      </c>
      <c r="BK258" t="s">
        <v>103</v>
      </c>
      <c r="BL258" t="s">
        <v>130</v>
      </c>
      <c r="BM258" t="s">
        <v>5451</v>
      </c>
      <c r="BN258" t="s">
        <v>74</v>
      </c>
      <c r="BO258" t="s">
        <v>132</v>
      </c>
      <c r="BP258" t="s">
        <v>74</v>
      </c>
      <c r="BQ258" t="s">
        <v>74</v>
      </c>
      <c r="BR258" t="s">
        <v>106</v>
      </c>
      <c r="BS258" t="s">
        <v>5452</v>
      </c>
      <c r="BT258" t="str">
        <f>HYPERLINK("https%3A%2F%2Fwww.webofscience.com%2Fwos%2Fwoscc%2Ffull-record%2FWOS:000748746700001","View Full Record in Web of Science")</f>
        <v>View Full Record in Web of Science</v>
      </c>
    </row>
    <row r="259" spans="1:72" x14ac:dyDescent="0.15">
      <c r="A259" t="s">
        <v>72</v>
      </c>
      <c r="B259" t="s">
        <v>5453</v>
      </c>
      <c r="C259" t="s">
        <v>74</v>
      </c>
      <c r="D259" t="s">
        <v>74</v>
      </c>
      <c r="E259" t="s">
        <v>74</v>
      </c>
      <c r="F259" t="s">
        <v>5454</v>
      </c>
      <c r="G259" t="s">
        <v>74</v>
      </c>
      <c r="H259" t="s">
        <v>74</v>
      </c>
      <c r="I259" t="s">
        <v>5455</v>
      </c>
      <c r="J259" t="s">
        <v>1184</v>
      </c>
      <c r="K259" t="s">
        <v>74</v>
      </c>
      <c r="L259" t="s">
        <v>74</v>
      </c>
      <c r="M259" t="s">
        <v>78</v>
      </c>
      <c r="N259" t="s">
        <v>79</v>
      </c>
      <c r="O259" t="s">
        <v>74</v>
      </c>
      <c r="P259" t="s">
        <v>74</v>
      </c>
      <c r="Q259" t="s">
        <v>74</v>
      </c>
      <c r="R259" t="s">
        <v>74</v>
      </c>
      <c r="S259" t="s">
        <v>74</v>
      </c>
      <c r="T259" t="s">
        <v>74</v>
      </c>
      <c r="U259" t="s">
        <v>5456</v>
      </c>
      <c r="V259" t="s">
        <v>5457</v>
      </c>
      <c r="W259" t="s">
        <v>5458</v>
      </c>
      <c r="X259" t="s">
        <v>5459</v>
      </c>
      <c r="Y259" t="s">
        <v>5460</v>
      </c>
      <c r="Z259" t="s">
        <v>5461</v>
      </c>
      <c r="AA259" t="s">
        <v>5462</v>
      </c>
      <c r="AB259" t="s">
        <v>5463</v>
      </c>
      <c r="AC259" t="s">
        <v>5464</v>
      </c>
      <c r="AD259" t="s">
        <v>5465</v>
      </c>
      <c r="AE259" t="s">
        <v>5466</v>
      </c>
      <c r="AF259" t="s">
        <v>74</v>
      </c>
      <c r="AG259">
        <v>129</v>
      </c>
      <c r="AH259">
        <v>3</v>
      </c>
      <c r="AI259">
        <v>4</v>
      </c>
      <c r="AJ259">
        <v>3</v>
      </c>
      <c r="AK259">
        <v>11</v>
      </c>
      <c r="AL259" t="s">
        <v>120</v>
      </c>
      <c r="AM259" t="s">
        <v>121</v>
      </c>
      <c r="AN259" t="s">
        <v>122</v>
      </c>
      <c r="AO259" t="s">
        <v>1196</v>
      </c>
      <c r="AP259" t="s">
        <v>1197</v>
      </c>
      <c r="AQ259" t="s">
        <v>74</v>
      </c>
      <c r="AR259" t="s">
        <v>1198</v>
      </c>
      <c r="AS259" t="s">
        <v>1199</v>
      </c>
      <c r="AT259" t="s">
        <v>5307</v>
      </c>
      <c r="AU259">
        <v>2022</v>
      </c>
      <c r="AV259">
        <v>18</v>
      </c>
      <c r="AW259">
        <v>1</v>
      </c>
      <c r="AX259" t="s">
        <v>74</v>
      </c>
      <c r="AY259" t="s">
        <v>74</v>
      </c>
      <c r="AZ259" t="s">
        <v>74</v>
      </c>
      <c r="BA259" t="s">
        <v>74</v>
      </c>
      <c r="BB259">
        <v>129</v>
      </c>
      <c r="BC259">
        <v>146</v>
      </c>
      <c r="BD259" t="s">
        <v>74</v>
      </c>
      <c r="BE259" t="s">
        <v>5467</v>
      </c>
      <c r="BF259" t="str">
        <f>HYPERLINK("http://dx.doi.org/10.5194/cp-18-129-2022","http://dx.doi.org/10.5194/cp-18-129-2022")</f>
        <v>http://dx.doi.org/10.5194/cp-18-129-2022</v>
      </c>
      <c r="BG259" t="s">
        <v>74</v>
      </c>
      <c r="BH259" t="s">
        <v>74</v>
      </c>
      <c r="BI259">
        <v>18</v>
      </c>
      <c r="BJ259" t="s">
        <v>1201</v>
      </c>
      <c r="BK259" t="s">
        <v>103</v>
      </c>
      <c r="BL259" t="s">
        <v>1202</v>
      </c>
      <c r="BM259" t="s">
        <v>5468</v>
      </c>
      <c r="BN259" t="s">
        <v>74</v>
      </c>
      <c r="BO259" t="s">
        <v>419</v>
      </c>
      <c r="BP259" t="s">
        <v>74</v>
      </c>
      <c r="BQ259" t="s">
        <v>74</v>
      </c>
      <c r="BR259" t="s">
        <v>106</v>
      </c>
      <c r="BS259" t="s">
        <v>5469</v>
      </c>
      <c r="BT259" t="str">
        <f>HYPERLINK("https%3A%2F%2Fwww.webofscience.com%2Fwos%2Fwoscc%2Ffull-record%2FWOS:000748749600001","View Full Record in Web of Science")</f>
        <v>View Full Record in Web of Science</v>
      </c>
    </row>
    <row r="260" spans="1:72" x14ac:dyDescent="0.15">
      <c r="A260" t="s">
        <v>72</v>
      </c>
      <c r="B260" t="s">
        <v>5470</v>
      </c>
      <c r="C260" t="s">
        <v>74</v>
      </c>
      <c r="D260" t="s">
        <v>74</v>
      </c>
      <c r="E260" t="s">
        <v>74</v>
      </c>
      <c r="F260" t="s">
        <v>5471</v>
      </c>
      <c r="G260" t="s">
        <v>74</v>
      </c>
      <c r="H260" t="s">
        <v>74</v>
      </c>
      <c r="I260" t="s">
        <v>5472</v>
      </c>
      <c r="J260" t="s">
        <v>1397</v>
      </c>
      <c r="K260" t="s">
        <v>74</v>
      </c>
      <c r="L260" t="s">
        <v>74</v>
      </c>
      <c r="M260" t="s">
        <v>78</v>
      </c>
      <c r="N260" t="s">
        <v>79</v>
      </c>
      <c r="O260" t="s">
        <v>74</v>
      </c>
      <c r="P260" t="s">
        <v>74</v>
      </c>
      <c r="Q260" t="s">
        <v>74</v>
      </c>
      <c r="R260" t="s">
        <v>74</v>
      </c>
      <c r="S260" t="s">
        <v>74</v>
      </c>
      <c r="T260" t="s">
        <v>74</v>
      </c>
      <c r="U260" t="s">
        <v>5473</v>
      </c>
      <c r="V260" t="s">
        <v>5474</v>
      </c>
      <c r="W260" t="s">
        <v>5475</v>
      </c>
      <c r="X260" t="s">
        <v>5476</v>
      </c>
      <c r="Y260" t="s">
        <v>5477</v>
      </c>
      <c r="Z260" t="s">
        <v>5478</v>
      </c>
      <c r="AA260" t="s">
        <v>74</v>
      </c>
      <c r="AB260" t="s">
        <v>5479</v>
      </c>
      <c r="AC260" t="s">
        <v>5480</v>
      </c>
      <c r="AD260" t="s">
        <v>5481</v>
      </c>
      <c r="AE260" t="s">
        <v>5482</v>
      </c>
      <c r="AF260" t="s">
        <v>74</v>
      </c>
      <c r="AG260">
        <v>86</v>
      </c>
      <c r="AH260">
        <v>2</v>
      </c>
      <c r="AI260">
        <v>2</v>
      </c>
      <c r="AJ260">
        <v>1</v>
      </c>
      <c r="AK260">
        <v>4</v>
      </c>
      <c r="AL260" t="s">
        <v>120</v>
      </c>
      <c r="AM260" t="s">
        <v>121</v>
      </c>
      <c r="AN260" t="s">
        <v>122</v>
      </c>
      <c r="AO260" t="s">
        <v>1409</v>
      </c>
      <c r="AP260" t="s">
        <v>1410</v>
      </c>
      <c r="AQ260" t="s">
        <v>74</v>
      </c>
      <c r="AR260" t="s">
        <v>1397</v>
      </c>
      <c r="AS260" t="s">
        <v>1411</v>
      </c>
      <c r="AT260" t="s">
        <v>5307</v>
      </c>
      <c r="AU260">
        <v>2022</v>
      </c>
      <c r="AV260">
        <v>16</v>
      </c>
      <c r="AW260">
        <v>1</v>
      </c>
      <c r="AX260" t="s">
        <v>74</v>
      </c>
      <c r="AY260" t="s">
        <v>74</v>
      </c>
      <c r="AZ260" t="s">
        <v>74</v>
      </c>
      <c r="BA260" t="s">
        <v>74</v>
      </c>
      <c r="BB260">
        <v>277</v>
      </c>
      <c r="BC260">
        <v>295</v>
      </c>
      <c r="BD260" t="s">
        <v>74</v>
      </c>
      <c r="BE260" t="s">
        <v>5483</v>
      </c>
      <c r="BF260" t="str">
        <f>HYPERLINK("http://dx.doi.org/10.5194/tc-16-277-2022","http://dx.doi.org/10.5194/tc-16-277-2022")</f>
        <v>http://dx.doi.org/10.5194/tc-16-277-2022</v>
      </c>
      <c r="BG260" t="s">
        <v>74</v>
      </c>
      <c r="BH260" t="s">
        <v>74</v>
      </c>
      <c r="BI260">
        <v>19</v>
      </c>
      <c r="BJ260" t="s">
        <v>208</v>
      </c>
      <c r="BK260" t="s">
        <v>103</v>
      </c>
      <c r="BL260" t="s">
        <v>209</v>
      </c>
      <c r="BM260" t="s">
        <v>5484</v>
      </c>
      <c r="BN260" t="s">
        <v>74</v>
      </c>
      <c r="BO260" t="s">
        <v>132</v>
      </c>
      <c r="BP260" t="s">
        <v>74</v>
      </c>
      <c r="BQ260" t="s">
        <v>74</v>
      </c>
      <c r="BR260" t="s">
        <v>106</v>
      </c>
      <c r="BS260" t="s">
        <v>5485</v>
      </c>
      <c r="BT260" t="str">
        <f>HYPERLINK("https%3A%2F%2Fwww.webofscience.com%2Fwos%2Fwoscc%2Ffull-record%2FWOS:000748751000001","View Full Record in Web of Science")</f>
        <v>View Full Record in Web of Science</v>
      </c>
    </row>
    <row r="261" spans="1:72" x14ac:dyDescent="0.15">
      <c r="A261" t="s">
        <v>72</v>
      </c>
      <c r="B261" t="s">
        <v>5486</v>
      </c>
      <c r="C261" t="s">
        <v>74</v>
      </c>
      <c r="D261" t="s">
        <v>74</v>
      </c>
      <c r="E261" t="s">
        <v>74</v>
      </c>
      <c r="F261" t="s">
        <v>5487</v>
      </c>
      <c r="G261" t="s">
        <v>74</v>
      </c>
      <c r="H261" t="s">
        <v>74</v>
      </c>
      <c r="I261" t="s">
        <v>5488</v>
      </c>
      <c r="J261" t="s">
        <v>1635</v>
      </c>
      <c r="K261" t="s">
        <v>74</v>
      </c>
      <c r="L261" t="s">
        <v>74</v>
      </c>
      <c r="M261" t="s">
        <v>78</v>
      </c>
      <c r="N261" t="s">
        <v>1434</v>
      </c>
      <c r="O261" t="s">
        <v>74</v>
      </c>
      <c r="P261" t="s">
        <v>74</v>
      </c>
      <c r="Q261" t="s">
        <v>74</v>
      </c>
      <c r="R261" t="s">
        <v>74</v>
      </c>
      <c r="S261" t="s">
        <v>74</v>
      </c>
      <c r="T261" t="s">
        <v>74</v>
      </c>
      <c r="U261" t="s">
        <v>5489</v>
      </c>
      <c r="V261" t="s">
        <v>5490</v>
      </c>
      <c r="W261" t="s">
        <v>5491</v>
      </c>
      <c r="X261" t="s">
        <v>5492</v>
      </c>
      <c r="Y261" t="s">
        <v>5493</v>
      </c>
      <c r="Z261" t="s">
        <v>5494</v>
      </c>
      <c r="AA261" t="s">
        <v>5495</v>
      </c>
      <c r="AB261" t="s">
        <v>5496</v>
      </c>
      <c r="AC261" t="s">
        <v>5497</v>
      </c>
      <c r="AD261" t="s">
        <v>5498</v>
      </c>
      <c r="AE261" t="s">
        <v>5499</v>
      </c>
      <c r="AF261" t="s">
        <v>74</v>
      </c>
      <c r="AG261">
        <v>68</v>
      </c>
      <c r="AH261">
        <v>8</v>
      </c>
      <c r="AI261">
        <v>9</v>
      </c>
      <c r="AJ261">
        <v>2</v>
      </c>
      <c r="AK261">
        <v>10</v>
      </c>
      <c r="AL261" t="s">
        <v>120</v>
      </c>
      <c r="AM261" t="s">
        <v>121</v>
      </c>
      <c r="AN261" t="s">
        <v>122</v>
      </c>
      <c r="AO261" t="s">
        <v>1646</v>
      </c>
      <c r="AP261" t="s">
        <v>1647</v>
      </c>
      <c r="AQ261" t="s">
        <v>74</v>
      </c>
      <c r="AR261" t="s">
        <v>1648</v>
      </c>
      <c r="AS261" t="s">
        <v>1649</v>
      </c>
      <c r="AT261" t="s">
        <v>5307</v>
      </c>
      <c r="AU261">
        <v>2022</v>
      </c>
      <c r="AV261">
        <v>14</v>
      </c>
      <c r="AW261">
        <v>1</v>
      </c>
      <c r="AX261" t="s">
        <v>74</v>
      </c>
      <c r="AY261" t="s">
        <v>74</v>
      </c>
      <c r="AZ261" t="s">
        <v>74</v>
      </c>
      <c r="BA261" t="s">
        <v>74</v>
      </c>
      <c r="BB261">
        <v>209</v>
      </c>
      <c r="BC261">
        <v>228</v>
      </c>
      <c r="BD261" t="s">
        <v>74</v>
      </c>
      <c r="BE261" t="s">
        <v>5500</v>
      </c>
      <c r="BF261" t="str">
        <f>HYPERLINK("http://dx.doi.org/10.5194/essd-14-209-2022","http://dx.doi.org/10.5194/essd-14-209-2022")</f>
        <v>http://dx.doi.org/10.5194/essd-14-209-2022</v>
      </c>
      <c r="BG261" t="s">
        <v>74</v>
      </c>
      <c r="BH261" t="s">
        <v>74</v>
      </c>
      <c r="BI261">
        <v>20</v>
      </c>
      <c r="BJ261" t="s">
        <v>1201</v>
      </c>
      <c r="BK261" t="s">
        <v>103</v>
      </c>
      <c r="BL261" t="s">
        <v>1202</v>
      </c>
      <c r="BM261" t="s">
        <v>5501</v>
      </c>
      <c r="BN261" t="s">
        <v>74</v>
      </c>
      <c r="BO261" t="s">
        <v>4294</v>
      </c>
      <c r="BP261" t="s">
        <v>74</v>
      </c>
      <c r="BQ261" t="s">
        <v>74</v>
      </c>
      <c r="BR261" t="s">
        <v>106</v>
      </c>
      <c r="BS261" t="s">
        <v>5502</v>
      </c>
      <c r="BT261" t="str">
        <f>HYPERLINK("https%3A%2F%2Fwww.webofscience.com%2Fwos%2Fwoscc%2Ffull-record%2FWOS:000748758600001","View Full Record in Web of Science")</f>
        <v>View Full Record in Web of Science</v>
      </c>
    </row>
    <row r="262" spans="1:72" x14ac:dyDescent="0.15">
      <c r="A262" t="s">
        <v>72</v>
      </c>
      <c r="B262" t="s">
        <v>5503</v>
      </c>
      <c r="C262" t="s">
        <v>74</v>
      </c>
      <c r="D262" t="s">
        <v>74</v>
      </c>
      <c r="E262" t="s">
        <v>74</v>
      </c>
      <c r="F262" t="s">
        <v>5504</v>
      </c>
      <c r="G262" t="s">
        <v>74</v>
      </c>
      <c r="H262" t="s">
        <v>74</v>
      </c>
      <c r="I262" t="s">
        <v>5505</v>
      </c>
      <c r="J262" t="s">
        <v>2532</v>
      </c>
      <c r="K262" t="s">
        <v>74</v>
      </c>
      <c r="L262" t="s">
        <v>74</v>
      </c>
      <c r="M262" t="s">
        <v>78</v>
      </c>
      <c r="N262" t="s">
        <v>79</v>
      </c>
      <c r="O262" t="s">
        <v>74</v>
      </c>
      <c r="P262" t="s">
        <v>74</v>
      </c>
      <c r="Q262" t="s">
        <v>74</v>
      </c>
      <c r="R262" t="s">
        <v>74</v>
      </c>
      <c r="S262" t="s">
        <v>74</v>
      </c>
      <c r="T262" t="s">
        <v>74</v>
      </c>
      <c r="U262" t="s">
        <v>5506</v>
      </c>
      <c r="V262" t="s">
        <v>5507</v>
      </c>
      <c r="W262" t="s">
        <v>5508</v>
      </c>
      <c r="X262" t="s">
        <v>5509</v>
      </c>
      <c r="Y262" t="s">
        <v>5510</v>
      </c>
      <c r="Z262" t="s">
        <v>5511</v>
      </c>
      <c r="AA262" t="s">
        <v>5512</v>
      </c>
      <c r="AB262" t="s">
        <v>5513</v>
      </c>
      <c r="AC262" t="s">
        <v>5514</v>
      </c>
      <c r="AD262" t="s">
        <v>5515</v>
      </c>
      <c r="AE262" t="s">
        <v>5516</v>
      </c>
      <c r="AF262" t="s">
        <v>74</v>
      </c>
      <c r="AG262">
        <v>71</v>
      </c>
      <c r="AH262">
        <v>13</v>
      </c>
      <c r="AI262">
        <v>14</v>
      </c>
      <c r="AJ262">
        <v>4</v>
      </c>
      <c r="AK262">
        <v>17</v>
      </c>
      <c r="AL262" t="s">
        <v>337</v>
      </c>
      <c r="AM262" t="s">
        <v>338</v>
      </c>
      <c r="AN262" t="s">
        <v>339</v>
      </c>
      <c r="AO262" t="s">
        <v>2543</v>
      </c>
      <c r="AP262" t="s">
        <v>74</v>
      </c>
      <c r="AQ262" t="s">
        <v>74</v>
      </c>
      <c r="AR262" t="s">
        <v>2544</v>
      </c>
      <c r="AS262" t="s">
        <v>2545</v>
      </c>
      <c r="AT262" t="s">
        <v>5307</v>
      </c>
      <c r="AU262">
        <v>2022</v>
      </c>
      <c r="AV262">
        <v>12</v>
      </c>
      <c r="AW262">
        <v>1</v>
      </c>
      <c r="AX262" t="s">
        <v>74</v>
      </c>
      <c r="AY262" t="s">
        <v>74</v>
      </c>
      <c r="AZ262" t="s">
        <v>74</v>
      </c>
      <c r="BA262" t="s">
        <v>74</v>
      </c>
      <c r="BB262" t="s">
        <v>74</v>
      </c>
      <c r="BC262" t="s">
        <v>74</v>
      </c>
      <c r="BD262">
        <v>1266</v>
      </c>
      <c r="BE262" t="s">
        <v>5517</v>
      </c>
      <c r="BF262" t="str">
        <f>HYPERLINK("http://dx.doi.org/10.1038/s41598-022-05449-8","http://dx.doi.org/10.1038/s41598-022-05449-8")</f>
        <v>http://dx.doi.org/10.1038/s41598-022-05449-8</v>
      </c>
      <c r="BG262" t="s">
        <v>74</v>
      </c>
      <c r="BH262" t="s">
        <v>74</v>
      </c>
      <c r="BI262">
        <v>10</v>
      </c>
      <c r="BJ262" t="s">
        <v>289</v>
      </c>
      <c r="BK262" t="s">
        <v>103</v>
      </c>
      <c r="BL262" t="s">
        <v>290</v>
      </c>
      <c r="BM262" t="s">
        <v>5518</v>
      </c>
      <c r="BN262">
        <v>35075240</v>
      </c>
      <c r="BO262" t="s">
        <v>292</v>
      </c>
      <c r="BP262" t="s">
        <v>74</v>
      </c>
      <c r="BQ262" t="s">
        <v>74</v>
      </c>
      <c r="BR262" t="s">
        <v>106</v>
      </c>
      <c r="BS262" t="s">
        <v>5519</v>
      </c>
      <c r="BT262" t="str">
        <f>HYPERLINK("https%3A%2F%2Fwww.webofscience.com%2Fwos%2Fwoscc%2Ffull-record%2FWOS:000746700700006","View Full Record in Web of Science")</f>
        <v>View Full Record in Web of Science</v>
      </c>
    </row>
    <row r="263" spans="1:72" x14ac:dyDescent="0.15">
      <c r="A263" t="s">
        <v>72</v>
      </c>
      <c r="B263" t="s">
        <v>5520</v>
      </c>
      <c r="C263" t="s">
        <v>74</v>
      </c>
      <c r="D263" t="s">
        <v>74</v>
      </c>
      <c r="E263" t="s">
        <v>74</v>
      </c>
      <c r="F263" t="s">
        <v>5521</v>
      </c>
      <c r="G263" t="s">
        <v>74</v>
      </c>
      <c r="H263" t="s">
        <v>74</v>
      </c>
      <c r="I263" t="s">
        <v>5522</v>
      </c>
      <c r="J263" t="s">
        <v>1063</v>
      </c>
      <c r="K263" t="s">
        <v>74</v>
      </c>
      <c r="L263" t="s">
        <v>74</v>
      </c>
      <c r="M263" t="s">
        <v>78</v>
      </c>
      <c r="N263" t="s">
        <v>1113</v>
      </c>
      <c r="O263" t="s">
        <v>74</v>
      </c>
      <c r="P263" t="s">
        <v>74</v>
      </c>
      <c r="Q263" t="s">
        <v>74</v>
      </c>
      <c r="R263" t="s">
        <v>74</v>
      </c>
      <c r="S263" t="s">
        <v>74</v>
      </c>
      <c r="T263" t="s">
        <v>5523</v>
      </c>
      <c r="U263" t="s">
        <v>5524</v>
      </c>
      <c r="V263" t="s">
        <v>5525</v>
      </c>
      <c r="W263" t="s">
        <v>5526</v>
      </c>
      <c r="X263" t="s">
        <v>5527</v>
      </c>
      <c r="Y263" t="s">
        <v>5528</v>
      </c>
      <c r="Z263" t="s">
        <v>5529</v>
      </c>
      <c r="AA263" t="s">
        <v>5530</v>
      </c>
      <c r="AB263" t="s">
        <v>5531</v>
      </c>
      <c r="AC263" t="s">
        <v>5532</v>
      </c>
      <c r="AD263" t="s">
        <v>5533</v>
      </c>
      <c r="AE263" t="s">
        <v>5534</v>
      </c>
      <c r="AF263" t="s">
        <v>74</v>
      </c>
      <c r="AG263">
        <v>172</v>
      </c>
      <c r="AH263">
        <v>14</v>
      </c>
      <c r="AI263">
        <v>15</v>
      </c>
      <c r="AJ263">
        <v>0</v>
      </c>
      <c r="AK263">
        <v>23</v>
      </c>
      <c r="AL263" t="s">
        <v>1074</v>
      </c>
      <c r="AM263" t="s">
        <v>506</v>
      </c>
      <c r="AN263" t="s">
        <v>1075</v>
      </c>
      <c r="AO263" t="s">
        <v>1076</v>
      </c>
      <c r="AP263" t="s">
        <v>1077</v>
      </c>
      <c r="AQ263" t="s">
        <v>74</v>
      </c>
      <c r="AR263" t="s">
        <v>1078</v>
      </c>
      <c r="AS263" t="s">
        <v>1079</v>
      </c>
      <c r="AT263" t="s">
        <v>99</v>
      </c>
      <c r="AU263">
        <v>2022</v>
      </c>
      <c r="AV263">
        <v>45</v>
      </c>
      <c r="AW263">
        <v>3</v>
      </c>
      <c r="AX263" t="s">
        <v>74</v>
      </c>
      <c r="AY263" t="s">
        <v>74</v>
      </c>
      <c r="AZ263" t="s">
        <v>74</v>
      </c>
      <c r="BA263" t="s">
        <v>74</v>
      </c>
      <c r="BB263">
        <v>371</v>
      </c>
      <c r="BC263">
        <v>394</v>
      </c>
      <c r="BD263" t="s">
        <v>74</v>
      </c>
      <c r="BE263" t="s">
        <v>5535</v>
      </c>
      <c r="BF263" t="str">
        <f>HYPERLINK("http://dx.doi.org/10.1007/s00300-022-03006-7","http://dx.doi.org/10.1007/s00300-022-03006-7")</f>
        <v>http://dx.doi.org/10.1007/s00300-022-03006-7</v>
      </c>
      <c r="BG263" t="s">
        <v>74</v>
      </c>
      <c r="BH263" t="s">
        <v>4536</v>
      </c>
      <c r="BI263">
        <v>24</v>
      </c>
      <c r="BJ263" t="s">
        <v>1081</v>
      </c>
      <c r="BK263" t="s">
        <v>103</v>
      </c>
      <c r="BL263" t="s">
        <v>1082</v>
      </c>
      <c r="BM263" t="s">
        <v>4273</v>
      </c>
      <c r="BN263" t="s">
        <v>74</v>
      </c>
      <c r="BO263" t="s">
        <v>948</v>
      </c>
      <c r="BP263" t="s">
        <v>74</v>
      </c>
      <c r="BQ263" t="s">
        <v>74</v>
      </c>
      <c r="BR263" t="s">
        <v>106</v>
      </c>
      <c r="BS263" t="s">
        <v>5536</v>
      </c>
      <c r="BT263" t="str">
        <f>HYPERLINK("https%3A%2F%2Fwww.webofscience.com%2Fwos%2Fwoscc%2Ffull-record%2FWOS:000746300500001","View Full Record in Web of Science")</f>
        <v>View Full Record in Web of Science</v>
      </c>
    </row>
    <row r="264" spans="1:72" x14ac:dyDescent="0.15">
      <c r="A264" t="s">
        <v>72</v>
      </c>
      <c r="B264" t="s">
        <v>5537</v>
      </c>
      <c r="C264" t="s">
        <v>74</v>
      </c>
      <c r="D264" t="s">
        <v>74</v>
      </c>
      <c r="E264" t="s">
        <v>74</v>
      </c>
      <c r="F264" t="s">
        <v>5538</v>
      </c>
      <c r="G264" t="s">
        <v>74</v>
      </c>
      <c r="H264" t="s">
        <v>74</v>
      </c>
      <c r="I264" t="s">
        <v>5539</v>
      </c>
      <c r="J264" t="s">
        <v>730</v>
      </c>
      <c r="K264" t="s">
        <v>74</v>
      </c>
      <c r="L264" t="s">
        <v>74</v>
      </c>
      <c r="M264" t="s">
        <v>78</v>
      </c>
      <c r="N264" t="s">
        <v>79</v>
      </c>
      <c r="O264" t="s">
        <v>74</v>
      </c>
      <c r="P264" t="s">
        <v>74</v>
      </c>
      <c r="Q264" t="s">
        <v>74</v>
      </c>
      <c r="R264" t="s">
        <v>74</v>
      </c>
      <c r="S264" t="s">
        <v>74</v>
      </c>
      <c r="T264" t="s">
        <v>74</v>
      </c>
      <c r="U264" t="s">
        <v>5540</v>
      </c>
      <c r="V264" t="s">
        <v>5541</v>
      </c>
      <c r="W264" t="s">
        <v>5542</v>
      </c>
      <c r="X264" t="s">
        <v>5543</v>
      </c>
      <c r="Y264" t="s">
        <v>5544</v>
      </c>
      <c r="Z264" t="s">
        <v>5545</v>
      </c>
      <c r="AA264" t="s">
        <v>5546</v>
      </c>
      <c r="AB264" t="s">
        <v>5547</v>
      </c>
      <c r="AC264" t="s">
        <v>5548</v>
      </c>
      <c r="AD264" t="s">
        <v>5549</v>
      </c>
      <c r="AE264" t="s">
        <v>5550</v>
      </c>
      <c r="AF264" t="s">
        <v>74</v>
      </c>
      <c r="AG264">
        <v>67</v>
      </c>
      <c r="AH264">
        <v>1</v>
      </c>
      <c r="AI264">
        <v>1</v>
      </c>
      <c r="AJ264">
        <v>0</v>
      </c>
      <c r="AK264">
        <v>10</v>
      </c>
      <c r="AL264" t="s">
        <v>171</v>
      </c>
      <c r="AM264" t="s">
        <v>172</v>
      </c>
      <c r="AN264" t="s">
        <v>173</v>
      </c>
      <c r="AO264" t="s">
        <v>742</v>
      </c>
      <c r="AP264" t="s">
        <v>743</v>
      </c>
      <c r="AQ264" t="s">
        <v>74</v>
      </c>
      <c r="AR264" t="s">
        <v>744</v>
      </c>
      <c r="AS264" t="s">
        <v>745</v>
      </c>
      <c r="AT264" t="s">
        <v>537</v>
      </c>
      <c r="AU264">
        <v>2022</v>
      </c>
      <c r="AV264">
        <v>24</v>
      </c>
      <c r="AW264">
        <v>4</v>
      </c>
      <c r="AX264" t="s">
        <v>74</v>
      </c>
      <c r="AY264" t="s">
        <v>74</v>
      </c>
      <c r="AZ264" t="s">
        <v>74</v>
      </c>
      <c r="BA264" t="s">
        <v>74</v>
      </c>
      <c r="BB264">
        <v>1849</v>
      </c>
      <c r="BC264">
        <v>1864</v>
      </c>
      <c r="BD264" t="s">
        <v>74</v>
      </c>
      <c r="BE264" t="s">
        <v>5551</v>
      </c>
      <c r="BF264" t="str">
        <f>HYPERLINK("http://dx.doi.org/10.1111/1462-2920.15776","http://dx.doi.org/10.1111/1462-2920.15776")</f>
        <v>http://dx.doi.org/10.1111/1462-2920.15776</v>
      </c>
      <c r="BG264" t="s">
        <v>74</v>
      </c>
      <c r="BH264" t="s">
        <v>4536</v>
      </c>
      <c r="BI264">
        <v>16</v>
      </c>
      <c r="BJ264" t="s">
        <v>747</v>
      </c>
      <c r="BK264" t="s">
        <v>103</v>
      </c>
      <c r="BL264" t="s">
        <v>747</v>
      </c>
      <c r="BM264" t="s">
        <v>5552</v>
      </c>
      <c r="BN264">
        <v>34528369</v>
      </c>
      <c r="BO264" t="s">
        <v>74</v>
      </c>
      <c r="BP264" t="s">
        <v>74</v>
      </c>
      <c r="BQ264" t="s">
        <v>74</v>
      </c>
      <c r="BR264" t="s">
        <v>106</v>
      </c>
      <c r="BS264" t="s">
        <v>5553</v>
      </c>
      <c r="BT264" t="str">
        <f>HYPERLINK("https%3A%2F%2Fwww.webofscience.com%2Fwos%2Fwoscc%2Ffull-record%2FWOS:000745906100001","View Full Record in Web of Science")</f>
        <v>View Full Record in Web of Science</v>
      </c>
    </row>
    <row r="265" spans="1:72" x14ac:dyDescent="0.15">
      <c r="A265" t="s">
        <v>72</v>
      </c>
      <c r="B265" t="s">
        <v>5554</v>
      </c>
      <c r="C265" t="s">
        <v>74</v>
      </c>
      <c r="D265" t="s">
        <v>74</v>
      </c>
      <c r="E265" t="s">
        <v>74</v>
      </c>
      <c r="F265" t="s">
        <v>5555</v>
      </c>
      <c r="G265" t="s">
        <v>74</v>
      </c>
      <c r="H265" t="s">
        <v>74</v>
      </c>
      <c r="I265" t="s">
        <v>5556</v>
      </c>
      <c r="J265" t="s">
        <v>5557</v>
      </c>
      <c r="K265" t="s">
        <v>74</v>
      </c>
      <c r="L265" t="s">
        <v>74</v>
      </c>
      <c r="M265" t="s">
        <v>78</v>
      </c>
      <c r="N265" t="s">
        <v>79</v>
      </c>
      <c r="O265" t="s">
        <v>74</v>
      </c>
      <c r="P265" t="s">
        <v>74</v>
      </c>
      <c r="Q265" t="s">
        <v>74</v>
      </c>
      <c r="R265" t="s">
        <v>74</v>
      </c>
      <c r="S265" t="s">
        <v>74</v>
      </c>
      <c r="T265" t="s">
        <v>5558</v>
      </c>
      <c r="U265" t="s">
        <v>5559</v>
      </c>
      <c r="V265" t="s">
        <v>5560</v>
      </c>
      <c r="W265" t="s">
        <v>5561</v>
      </c>
      <c r="X265" t="s">
        <v>5562</v>
      </c>
      <c r="Y265" t="s">
        <v>5563</v>
      </c>
      <c r="Z265" t="s">
        <v>5564</v>
      </c>
      <c r="AA265" t="s">
        <v>5565</v>
      </c>
      <c r="AB265" t="s">
        <v>5566</v>
      </c>
      <c r="AC265" t="s">
        <v>5567</v>
      </c>
      <c r="AD265" t="s">
        <v>5568</v>
      </c>
      <c r="AE265" t="s">
        <v>5569</v>
      </c>
      <c r="AF265" t="s">
        <v>74</v>
      </c>
      <c r="AG265">
        <v>60</v>
      </c>
      <c r="AH265">
        <v>6</v>
      </c>
      <c r="AI265">
        <v>6</v>
      </c>
      <c r="AJ265">
        <v>2</v>
      </c>
      <c r="AK265">
        <v>11</v>
      </c>
      <c r="AL265" t="s">
        <v>814</v>
      </c>
      <c r="AM265" t="s">
        <v>93</v>
      </c>
      <c r="AN265" t="s">
        <v>815</v>
      </c>
      <c r="AO265" t="s">
        <v>5570</v>
      </c>
      <c r="AP265" t="s">
        <v>5571</v>
      </c>
      <c r="AQ265" t="s">
        <v>74</v>
      </c>
      <c r="AR265" t="s">
        <v>5572</v>
      </c>
      <c r="AS265" t="s">
        <v>5573</v>
      </c>
      <c r="AT265" t="s">
        <v>99</v>
      </c>
      <c r="AU265">
        <v>2022</v>
      </c>
      <c r="AV265">
        <v>149</v>
      </c>
      <c r="AW265" t="s">
        <v>74</v>
      </c>
      <c r="AX265" t="s">
        <v>74</v>
      </c>
      <c r="AY265" t="s">
        <v>74</v>
      </c>
      <c r="AZ265" t="s">
        <v>74</v>
      </c>
      <c r="BA265" t="s">
        <v>74</v>
      </c>
      <c r="BB265" t="s">
        <v>74</v>
      </c>
      <c r="BC265" t="s">
        <v>74</v>
      </c>
      <c r="BD265">
        <v>105318</v>
      </c>
      <c r="BE265" t="s">
        <v>5574</v>
      </c>
      <c r="BF265" t="str">
        <f>HYPERLINK("http://dx.doi.org/10.1016/j.envsoft.2022.105318","http://dx.doi.org/10.1016/j.envsoft.2022.105318")</f>
        <v>http://dx.doi.org/10.1016/j.envsoft.2022.105318</v>
      </c>
      <c r="BG265" t="s">
        <v>74</v>
      </c>
      <c r="BH265" t="s">
        <v>4536</v>
      </c>
      <c r="BI265">
        <v>7</v>
      </c>
      <c r="BJ265" t="s">
        <v>5575</v>
      </c>
      <c r="BK265" t="s">
        <v>1034</v>
      </c>
      <c r="BL265" t="s">
        <v>5576</v>
      </c>
      <c r="BM265" t="s">
        <v>5577</v>
      </c>
      <c r="BN265" t="s">
        <v>74</v>
      </c>
      <c r="BO265" t="s">
        <v>948</v>
      </c>
      <c r="BP265" t="s">
        <v>74</v>
      </c>
      <c r="BQ265" t="s">
        <v>74</v>
      </c>
      <c r="BR265" t="s">
        <v>106</v>
      </c>
      <c r="BS265" t="s">
        <v>5578</v>
      </c>
      <c r="BT265" t="str">
        <f>HYPERLINK("https%3A%2F%2Fwww.webofscience.com%2Fwos%2Fwoscc%2Ffull-record%2FWOS:000787109500005","View Full Record in Web of Science")</f>
        <v>View Full Record in Web of Science</v>
      </c>
    </row>
    <row r="266" spans="1:72" x14ac:dyDescent="0.15">
      <c r="A266" t="s">
        <v>72</v>
      </c>
      <c r="B266" t="s">
        <v>5579</v>
      </c>
      <c r="C266" t="s">
        <v>74</v>
      </c>
      <c r="D266" t="s">
        <v>74</v>
      </c>
      <c r="E266" t="s">
        <v>74</v>
      </c>
      <c r="F266" t="s">
        <v>5580</v>
      </c>
      <c r="G266" t="s">
        <v>74</v>
      </c>
      <c r="H266" t="s">
        <v>74</v>
      </c>
      <c r="I266" t="s">
        <v>5581</v>
      </c>
      <c r="J266" t="s">
        <v>5582</v>
      </c>
      <c r="K266" t="s">
        <v>74</v>
      </c>
      <c r="L266" t="s">
        <v>74</v>
      </c>
      <c r="M266" t="s">
        <v>78</v>
      </c>
      <c r="N266" t="s">
        <v>79</v>
      </c>
      <c r="O266" t="s">
        <v>74</v>
      </c>
      <c r="P266" t="s">
        <v>74</v>
      </c>
      <c r="Q266" t="s">
        <v>74</v>
      </c>
      <c r="R266" t="s">
        <v>74</v>
      </c>
      <c r="S266" t="s">
        <v>74</v>
      </c>
      <c r="T266" t="s">
        <v>5583</v>
      </c>
      <c r="U266" t="s">
        <v>5584</v>
      </c>
      <c r="V266" t="s">
        <v>5585</v>
      </c>
      <c r="W266" t="s">
        <v>5586</v>
      </c>
      <c r="X266" t="s">
        <v>2842</v>
      </c>
      <c r="Y266" t="s">
        <v>5587</v>
      </c>
      <c r="Z266" t="s">
        <v>5588</v>
      </c>
      <c r="AA266" t="s">
        <v>5589</v>
      </c>
      <c r="AB266" t="s">
        <v>5590</v>
      </c>
      <c r="AC266" t="s">
        <v>5591</v>
      </c>
      <c r="AD266" t="s">
        <v>5592</v>
      </c>
      <c r="AE266" t="s">
        <v>5593</v>
      </c>
      <c r="AF266" t="s">
        <v>74</v>
      </c>
      <c r="AG266">
        <v>60</v>
      </c>
      <c r="AH266">
        <v>1</v>
      </c>
      <c r="AI266">
        <v>2</v>
      </c>
      <c r="AJ266">
        <v>0</v>
      </c>
      <c r="AK266">
        <v>4</v>
      </c>
      <c r="AL266" t="s">
        <v>3182</v>
      </c>
      <c r="AM266" t="s">
        <v>3183</v>
      </c>
      <c r="AN266" t="s">
        <v>3184</v>
      </c>
      <c r="AO266" t="s">
        <v>5594</v>
      </c>
      <c r="AP266" t="s">
        <v>5595</v>
      </c>
      <c r="AQ266" t="s">
        <v>74</v>
      </c>
      <c r="AR266" t="s">
        <v>5582</v>
      </c>
      <c r="AS266" t="s">
        <v>5596</v>
      </c>
      <c r="AT266" t="s">
        <v>99</v>
      </c>
      <c r="AU266">
        <v>2022</v>
      </c>
      <c r="AV266">
        <v>93</v>
      </c>
      <c r="AW266" t="s">
        <v>74</v>
      </c>
      <c r="AX266" t="s">
        <v>74</v>
      </c>
      <c r="AY266" t="s">
        <v>74</v>
      </c>
      <c r="AZ266" t="s">
        <v>74</v>
      </c>
      <c r="BA266" t="s">
        <v>74</v>
      </c>
      <c r="BB266" t="s">
        <v>74</v>
      </c>
      <c r="BC266" t="s">
        <v>74</v>
      </c>
      <c r="BD266">
        <v>125956</v>
      </c>
      <c r="BE266" t="s">
        <v>5597</v>
      </c>
      <c r="BF266" t="str">
        <f>HYPERLINK("http://dx.doi.org/10.1016/j.limno.2022.125956","http://dx.doi.org/10.1016/j.limno.2022.125956")</f>
        <v>http://dx.doi.org/10.1016/j.limno.2022.125956</v>
      </c>
      <c r="BG266" t="s">
        <v>74</v>
      </c>
      <c r="BH266" t="s">
        <v>4536</v>
      </c>
      <c r="BI266">
        <v>8</v>
      </c>
      <c r="BJ266" t="s">
        <v>5598</v>
      </c>
      <c r="BK266" t="s">
        <v>103</v>
      </c>
      <c r="BL266" t="s">
        <v>4137</v>
      </c>
      <c r="BM266" t="s">
        <v>5599</v>
      </c>
      <c r="BN266" t="s">
        <v>74</v>
      </c>
      <c r="BO266" t="s">
        <v>74</v>
      </c>
      <c r="BP266" t="s">
        <v>74</v>
      </c>
      <c r="BQ266" t="s">
        <v>74</v>
      </c>
      <c r="BR266" t="s">
        <v>106</v>
      </c>
      <c r="BS266" t="s">
        <v>5600</v>
      </c>
      <c r="BT266" t="str">
        <f>HYPERLINK("https%3A%2F%2Fwww.webofscience.com%2Fwos%2Fwoscc%2Ffull-record%2FWOS:000783176200002","View Full Record in Web of Science")</f>
        <v>View Full Record in Web of Science</v>
      </c>
    </row>
    <row r="267" spans="1:72" x14ac:dyDescent="0.15">
      <c r="A267" t="s">
        <v>72</v>
      </c>
      <c r="B267" t="s">
        <v>5601</v>
      </c>
      <c r="C267" t="s">
        <v>74</v>
      </c>
      <c r="D267" t="s">
        <v>74</v>
      </c>
      <c r="E267" t="s">
        <v>74</v>
      </c>
      <c r="F267" t="s">
        <v>5602</v>
      </c>
      <c r="G267" t="s">
        <v>74</v>
      </c>
      <c r="H267" t="s">
        <v>74</v>
      </c>
      <c r="I267" t="s">
        <v>5603</v>
      </c>
      <c r="J267" t="s">
        <v>5604</v>
      </c>
      <c r="K267" t="s">
        <v>74</v>
      </c>
      <c r="L267" t="s">
        <v>74</v>
      </c>
      <c r="M267" t="s">
        <v>78</v>
      </c>
      <c r="N267" t="s">
        <v>79</v>
      </c>
      <c r="O267" t="s">
        <v>74</v>
      </c>
      <c r="P267" t="s">
        <v>74</v>
      </c>
      <c r="Q267" t="s">
        <v>74</v>
      </c>
      <c r="R267" t="s">
        <v>74</v>
      </c>
      <c r="S267" t="s">
        <v>74</v>
      </c>
      <c r="T267" t="s">
        <v>5605</v>
      </c>
      <c r="U267" t="s">
        <v>5606</v>
      </c>
      <c r="V267" t="s">
        <v>5607</v>
      </c>
      <c r="W267" t="s">
        <v>5608</v>
      </c>
      <c r="X267" t="s">
        <v>5609</v>
      </c>
      <c r="Y267" t="s">
        <v>5610</v>
      </c>
      <c r="Z267" t="s">
        <v>5611</v>
      </c>
      <c r="AA267" t="s">
        <v>5612</v>
      </c>
      <c r="AB267" t="s">
        <v>5613</v>
      </c>
      <c r="AC267" t="s">
        <v>5614</v>
      </c>
      <c r="AD267" t="s">
        <v>5615</v>
      </c>
      <c r="AE267" t="s">
        <v>5616</v>
      </c>
      <c r="AF267" t="s">
        <v>74</v>
      </c>
      <c r="AG267">
        <v>48</v>
      </c>
      <c r="AH267">
        <v>19</v>
      </c>
      <c r="AI267">
        <v>23</v>
      </c>
      <c r="AJ267">
        <v>27</v>
      </c>
      <c r="AK267">
        <v>145</v>
      </c>
      <c r="AL267" t="s">
        <v>814</v>
      </c>
      <c r="AM267" t="s">
        <v>93</v>
      </c>
      <c r="AN267" t="s">
        <v>815</v>
      </c>
      <c r="AO267" t="s">
        <v>5617</v>
      </c>
      <c r="AP267" t="s">
        <v>5618</v>
      </c>
      <c r="AQ267" t="s">
        <v>74</v>
      </c>
      <c r="AR267" t="s">
        <v>5619</v>
      </c>
      <c r="AS267" t="s">
        <v>5620</v>
      </c>
      <c r="AT267" t="s">
        <v>1558</v>
      </c>
      <c r="AU267">
        <v>2022</v>
      </c>
      <c r="AV267">
        <v>299</v>
      </c>
      <c r="AW267" t="s">
        <v>74</v>
      </c>
      <c r="AX267" t="s">
        <v>74</v>
      </c>
      <c r="AY267" t="s">
        <v>74</v>
      </c>
      <c r="AZ267" t="s">
        <v>74</v>
      </c>
      <c r="BA267" t="s">
        <v>74</v>
      </c>
      <c r="BB267" t="s">
        <v>74</v>
      </c>
      <c r="BC267" t="s">
        <v>74</v>
      </c>
      <c r="BD267">
        <v>118873</v>
      </c>
      <c r="BE267" t="s">
        <v>5621</v>
      </c>
      <c r="BF267" t="str">
        <f>HYPERLINK("http://dx.doi.org/10.1016/j.envpol.2022.118873","http://dx.doi.org/10.1016/j.envpol.2022.118873")</f>
        <v>http://dx.doi.org/10.1016/j.envpol.2022.118873</v>
      </c>
      <c r="BG267" t="s">
        <v>74</v>
      </c>
      <c r="BH267" t="s">
        <v>4536</v>
      </c>
      <c r="BI267">
        <v>9</v>
      </c>
      <c r="BJ267" t="s">
        <v>1560</v>
      </c>
      <c r="BK267" t="s">
        <v>103</v>
      </c>
      <c r="BL267" t="s">
        <v>1561</v>
      </c>
      <c r="BM267" t="s">
        <v>5622</v>
      </c>
      <c r="BN267">
        <v>35066107</v>
      </c>
      <c r="BO267" t="s">
        <v>74</v>
      </c>
      <c r="BP267" t="s">
        <v>74</v>
      </c>
      <c r="BQ267" t="s">
        <v>74</v>
      </c>
      <c r="BR267" t="s">
        <v>106</v>
      </c>
      <c r="BS267" t="s">
        <v>5623</v>
      </c>
      <c r="BT267" t="str">
        <f>HYPERLINK("https%3A%2F%2Fwww.webofscience.com%2Fwos%2Fwoscc%2Ffull-record%2FWOS:000758453300009","View Full Record in Web of Science")</f>
        <v>View Full Record in Web of Science</v>
      </c>
    </row>
    <row r="268" spans="1:72" x14ac:dyDescent="0.15">
      <c r="A268" t="s">
        <v>72</v>
      </c>
      <c r="B268" t="s">
        <v>5624</v>
      </c>
      <c r="C268" t="s">
        <v>74</v>
      </c>
      <c r="D268" t="s">
        <v>74</v>
      </c>
      <c r="E268" t="s">
        <v>74</v>
      </c>
      <c r="F268" t="s">
        <v>5625</v>
      </c>
      <c r="G268" t="s">
        <v>74</v>
      </c>
      <c r="H268" t="s">
        <v>74</v>
      </c>
      <c r="I268" t="s">
        <v>5626</v>
      </c>
      <c r="J268" t="s">
        <v>4729</v>
      </c>
      <c r="K268" t="s">
        <v>74</v>
      </c>
      <c r="L268" t="s">
        <v>74</v>
      </c>
      <c r="M268" t="s">
        <v>78</v>
      </c>
      <c r="N268" t="s">
        <v>79</v>
      </c>
      <c r="O268" t="s">
        <v>74</v>
      </c>
      <c r="P268" t="s">
        <v>74</v>
      </c>
      <c r="Q268" t="s">
        <v>74</v>
      </c>
      <c r="R268" t="s">
        <v>74</v>
      </c>
      <c r="S268" t="s">
        <v>74</v>
      </c>
      <c r="T268" t="s">
        <v>5627</v>
      </c>
      <c r="U268" t="s">
        <v>5628</v>
      </c>
      <c r="V268" t="s">
        <v>5629</v>
      </c>
      <c r="W268" t="s">
        <v>5630</v>
      </c>
      <c r="X268" t="s">
        <v>5631</v>
      </c>
      <c r="Y268" t="s">
        <v>5632</v>
      </c>
      <c r="Z268" t="s">
        <v>5633</v>
      </c>
      <c r="AA268" t="s">
        <v>5634</v>
      </c>
      <c r="AB268" t="s">
        <v>5635</v>
      </c>
      <c r="AC268" t="s">
        <v>5636</v>
      </c>
      <c r="AD268" t="s">
        <v>5637</v>
      </c>
      <c r="AE268" t="s">
        <v>5638</v>
      </c>
      <c r="AF268" t="s">
        <v>74</v>
      </c>
      <c r="AG268">
        <v>49</v>
      </c>
      <c r="AH268">
        <v>1</v>
      </c>
      <c r="AI268">
        <v>1</v>
      </c>
      <c r="AJ268">
        <v>2</v>
      </c>
      <c r="AK268">
        <v>17</v>
      </c>
      <c r="AL268" t="s">
        <v>254</v>
      </c>
      <c r="AM268" t="s">
        <v>255</v>
      </c>
      <c r="AN268" t="s">
        <v>256</v>
      </c>
      <c r="AO268" t="s">
        <v>4742</v>
      </c>
      <c r="AP268" t="s">
        <v>4743</v>
      </c>
      <c r="AQ268" t="s">
        <v>74</v>
      </c>
      <c r="AR268" t="s">
        <v>4744</v>
      </c>
      <c r="AS268" t="s">
        <v>4745</v>
      </c>
      <c r="AT268" t="s">
        <v>260</v>
      </c>
      <c r="AU268">
        <v>2022</v>
      </c>
      <c r="AV268">
        <v>208</v>
      </c>
      <c r="AW268" t="s">
        <v>74</v>
      </c>
      <c r="AX268" t="s">
        <v>74</v>
      </c>
      <c r="AY268" t="s">
        <v>74</v>
      </c>
      <c r="AZ268" t="s">
        <v>74</v>
      </c>
      <c r="BA268" t="s">
        <v>74</v>
      </c>
      <c r="BB268" t="s">
        <v>74</v>
      </c>
      <c r="BC268" t="s">
        <v>74</v>
      </c>
      <c r="BD268">
        <v>112742</v>
      </c>
      <c r="BE268" t="s">
        <v>5639</v>
      </c>
      <c r="BF268" t="str">
        <f>HYPERLINK("http://dx.doi.org/10.1016/j.envres.2022.112742","http://dx.doi.org/10.1016/j.envres.2022.112742")</f>
        <v>http://dx.doi.org/10.1016/j.envres.2022.112742</v>
      </c>
      <c r="BG268" t="s">
        <v>74</v>
      </c>
      <c r="BH268" t="s">
        <v>4536</v>
      </c>
      <c r="BI268">
        <v>10</v>
      </c>
      <c r="BJ268" t="s">
        <v>4748</v>
      </c>
      <c r="BK268" t="s">
        <v>103</v>
      </c>
      <c r="BL268" t="s">
        <v>4749</v>
      </c>
      <c r="BM268" t="s">
        <v>5640</v>
      </c>
      <c r="BN268">
        <v>35065927</v>
      </c>
      <c r="BO268" t="s">
        <v>5641</v>
      </c>
      <c r="BP268" t="s">
        <v>74</v>
      </c>
      <c r="BQ268" t="s">
        <v>74</v>
      </c>
      <c r="BR268" t="s">
        <v>106</v>
      </c>
      <c r="BS268" t="s">
        <v>5642</v>
      </c>
      <c r="BT268" t="str">
        <f>HYPERLINK("https%3A%2F%2Fwww.webofscience.com%2Fwos%2Fwoscc%2Ffull-record%2FWOS:000752033300007","View Full Record in Web of Science")</f>
        <v>View Full Record in Web of Science</v>
      </c>
    </row>
    <row r="269" spans="1:72" x14ac:dyDescent="0.15">
      <c r="A269" t="s">
        <v>72</v>
      </c>
      <c r="B269" t="s">
        <v>5643</v>
      </c>
      <c r="C269" t="s">
        <v>74</v>
      </c>
      <c r="D269" t="s">
        <v>74</v>
      </c>
      <c r="E269" t="s">
        <v>74</v>
      </c>
      <c r="F269" t="s">
        <v>5644</v>
      </c>
      <c r="G269" t="s">
        <v>74</v>
      </c>
      <c r="H269" t="s">
        <v>74</v>
      </c>
      <c r="I269" t="s">
        <v>5645</v>
      </c>
      <c r="J269" t="s">
        <v>5646</v>
      </c>
      <c r="K269" t="s">
        <v>74</v>
      </c>
      <c r="L269" t="s">
        <v>74</v>
      </c>
      <c r="M269" t="s">
        <v>78</v>
      </c>
      <c r="N269" t="s">
        <v>1113</v>
      </c>
      <c r="O269" t="s">
        <v>74</v>
      </c>
      <c r="P269" t="s">
        <v>74</v>
      </c>
      <c r="Q269" t="s">
        <v>74</v>
      </c>
      <c r="R269" t="s">
        <v>74</v>
      </c>
      <c r="S269" t="s">
        <v>74</v>
      </c>
      <c r="T269" t="s">
        <v>5647</v>
      </c>
      <c r="U269" t="s">
        <v>5648</v>
      </c>
      <c r="V269" t="s">
        <v>5649</v>
      </c>
      <c r="W269" t="s">
        <v>5650</v>
      </c>
      <c r="X269" t="s">
        <v>5651</v>
      </c>
      <c r="Y269" t="s">
        <v>5652</v>
      </c>
      <c r="Z269" t="s">
        <v>5653</v>
      </c>
      <c r="AA269" t="s">
        <v>5654</v>
      </c>
      <c r="AB269" t="s">
        <v>5655</v>
      </c>
      <c r="AC269" t="s">
        <v>5656</v>
      </c>
      <c r="AD269" t="s">
        <v>5657</v>
      </c>
      <c r="AE269" t="s">
        <v>5658</v>
      </c>
      <c r="AF269" t="s">
        <v>74</v>
      </c>
      <c r="AG269">
        <v>252</v>
      </c>
      <c r="AH269">
        <v>8</v>
      </c>
      <c r="AI269">
        <v>9</v>
      </c>
      <c r="AJ269">
        <v>16</v>
      </c>
      <c r="AK269">
        <v>76</v>
      </c>
      <c r="AL269" t="s">
        <v>4129</v>
      </c>
      <c r="AM269" t="s">
        <v>4130</v>
      </c>
      <c r="AN269" t="s">
        <v>4131</v>
      </c>
      <c r="AO269" t="s">
        <v>74</v>
      </c>
      <c r="AP269" t="s">
        <v>5659</v>
      </c>
      <c r="AQ269" t="s">
        <v>74</v>
      </c>
      <c r="AR269" t="s">
        <v>5660</v>
      </c>
      <c r="AS269" t="s">
        <v>5661</v>
      </c>
      <c r="AT269" t="s">
        <v>5662</v>
      </c>
      <c r="AU269">
        <v>2022</v>
      </c>
      <c r="AV269">
        <v>9</v>
      </c>
      <c r="AW269">
        <v>1</v>
      </c>
      <c r="AX269" t="s">
        <v>74</v>
      </c>
      <c r="AY269" t="s">
        <v>74</v>
      </c>
      <c r="AZ269" t="s">
        <v>74</v>
      </c>
      <c r="BA269" t="s">
        <v>74</v>
      </c>
      <c r="BB269" t="s">
        <v>74</v>
      </c>
      <c r="BC269" t="s">
        <v>74</v>
      </c>
      <c r="BD269">
        <v>5</v>
      </c>
      <c r="BE269" t="s">
        <v>5663</v>
      </c>
      <c r="BF269" t="str">
        <f>HYPERLINK("http://dx.doi.org/10.1186/s40643-022-00494-7","http://dx.doi.org/10.1186/s40643-022-00494-7")</f>
        <v>http://dx.doi.org/10.1186/s40643-022-00494-7</v>
      </c>
      <c r="BG269" t="s">
        <v>74</v>
      </c>
      <c r="BH269" t="s">
        <v>74</v>
      </c>
      <c r="BI269">
        <v>24</v>
      </c>
      <c r="BJ269" t="s">
        <v>5664</v>
      </c>
      <c r="BK269" t="s">
        <v>103</v>
      </c>
      <c r="BL269" t="s">
        <v>5664</v>
      </c>
      <c r="BM269" t="s">
        <v>5665</v>
      </c>
      <c r="BN269" t="s">
        <v>74</v>
      </c>
      <c r="BO269" t="s">
        <v>211</v>
      </c>
      <c r="BP269" t="s">
        <v>74</v>
      </c>
      <c r="BQ269" t="s">
        <v>74</v>
      </c>
      <c r="BR269" t="s">
        <v>106</v>
      </c>
      <c r="BS269" t="s">
        <v>5666</v>
      </c>
      <c r="BT269" t="str">
        <f>HYPERLINK("https%3A%2F%2Fwww.webofscience.com%2Fwos%2Fwoscc%2Ffull-record%2FWOS:000745446400001","View Full Record in Web of Science")</f>
        <v>View Full Record in Web of Science</v>
      </c>
    </row>
    <row r="270" spans="1:72" x14ac:dyDescent="0.15">
      <c r="A270" t="s">
        <v>72</v>
      </c>
      <c r="B270" t="s">
        <v>5667</v>
      </c>
      <c r="C270" t="s">
        <v>74</v>
      </c>
      <c r="D270" t="s">
        <v>74</v>
      </c>
      <c r="E270" t="s">
        <v>74</v>
      </c>
      <c r="F270" t="s">
        <v>5668</v>
      </c>
      <c r="G270" t="s">
        <v>74</v>
      </c>
      <c r="H270" t="s">
        <v>74</v>
      </c>
      <c r="I270" t="s">
        <v>5669</v>
      </c>
      <c r="J270" t="s">
        <v>1853</v>
      </c>
      <c r="K270" t="s">
        <v>74</v>
      </c>
      <c r="L270" t="s">
        <v>74</v>
      </c>
      <c r="M270" t="s">
        <v>78</v>
      </c>
      <c r="N270" t="s">
        <v>79</v>
      </c>
      <c r="O270" t="s">
        <v>74</v>
      </c>
      <c r="P270" t="s">
        <v>74</v>
      </c>
      <c r="Q270" t="s">
        <v>74</v>
      </c>
      <c r="R270" t="s">
        <v>74</v>
      </c>
      <c r="S270" t="s">
        <v>74</v>
      </c>
      <c r="T270" t="s">
        <v>5670</v>
      </c>
      <c r="U270" t="s">
        <v>5671</v>
      </c>
      <c r="V270" t="s">
        <v>5672</v>
      </c>
      <c r="W270" t="s">
        <v>5673</v>
      </c>
      <c r="X270" t="s">
        <v>5674</v>
      </c>
      <c r="Y270" t="s">
        <v>5675</v>
      </c>
      <c r="Z270" t="s">
        <v>5676</v>
      </c>
      <c r="AA270" t="s">
        <v>74</v>
      </c>
      <c r="AB270" t="s">
        <v>74</v>
      </c>
      <c r="AC270" t="s">
        <v>5677</v>
      </c>
      <c r="AD270" t="s">
        <v>5678</v>
      </c>
      <c r="AE270" t="s">
        <v>5679</v>
      </c>
      <c r="AF270" t="s">
        <v>74</v>
      </c>
      <c r="AG270">
        <v>81</v>
      </c>
      <c r="AH270">
        <v>2</v>
      </c>
      <c r="AI270">
        <v>2</v>
      </c>
      <c r="AJ270">
        <v>0</v>
      </c>
      <c r="AK270">
        <v>2</v>
      </c>
      <c r="AL270" t="s">
        <v>505</v>
      </c>
      <c r="AM270" t="s">
        <v>506</v>
      </c>
      <c r="AN270" t="s">
        <v>507</v>
      </c>
      <c r="AO270" t="s">
        <v>1865</v>
      </c>
      <c r="AP270" t="s">
        <v>1866</v>
      </c>
      <c r="AQ270" t="s">
        <v>74</v>
      </c>
      <c r="AR270" t="s">
        <v>1867</v>
      </c>
      <c r="AS270" t="s">
        <v>1868</v>
      </c>
      <c r="AT270" t="s">
        <v>537</v>
      </c>
      <c r="AU270">
        <v>2022</v>
      </c>
      <c r="AV270">
        <v>266</v>
      </c>
      <c r="AW270" t="s">
        <v>74</v>
      </c>
      <c r="AX270" t="s">
        <v>74</v>
      </c>
      <c r="AY270" t="s">
        <v>74</v>
      </c>
      <c r="AZ270" t="s">
        <v>74</v>
      </c>
      <c r="BA270" t="s">
        <v>74</v>
      </c>
      <c r="BB270" t="s">
        <v>74</v>
      </c>
      <c r="BC270" t="s">
        <v>74</v>
      </c>
      <c r="BD270">
        <v>111155</v>
      </c>
      <c r="BE270" t="s">
        <v>5680</v>
      </c>
      <c r="BF270" t="str">
        <f>HYPERLINK("http://dx.doi.org/10.1016/j.cbpa.2022.111155","http://dx.doi.org/10.1016/j.cbpa.2022.111155")</f>
        <v>http://dx.doi.org/10.1016/j.cbpa.2022.111155</v>
      </c>
      <c r="BG270" t="s">
        <v>74</v>
      </c>
      <c r="BH270" t="s">
        <v>4536</v>
      </c>
      <c r="BI270">
        <v>8</v>
      </c>
      <c r="BJ270" t="s">
        <v>1870</v>
      </c>
      <c r="BK270" t="s">
        <v>103</v>
      </c>
      <c r="BL270" t="s">
        <v>1870</v>
      </c>
      <c r="BM270" t="s">
        <v>2170</v>
      </c>
      <c r="BN270">
        <v>35051629</v>
      </c>
      <c r="BO270" t="s">
        <v>74</v>
      </c>
      <c r="BP270" t="s">
        <v>74</v>
      </c>
      <c r="BQ270" t="s">
        <v>74</v>
      </c>
      <c r="BR270" t="s">
        <v>106</v>
      </c>
      <c r="BS270" t="s">
        <v>5681</v>
      </c>
      <c r="BT270" t="str">
        <f>HYPERLINK("https%3A%2F%2Fwww.webofscience.com%2Fwos%2Fwoscc%2Ffull-record%2FWOS:000793738200003","View Full Record in Web of Science")</f>
        <v>View Full Record in Web of Science</v>
      </c>
    </row>
    <row r="271" spans="1:72" x14ac:dyDescent="0.15">
      <c r="A271" t="s">
        <v>72</v>
      </c>
      <c r="B271" t="s">
        <v>5682</v>
      </c>
      <c r="C271" t="s">
        <v>74</v>
      </c>
      <c r="D271" t="s">
        <v>74</v>
      </c>
      <c r="E271" t="s">
        <v>74</v>
      </c>
      <c r="F271" t="s">
        <v>5683</v>
      </c>
      <c r="G271" t="s">
        <v>74</v>
      </c>
      <c r="H271" t="s">
        <v>74</v>
      </c>
      <c r="I271" t="s">
        <v>5684</v>
      </c>
      <c r="J271" t="s">
        <v>325</v>
      </c>
      <c r="K271" t="s">
        <v>74</v>
      </c>
      <c r="L271" t="s">
        <v>74</v>
      </c>
      <c r="M271" t="s">
        <v>78</v>
      </c>
      <c r="N271" t="s">
        <v>79</v>
      </c>
      <c r="O271" t="s">
        <v>74</v>
      </c>
      <c r="P271" t="s">
        <v>74</v>
      </c>
      <c r="Q271" t="s">
        <v>74</v>
      </c>
      <c r="R271" t="s">
        <v>74</v>
      </c>
      <c r="S271" t="s">
        <v>74</v>
      </c>
      <c r="T271" t="s">
        <v>74</v>
      </c>
      <c r="U271" t="s">
        <v>5685</v>
      </c>
      <c r="V271" t="s">
        <v>5686</v>
      </c>
      <c r="W271" t="s">
        <v>5687</v>
      </c>
      <c r="X271" t="s">
        <v>5688</v>
      </c>
      <c r="Y271" t="s">
        <v>5689</v>
      </c>
      <c r="Z271" t="s">
        <v>5690</v>
      </c>
      <c r="AA271" t="s">
        <v>5691</v>
      </c>
      <c r="AB271" t="s">
        <v>5692</v>
      </c>
      <c r="AC271" t="s">
        <v>5693</v>
      </c>
      <c r="AD271" t="s">
        <v>5694</v>
      </c>
      <c r="AE271" t="s">
        <v>5695</v>
      </c>
      <c r="AF271" t="s">
        <v>74</v>
      </c>
      <c r="AG271">
        <v>39</v>
      </c>
      <c r="AH271">
        <v>5</v>
      </c>
      <c r="AI271">
        <v>5</v>
      </c>
      <c r="AJ271">
        <v>3</v>
      </c>
      <c r="AK271">
        <v>7</v>
      </c>
      <c r="AL271" t="s">
        <v>337</v>
      </c>
      <c r="AM271" t="s">
        <v>338</v>
      </c>
      <c r="AN271" t="s">
        <v>339</v>
      </c>
      <c r="AO271" t="s">
        <v>74</v>
      </c>
      <c r="AP271" t="s">
        <v>340</v>
      </c>
      <c r="AQ271" t="s">
        <v>74</v>
      </c>
      <c r="AR271" t="s">
        <v>341</v>
      </c>
      <c r="AS271" t="s">
        <v>342</v>
      </c>
      <c r="AT271" t="s">
        <v>5696</v>
      </c>
      <c r="AU271">
        <v>2022</v>
      </c>
      <c r="AV271">
        <v>5</v>
      </c>
      <c r="AW271">
        <v>1</v>
      </c>
      <c r="AX271" t="s">
        <v>74</v>
      </c>
      <c r="AY271" t="s">
        <v>74</v>
      </c>
      <c r="AZ271" t="s">
        <v>74</v>
      </c>
      <c r="BA271" t="s">
        <v>74</v>
      </c>
      <c r="BB271" t="s">
        <v>74</v>
      </c>
      <c r="BC271" t="s">
        <v>74</v>
      </c>
      <c r="BD271">
        <v>83</v>
      </c>
      <c r="BE271" t="s">
        <v>5697</v>
      </c>
      <c r="BF271" t="str">
        <f>HYPERLINK("http://dx.doi.org/10.1038/s42003-022-03023-6","http://dx.doi.org/10.1038/s42003-022-03023-6")</f>
        <v>http://dx.doi.org/10.1038/s42003-022-03023-6</v>
      </c>
      <c r="BG271" t="s">
        <v>74</v>
      </c>
      <c r="BH271" t="s">
        <v>74</v>
      </c>
      <c r="BI271">
        <v>8</v>
      </c>
      <c r="BJ271" t="s">
        <v>344</v>
      </c>
      <c r="BK271" t="s">
        <v>103</v>
      </c>
      <c r="BL271" t="s">
        <v>345</v>
      </c>
      <c r="BM271" t="s">
        <v>5698</v>
      </c>
      <c r="BN271">
        <v>35064197</v>
      </c>
      <c r="BO271" t="s">
        <v>211</v>
      </c>
      <c r="BP271" t="s">
        <v>74</v>
      </c>
      <c r="BQ271" t="s">
        <v>74</v>
      </c>
      <c r="BR271" t="s">
        <v>106</v>
      </c>
      <c r="BS271" t="s">
        <v>5699</v>
      </c>
      <c r="BT271" t="str">
        <f>HYPERLINK("https%3A%2F%2Fwww.webofscience.com%2Fwos%2Fwoscc%2Ffull-record%2FWOS:000745535600002","View Full Record in Web of Science")</f>
        <v>View Full Record in Web of Science</v>
      </c>
    </row>
    <row r="272" spans="1:72" x14ac:dyDescent="0.15">
      <c r="A272" t="s">
        <v>72</v>
      </c>
      <c r="B272" t="s">
        <v>5700</v>
      </c>
      <c r="C272" t="s">
        <v>74</v>
      </c>
      <c r="D272" t="s">
        <v>74</v>
      </c>
      <c r="E272" t="s">
        <v>74</v>
      </c>
      <c r="F272" t="s">
        <v>5701</v>
      </c>
      <c r="G272" t="s">
        <v>74</v>
      </c>
      <c r="H272" t="s">
        <v>74</v>
      </c>
      <c r="I272" t="s">
        <v>5702</v>
      </c>
      <c r="J272" t="s">
        <v>111</v>
      </c>
      <c r="K272" t="s">
        <v>74</v>
      </c>
      <c r="L272" t="s">
        <v>74</v>
      </c>
      <c r="M272" t="s">
        <v>78</v>
      </c>
      <c r="N272" t="s">
        <v>79</v>
      </c>
      <c r="O272" t="s">
        <v>74</v>
      </c>
      <c r="P272" t="s">
        <v>74</v>
      </c>
      <c r="Q272" t="s">
        <v>74</v>
      </c>
      <c r="R272" t="s">
        <v>74</v>
      </c>
      <c r="S272" t="s">
        <v>74</v>
      </c>
      <c r="T272" t="s">
        <v>74</v>
      </c>
      <c r="U272" t="s">
        <v>5703</v>
      </c>
      <c r="V272" t="s">
        <v>5704</v>
      </c>
      <c r="W272" t="s">
        <v>5705</v>
      </c>
      <c r="X272" t="s">
        <v>5706</v>
      </c>
      <c r="Y272" t="s">
        <v>5707</v>
      </c>
      <c r="Z272" t="s">
        <v>5708</v>
      </c>
      <c r="AA272" t="s">
        <v>5709</v>
      </c>
      <c r="AB272" t="s">
        <v>5710</v>
      </c>
      <c r="AC272" t="s">
        <v>5711</v>
      </c>
      <c r="AD272" t="s">
        <v>5712</v>
      </c>
      <c r="AE272" t="s">
        <v>5713</v>
      </c>
      <c r="AF272" t="s">
        <v>74</v>
      </c>
      <c r="AG272">
        <v>81</v>
      </c>
      <c r="AH272">
        <v>8</v>
      </c>
      <c r="AI272">
        <v>8</v>
      </c>
      <c r="AJ272">
        <v>4</v>
      </c>
      <c r="AK272">
        <v>31</v>
      </c>
      <c r="AL272" t="s">
        <v>120</v>
      </c>
      <c r="AM272" t="s">
        <v>121</v>
      </c>
      <c r="AN272" t="s">
        <v>122</v>
      </c>
      <c r="AO272" t="s">
        <v>123</v>
      </c>
      <c r="AP272" t="s">
        <v>124</v>
      </c>
      <c r="AQ272" t="s">
        <v>74</v>
      </c>
      <c r="AR272" t="s">
        <v>125</v>
      </c>
      <c r="AS272" t="s">
        <v>126</v>
      </c>
      <c r="AT272" t="s">
        <v>5696</v>
      </c>
      <c r="AU272">
        <v>2022</v>
      </c>
      <c r="AV272">
        <v>22</v>
      </c>
      <c r="AW272">
        <v>2</v>
      </c>
      <c r="AX272" t="s">
        <v>74</v>
      </c>
      <c r="AY272" t="s">
        <v>74</v>
      </c>
      <c r="AZ272" t="s">
        <v>74</v>
      </c>
      <c r="BA272" t="s">
        <v>74</v>
      </c>
      <c r="BB272">
        <v>1081</v>
      </c>
      <c r="BC272">
        <v>1096</v>
      </c>
      <c r="BD272" t="s">
        <v>74</v>
      </c>
      <c r="BE272" t="s">
        <v>5714</v>
      </c>
      <c r="BF272" t="str">
        <f>HYPERLINK("http://dx.doi.org/10.5194/acp-22-1081-2022","http://dx.doi.org/10.5194/acp-22-1081-2022")</f>
        <v>http://dx.doi.org/10.5194/acp-22-1081-2022</v>
      </c>
      <c r="BG272" t="s">
        <v>74</v>
      </c>
      <c r="BH272" t="s">
        <v>74</v>
      </c>
      <c r="BI272">
        <v>16</v>
      </c>
      <c r="BJ272" t="s">
        <v>129</v>
      </c>
      <c r="BK272" t="s">
        <v>103</v>
      </c>
      <c r="BL272" t="s">
        <v>130</v>
      </c>
      <c r="BM272" t="s">
        <v>5715</v>
      </c>
      <c r="BN272" t="s">
        <v>74</v>
      </c>
      <c r="BO272" t="s">
        <v>132</v>
      </c>
      <c r="BP272" t="s">
        <v>74</v>
      </c>
      <c r="BQ272" t="s">
        <v>74</v>
      </c>
      <c r="BR272" t="s">
        <v>106</v>
      </c>
      <c r="BS272" t="s">
        <v>5716</v>
      </c>
      <c r="BT272" t="str">
        <f>HYPERLINK("https%3A%2F%2Fwww.webofscience.com%2Fwos%2Fwoscc%2Ffull-record%2FWOS:000747699100001","View Full Record in Web of Science")</f>
        <v>View Full Record in Web of Science</v>
      </c>
    </row>
    <row r="273" spans="1:72" x14ac:dyDescent="0.15">
      <c r="A273" t="s">
        <v>72</v>
      </c>
      <c r="B273" t="s">
        <v>5717</v>
      </c>
      <c r="C273" t="s">
        <v>74</v>
      </c>
      <c r="D273" t="s">
        <v>74</v>
      </c>
      <c r="E273" t="s">
        <v>74</v>
      </c>
      <c r="F273" t="s">
        <v>5718</v>
      </c>
      <c r="G273" t="s">
        <v>74</v>
      </c>
      <c r="H273" t="s">
        <v>74</v>
      </c>
      <c r="I273" t="s">
        <v>5719</v>
      </c>
      <c r="J273" t="s">
        <v>5720</v>
      </c>
      <c r="K273" t="s">
        <v>74</v>
      </c>
      <c r="L273" t="s">
        <v>74</v>
      </c>
      <c r="M273" t="s">
        <v>78</v>
      </c>
      <c r="N273" t="s">
        <v>79</v>
      </c>
      <c r="O273" t="s">
        <v>74</v>
      </c>
      <c r="P273" t="s">
        <v>74</v>
      </c>
      <c r="Q273" t="s">
        <v>74</v>
      </c>
      <c r="R273" t="s">
        <v>74</v>
      </c>
      <c r="S273" t="s">
        <v>74</v>
      </c>
      <c r="T273" t="s">
        <v>5721</v>
      </c>
      <c r="U273" t="s">
        <v>5722</v>
      </c>
      <c r="V273" t="s">
        <v>5723</v>
      </c>
      <c r="W273" t="s">
        <v>5724</v>
      </c>
      <c r="X273" t="s">
        <v>5725</v>
      </c>
      <c r="Y273" t="s">
        <v>5726</v>
      </c>
      <c r="Z273" t="s">
        <v>5727</v>
      </c>
      <c r="AA273" t="s">
        <v>74</v>
      </c>
      <c r="AB273" t="s">
        <v>74</v>
      </c>
      <c r="AC273" t="s">
        <v>5728</v>
      </c>
      <c r="AD273" t="s">
        <v>5729</v>
      </c>
      <c r="AE273" t="s">
        <v>5730</v>
      </c>
      <c r="AF273" t="s">
        <v>74</v>
      </c>
      <c r="AG273">
        <v>51</v>
      </c>
      <c r="AH273">
        <v>2</v>
      </c>
      <c r="AI273">
        <v>2</v>
      </c>
      <c r="AJ273">
        <v>0</v>
      </c>
      <c r="AK273">
        <v>1</v>
      </c>
      <c r="AL273" t="s">
        <v>4587</v>
      </c>
      <c r="AM273" t="s">
        <v>4588</v>
      </c>
      <c r="AN273" t="s">
        <v>4589</v>
      </c>
      <c r="AO273" t="s">
        <v>5731</v>
      </c>
      <c r="AP273" t="s">
        <v>5732</v>
      </c>
      <c r="AQ273" t="s">
        <v>74</v>
      </c>
      <c r="AR273" t="s">
        <v>5733</v>
      </c>
      <c r="AS273" t="s">
        <v>5734</v>
      </c>
      <c r="AT273" t="s">
        <v>74</v>
      </c>
      <c r="AU273">
        <v>2022</v>
      </c>
      <c r="AV273">
        <v>146</v>
      </c>
      <c r="AW273">
        <v>2</v>
      </c>
      <c r="AX273" t="s">
        <v>74</v>
      </c>
      <c r="AY273" t="s">
        <v>74</v>
      </c>
      <c r="AZ273" t="s">
        <v>74</v>
      </c>
      <c r="BA273" t="s">
        <v>74</v>
      </c>
      <c r="BB273">
        <v>207</v>
      </c>
      <c r="BC273">
        <v>227</v>
      </c>
      <c r="BD273" t="s">
        <v>74</v>
      </c>
      <c r="BE273" t="s">
        <v>5735</v>
      </c>
      <c r="BF273" t="str">
        <f>HYPERLINK("http://dx.doi.org/10.1080/03721426.2021.2018759","http://dx.doi.org/10.1080/03721426.2021.2018759")</f>
        <v>http://dx.doi.org/10.1080/03721426.2021.2018759</v>
      </c>
      <c r="BG273" t="s">
        <v>74</v>
      </c>
      <c r="BH273" t="s">
        <v>4536</v>
      </c>
      <c r="BI273">
        <v>21</v>
      </c>
      <c r="BJ273" t="s">
        <v>289</v>
      </c>
      <c r="BK273" t="s">
        <v>103</v>
      </c>
      <c r="BL273" t="s">
        <v>290</v>
      </c>
      <c r="BM273" t="s">
        <v>5736</v>
      </c>
      <c r="BN273" t="s">
        <v>74</v>
      </c>
      <c r="BO273" t="s">
        <v>74</v>
      </c>
      <c r="BP273" t="s">
        <v>74</v>
      </c>
      <c r="BQ273" t="s">
        <v>74</v>
      </c>
      <c r="BR273" t="s">
        <v>106</v>
      </c>
      <c r="BS273" t="s">
        <v>5737</v>
      </c>
      <c r="BT273" t="str">
        <f>HYPERLINK("https%3A%2F%2Fwww.webofscience.com%2Fwos%2Fwoscc%2Ffull-record%2FWOS:000744853900001","View Full Record in Web of Science")</f>
        <v>View Full Record in Web of Science</v>
      </c>
    </row>
    <row r="274" spans="1:72" x14ac:dyDescent="0.15">
      <c r="A274" t="s">
        <v>72</v>
      </c>
      <c r="B274" t="s">
        <v>5738</v>
      </c>
      <c r="C274" t="s">
        <v>74</v>
      </c>
      <c r="D274" t="s">
        <v>74</v>
      </c>
      <c r="E274" t="s">
        <v>74</v>
      </c>
      <c r="F274" t="s">
        <v>5739</v>
      </c>
      <c r="G274" t="s">
        <v>74</v>
      </c>
      <c r="H274" t="s">
        <v>74</v>
      </c>
      <c r="I274" t="s">
        <v>5740</v>
      </c>
      <c r="J274" t="s">
        <v>5741</v>
      </c>
      <c r="K274" t="s">
        <v>74</v>
      </c>
      <c r="L274" t="s">
        <v>74</v>
      </c>
      <c r="M274" t="s">
        <v>78</v>
      </c>
      <c r="N274" t="s">
        <v>79</v>
      </c>
      <c r="O274" t="s">
        <v>74</v>
      </c>
      <c r="P274" t="s">
        <v>74</v>
      </c>
      <c r="Q274" t="s">
        <v>74</v>
      </c>
      <c r="R274" t="s">
        <v>74</v>
      </c>
      <c r="S274" t="s">
        <v>74</v>
      </c>
      <c r="T274" t="s">
        <v>5742</v>
      </c>
      <c r="U274" t="s">
        <v>5743</v>
      </c>
      <c r="V274" t="s">
        <v>5744</v>
      </c>
      <c r="W274" t="s">
        <v>5745</v>
      </c>
      <c r="X274" t="s">
        <v>5746</v>
      </c>
      <c r="Y274" t="s">
        <v>5747</v>
      </c>
      <c r="Z274" t="s">
        <v>5748</v>
      </c>
      <c r="AA274" t="s">
        <v>5749</v>
      </c>
      <c r="AB274" t="s">
        <v>5750</v>
      </c>
      <c r="AC274" t="s">
        <v>5751</v>
      </c>
      <c r="AD274" t="s">
        <v>5752</v>
      </c>
      <c r="AE274" t="s">
        <v>5753</v>
      </c>
      <c r="AF274" t="s">
        <v>74</v>
      </c>
      <c r="AG274">
        <v>40</v>
      </c>
      <c r="AH274">
        <v>1</v>
      </c>
      <c r="AI274">
        <v>1</v>
      </c>
      <c r="AJ274">
        <v>3</v>
      </c>
      <c r="AK274">
        <v>9</v>
      </c>
      <c r="AL274" t="s">
        <v>310</v>
      </c>
      <c r="AM274" t="s">
        <v>311</v>
      </c>
      <c r="AN274" t="s">
        <v>312</v>
      </c>
      <c r="AO274" t="s">
        <v>5754</v>
      </c>
      <c r="AP274" t="s">
        <v>5755</v>
      </c>
      <c r="AQ274" t="s">
        <v>74</v>
      </c>
      <c r="AR274" t="s">
        <v>5756</v>
      </c>
      <c r="AS274" t="s">
        <v>5757</v>
      </c>
      <c r="AT274" t="s">
        <v>178</v>
      </c>
      <c r="AU274">
        <v>2022</v>
      </c>
      <c r="AV274">
        <v>249</v>
      </c>
      <c r="AW274" t="s">
        <v>74</v>
      </c>
      <c r="AX274" t="s">
        <v>74</v>
      </c>
      <c r="AY274" t="s">
        <v>74</v>
      </c>
      <c r="AZ274" t="s">
        <v>74</v>
      </c>
      <c r="BA274" t="s">
        <v>74</v>
      </c>
      <c r="BB274" t="s">
        <v>74</v>
      </c>
      <c r="BC274" t="s">
        <v>74</v>
      </c>
      <c r="BD274">
        <v>106230</v>
      </c>
      <c r="BE274" t="s">
        <v>5758</v>
      </c>
      <c r="BF274" t="str">
        <f>HYPERLINK("http://dx.doi.org/10.1016/j.fishres.2022.106230","http://dx.doi.org/10.1016/j.fishres.2022.106230")</f>
        <v>http://dx.doi.org/10.1016/j.fishres.2022.106230</v>
      </c>
      <c r="BG274" t="s">
        <v>74</v>
      </c>
      <c r="BH274" t="s">
        <v>4536</v>
      </c>
      <c r="BI274">
        <v>10</v>
      </c>
      <c r="BJ274" t="s">
        <v>485</v>
      </c>
      <c r="BK274" t="s">
        <v>1034</v>
      </c>
      <c r="BL274" t="s">
        <v>485</v>
      </c>
      <c r="BM274" t="s">
        <v>5759</v>
      </c>
      <c r="BN274" t="s">
        <v>74</v>
      </c>
      <c r="BO274" t="s">
        <v>948</v>
      </c>
      <c r="BP274" t="s">
        <v>74</v>
      </c>
      <c r="BQ274" t="s">
        <v>74</v>
      </c>
      <c r="BR274" t="s">
        <v>106</v>
      </c>
      <c r="BS274" t="s">
        <v>5760</v>
      </c>
      <c r="BT274" t="str">
        <f>HYPERLINK("https%3A%2F%2Fwww.webofscience.com%2Fwos%2Fwoscc%2Ffull-record%2FWOS:000781623200003","View Full Record in Web of Science")</f>
        <v>View Full Record in Web of Science</v>
      </c>
    </row>
    <row r="275" spans="1:72" x14ac:dyDescent="0.15">
      <c r="A275" t="s">
        <v>72</v>
      </c>
      <c r="B275" t="s">
        <v>5761</v>
      </c>
      <c r="C275" t="s">
        <v>74</v>
      </c>
      <c r="D275" t="s">
        <v>74</v>
      </c>
      <c r="E275" t="s">
        <v>74</v>
      </c>
      <c r="F275" t="s">
        <v>5762</v>
      </c>
      <c r="G275" t="s">
        <v>74</v>
      </c>
      <c r="H275" t="s">
        <v>74</v>
      </c>
      <c r="I275" t="s">
        <v>5763</v>
      </c>
      <c r="J275" t="s">
        <v>5764</v>
      </c>
      <c r="K275" t="s">
        <v>74</v>
      </c>
      <c r="L275" t="s">
        <v>74</v>
      </c>
      <c r="M275" t="s">
        <v>78</v>
      </c>
      <c r="N275" t="s">
        <v>1113</v>
      </c>
      <c r="O275" t="s">
        <v>74</v>
      </c>
      <c r="P275" t="s">
        <v>74</v>
      </c>
      <c r="Q275" t="s">
        <v>74</v>
      </c>
      <c r="R275" t="s">
        <v>74</v>
      </c>
      <c r="S275" t="s">
        <v>74</v>
      </c>
      <c r="T275" t="s">
        <v>5765</v>
      </c>
      <c r="U275" t="s">
        <v>5766</v>
      </c>
      <c r="V275" t="s">
        <v>5767</v>
      </c>
      <c r="W275" t="s">
        <v>5768</v>
      </c>
      <c r="X275" t="s">
        <v>5769</v>
      </c>
      <c r="Y275" t="s">
        <v>5770</v>
      </c>
      <c r="Z275" t="s">
        <v>5771</v>
      </c>
      <c r="AA275" t="s">
        <v>5772</v>
      </c>
      <c r="AB275" t="s">
        <v>5773</v>
      </c>
      <c r="AC275" t="s">
        <v>5774</v>
      </c>
      <c r="AD275" t="s">
        <v>5775</v>
      </c>
      <c r="AE275" t="s">
        <v>5776</v>
      </c>
      <c r="AF275" t="s">
        <v>74</v>
      </c>
      <c r="AG275">
        <v>148</v>
      </c>
      <c r="AH275">
        <v>8</v>
      </c>
      <c r="AI275">
        <v>9</v>
      </c>
      <c r="AJ275">
        <v>20</v>
      </c>
      <c r="AK275">
        <v>82</v>
      </c>
      <c r="AL275" t="s">
        <v>1603</v>
      </c>
      <c r="AM275" t="s">
        <v>93</v>
      </c>
      <c r="AN275" t="s">
        <v>1604</v>
      </c>
      <c r="AO275" t="s">
        <v>5777</v>
      </c>
      <c r="AP275" t="s">
        <v>5778</v>
      </c>
      <c r="AQ275" t="s">
        <v>74</v>
      </c>
      <c r="AR275" t="s">
        <v>5779</v>
      </c>
      <c r="AS275" t="s">
        <v>5780</v>
      </c>
      <c r="AT275" t="s">
        <v>5781</v>
      </c>
      <c r="AU275">
        <v>2022</v>
      </c>
      <c r="AV275">
        <v>98</v>
      </c>
      <c r="AW275">
        <v>1</v>
      </c>
      <c r="AX275" t="s">
        <v>74</v>
      </c>
      <c r="AY275" t="s">
        <v>74</v>
      </c>
      <c r="AZ275" t="s">
        <v>74</v>
      </c>
      <c r="BA275" t="s">
        <v>74</v>
      </c>
      <c r="BB275" t="s">
        <v>74</v>
      </c>
      <c r="BC275" t="s">
        <v>74</v>
      </c>
      <c r="BD275" t="s">
        <v>5782</v>
      </c>
      <c r="BE275" t="s">
        <v>5783</v>
      </c>
      <c r="BF275" t="str">
        <f>HYPERLINK("http://dx.doi.org/10.1093/femsec/fiab161","http://dx.doi.org/10.1093/femsec/fiab161")</f>
        <v>http://dx.doi.org/10.1093/femsec/fiab161</v>
      </c>
      <c r="BG275" t="s">
        <v>74</v>
      </c>
      <c r="BH275" t="s">
        <v>4536</v>
      </c>
      <c r="BI275">
        <v>17</v>
      </c>
      <c r="BJ275" t="s">
        <v>747</v>
      </c>
      <c r="BK275" t="s">
        <v>103</v>
      </c>
      <c r="BL275" t="s">
        <v>747</v>
      </c>
      <c r="BM275" t="s">
        <v>5784</v>
      </c>
      <c r="BN275">
        <v>34910139</v>
      </c>
      <c r="BO275" t="s">
        <v>640</v>
      </c>
      <c r="BP275" t="s">
        <v>74</v>
      </c>
      <c r="BQ275" t="s">
        <v>74</v>
      </c>
      <c r="BR275" t="s">
        <v>106</v>
      </c>
      <c r="BS275" t="s">
        <v>5785</v>
      </c>
      <c r="BT275" t="str">
        <f>HYPERLINK("https%3A%2F%2Fwww.webofscience.com%2Fwos%2Fwoscc%2Ffull-record%2FWOS:000761459500001","View Full Record in Web of Science")</f>
        <v>View Full Record in Web of Science</v>
      </c>
    </row>
    <row r="276" spans="1:72" x14ac:dyDescent="0.15">
      <c r="A276" t="s">
        <v>72</v>
      </c>
      <c r="B276" t="s">
        <v>5786</v>
      </c>
      <c r="C276" t="s">
        <v>74</v>
      </c>
      <c r="D276" t="s">
        <v>74</v>
      </c>
      <c r="E276" t="s">
        <v>74</v>
      </c>
      <c r="F276" t="s">
        <v>5787</v>
      </c>
      <c r="G276" t="s">
        <v>74</v>
      </c>
      <c r="H276" t="s">
        <v>74</v>
      </c>
      <c r="I276" t="s">
        <v>5788</v>
      </c>
      <c r="J276" t="s">
        <v>2532</v>
      </c>
      <c r="K276" t="s">
        <v>74</v>
      </c>
      <c r="L276" t="s">
        <v>74</v>
      </c>
      <c r="M276" t="s">
        <v>78</v>
      </c>
      <c r="N276" t="s">
        <v>79</v>
      </c>
      <c r="O276" t="s">
        <v>74</v>
      </c>
      <c r="P276" t="s">
        <v>74</v>
      </c>
      <c r="Q276" t="s">
        <v>74</v>
      </c>
      <c r="R276" t="s">
        <v>74</v>
      </c>
      <c r="S276" t="s">
        <v>74</v>
      </c>
      <c r="T276" t="s">
        <v>74</v>
      </c>
      <c r="U276" t="s">
        <v>5789</v>
      </c>
      <c r="V276" t="s">
        <v>5790</v>
      </c>
      <c r="W276" t="s">
        <v>5791</v>
      </c>
      <c r="X276" t="s">
        <v>5792</v>
      </c>
      <c r="Y276" t="s">
        <v>5793</v>
      </c>
      <c r="Z276" t="s">
        <v>5794</v>
      </c>
      <c r="AA276" t="s">
        <v>5795</v>
      </c>
      <c r="AB276" t="s">
        <v>5796</v>
      </c>
      <c r="AC276" t="s">
        <v>5797</v>
      </c>
      <c r="AD276" t="s">
        <v>5798</v>
      </c>
      <c r="AE276" t="s">
        <v>5799</v>
      </c>
      <c r="AF276" t="s">
        <v>74</v>
      </c>
      <c r="AG276">
        <v>65</v>
      </c>
      <c r="AH276">
        <v>1</v>
      </c>
      <c r="AI276">
        <v>2</v>
      </c>
      <c r="AJ276">
        <v>0</v>
      </c>
      <c r="AK276">
        <v>9</v>
      </c>
      <c r="AL276" t="s">
        <v>337</v>
      </c>
      <c r="AM276" t="s">
        <v>338</v>
      </c>
      <c r="AN276" t="s">
        <v>339</v>
      </c>
      <c r="AO276" t="s">
        <v>2543</v>
      </c>
      <c r="AP276" t="s">
        <v>74</v>
      </c>
      <c r="AQ276" t="s">
        <v>74</v>
      </c>
      <c r="AR276" t="s">
        <v>2544</v>
      </c>
      <c r="AS276" t="s">
        <v>2545</v>
      </c>
      <c r="AT276" t="s">
        <v>5800</v>
      </c>
      <c r="AU276">
        <v>2022</v>
      </c>
      <c r="AV276">
        <v>12</v>
      </c>
      <c r="AW276">
        <v>1</v>
      </c>
      <c r="AX276" t="s">
        <v>74</v>
      </c>
      <c r="AY276" t="s">
        <v>74</v>
      </c>
      <c r="AZ276" t="s">
        <v>74</v>
      </c>
      <c r="BA276" t="s">
        <v>74</v>
      </c>
      <c r="BB276" t="s">
        <v>74</v>
      </c>
      <c r="BC276" t="s">
        <v>74</v>
      </c>
      <c r="BD276">
        <v>1080</v>
      </c>
      <c r="BE276" t="s">
        <v>5801</v>
      </c>
      <c r="BF276" t="str">
        <f>HYPERLINK("http://dx.doi.org/10.1038/s41598-022-05116-y","http://dx.doi.org/10.1038/s41598-022-05116-y")</f>
        <v>http://dx.doi.org/10.1038/s41598-022-05116-y</v>
      </c>
      <c r="BG276" t="s">
        <v>74</v>
      </c>
      <c r="BH276" t="s">
        <v>74</v>
      </c>
      <c r="BI276">
        <v>10</v>
      </c>
      <c r="BJ276" t="s">
        <v>289</v>
      </c>
      <c r="BK276" t="s">
        <v>103</v>
      </c>
      <c r="BL276" t="s">
        <v>290</v>
      </c>
      <c r="BM276" t="s">
        <v>5802</v>
      </c>
      <c r="BN276">
        <v>35058560</v>
      </c>
      <c r="BO276" t="s">
        <v>2639</v>
      </c>
      <c r="BP276" t="s">
        <v>74</v>
      </c>
      <c r="BQ276" t="s">
        <v>74</v>
      </c>
      <c r="BR276" t="s">
        <v>106</v>
      </c>
      <c r="BS276" t="s">
        <v>5803</v>
      </c>
      <c r="BT276" t="str">
        <f>HYPERLINK("https%3A%2F%2Fwww.webofscience.com%2Fwos%2Fwoscc%2Ffull-record%2FWOS:000747772000023","View Full Record in Web of Science")</f>
        <v>View Full Record in Web of Science</v>
      </c>
    </row>
    <row r="277" spans="1:72" x14ac:dyDescent="0.15">
      <c r="A277" t="s">
        <v>72</v>
      </c>
      <c r="B277" t="s">
        <v>5804</v>
      </c>
      <c r="C277" t="s">
        <v>74</v>
      </c>
      <c r="D277" t="s">
        <v>74</v>
      </c>
      <c r="E277" t="s">
        <v>74</v>
      </c>
      <c r="F277" t="s">
        <v>5805</v>
      </c>
      <c r="G277" t="s">
        <v>74</v>
      </c>
      <c r="H277" t="s">
        <v>74</v>
      </c>
      <c r="I277" t="s">
        <v>5806</v>
      </c>
      <c r="J277" t="s">
        <v>5807</v>
      </c>
      <c r="K277" t="s">
        <v>74</v>
      </c>
      <c r="L277" t="s">
        <v>74</v>
      </c>
      <c r="M277" t="s">
        <v>78</v>
      </c>
      <c r="N277" t="s">
        <v>79</v>
      </c>
      <c r="O277" t="s">
        <v>74</v>
      </c>
      <c r="P277" t="s">
        <v>74</v>
      </c>
      <c r="Q277" t="s">
        <v>74</v>
      </c>
      <c r="R277" t="s">
        <v>74</v>
      </c>
      <c r="S277" t="s">
        <v>74</v>
      </c>
      <c r="T277" t="s">
        <v>5808</v>
      </c>
      <c r="U277" t="s">
        <v>5809</v>
      </c>
      <c r="V277" t="s">
        <v>5810</v>
      </c>
      <c r="W277" t="s">
        <v>5811</v>
      </c>
      <c r="X277" t="s">
        <v>5812</v>
      </c>
      <c r="Y277" t="s">
        <v>5813</v>
      </c>
      <c r="Z277" t="s">
        <v>5814</v>
      </c>
      <c r="AA277" t="s">
        <v>5815</v>
      </c>
      <c r="AB277" t="s">
        <v>5816</v>
      </c>
      <c r="AC277" t="s">
        <v>5817</v>
      </c>
      <c r="AD277" t="s">
        <v>5818</v>
      </c>
      <c r="AE277" t="s">
        <v>5819</v>
      </c>
      <c r="AF277" t="s">
        <v>74</v>
      </c>
      <c r="AG277">
        <v>70</v>
      </c>
      <c r="AH277">
        <v>3</v>
      </c>
      <c r="AI277">
        <v>3</v>
      </c>
      <c r="AJ277">
        <v>7</v>
      </c>
      <c r="AK277">
        <v>33</v>
      </c>
      <c r="AL277" t="s">
        <v>5820</v>
      </c>
      <c r="AM277" t="s">
        <v>5821</v>
      </c>
      <c r="AN277" t="s">
        <v>5822</v>
      </c>
      <c r="AO277" t="s">
        <v>5823</v>
      </c>
      <c r="AP277" t="s">
        <v>5824</v>
      </c>
      <c r="AQ277" t="s">
        <v>74</v>
      </c>
      <c r="AR277" t="s">
        <v>5825</v>
      </c>
      <c r="AS277" t="s">
        <v>5826</v>
      </c>
      <c r="AT277" t="s">
        <v>5800</v>
      </c>
      <c r="AU277">
        <v>2022</v>
      </c>
      <c r="AV277">
        <v>682</v>
      </c>
      <c r="AW277" t="s">
        <v>74</v>
      </c>
      <c r="AX277" t="s">
        <v>74</v>
      </c>
      <c r="AY277" t="s">
        <v>74</v>
      </c>
      <c r="AZ277" t="s">
        <v>74</v>
      </c>
      <c r="BA277" t="s">
        <v>74</v>
      </c>
      <c r="BB277">
        <v>51</v>
      </c>
      <c r="BC277">
        <v>64</v>
      </c>
      <c r="BD277" t="s">
        <v>74</v>
      </c>
      <c r="BE277" t="s">
        <v>5827</v>
      </c>
      <c r="BF277" t="str">
        <f>HYPERLINK("http://dx.doi.org/10.3354/meps13923","http://dx.doi.org/10.3354/meps13923")</f>
        <v>http://dx.doi.org/10.3354/meps13923</v>
      </c>
      <c r="BG277" t="s">
        <v>74</v>
      </c>
      <c r="BH277" t="s">
        <v>74</v>
      </c>
      <c r="BI277">
        <v>14</v>
      </c>
      <c r="BJ277" t="s">
        <v>5828</v>
      </c>
      <c r="BK277" t="s">
        <v>103</v>
      </c>
      <c r="BL277" t="s">
        <v>5829</v>
      </c>
      <c r="BM277" t="s">
        <v>5830</v>
      </c>
      <c r="BN277" t="s">
        <v>74</v>
      </c>
      <c r="BO277" t="s">
        <v>640</v>
      </c>
      <c r="BP277" t="s">
        <v>74</v>
      </c>
      <c r="BQ277" t="s">
        <v>74</v>
      </c>
      <c r="BR277" t="s">
        <v>106</v>
      </c>
      <c r="BS277" t="s">
        <v>5831</v>
      </c>
      <c r="BT277" t="str">
        <f>HYPERLINK("https%3A%2F%2Fwww.webofscience.com%2Fwos%2Fwoscc%2Ffull-record%2FWOS:000751738300004","View Full Record in Web of Science")</f>
        <v>View Full Record in Web of Science</v>
      </c>
    </row>
    <row r="278" spans="1:72" x14ac:dyDescent="0.15">
      <c r="A278" t="s">
        <v>72</v>
      </c>
      <c r="B278" t="s">
        <v>5832</v>
      </c>
      <c r="C278" t="s">
        <v>74</v>
      </c>
      <c r="D278" t="s">
        <v>74</v>
      </c>
      <c r="E278" t="s">
        <v>74</v>
      </c>
      <c r="F278" t="s">
        <v>5833</v>
      </c>
      <c r="G278" t="s">
        <v>74</v>
      </c>
      <c r="H278" t="s">
        <v>74</v>
      </c>
      <c r="I278" t="s">
        <v>5834</v>
      </c>
      <c r="J278" t="s">
        <v>351</v>
      </c>
      <c r="K278" t="s">
        <v>74</v>
      </c>
      <c r="L278" t="s">
        <v>74</v>
      </c>
      <c r="M278" t="s">
        <v>78</v>
      </c>
      <c r="N278" t="s">
        <v>79</v>
      </c>
      <c r="O278" t="s">
        <v>74</v>
      </c>
      <c r="P278" t="s">
        <v>74</v>
      </c>
      <c r="Q278" t="s">
        <v>74</v>
      </c>
      <c r="R278" t="s">
        <v>74</v>
      </c>
      <c r="S278" t="s">
        <v>74</v>
      </c>
      <c r="T278" t="s">
        <v>5835</v>
      </c>
      <c r="U278" t="s">
        <v>5836</v>
      </c>
      <c r="V278" t="s">
        <v>5837</v>
      </c>
      <c r="W278" t="s">
        <v>5838</v>
      </c>
      <c r="X278" t="s">
        <v>5839</v>
      </c>
      <c r="Y278" t="s">
        <v>5840</v>
      </c>
      <c r="Z278" t="s">
        <v>5841</v>
      </c>
      <c r="AA278" t="s">
        <v>5842</v>
      </c>
      <c r="AB278" t="s">
        <v>5843</v>
      </c>
      <c r="AC278" t="s">
        <v>5844</v>
      </c>
      <c r="AD278" t="s">
        <v>5845</v>
      </c>
      <c r="AE278" t="s">
        <v>5846</v>
      </c>
      <c r="AF278" t="s">
        <v>74</v>
      </c>
      <c r="AG278">
        <v>74</v>
      </c>
      <c r="AH278">
        <v>18</v>
      </c>
      <c r="AI278">
        <v>18</v>
      </c>
      <c r="AJ278">
        <v>11</v>
      </c>
      <c r="AK278">
        <v>51</v>
      </c>
      <c r="AL278" t="s">
        <v>363</v>
      </c>
      <c r="AM278" t="s">
        <v>364</v>
      </c>
      <c r="AN278" t="s">
        <v>365</v>
      </c>
      <c r="AO278" t="s">
        <v>74</v>
      </c>
      <c r="AP278" t="s">
        <v>366</v>
      </c>
      <c r="AQ278" t="s">
        <v>74</v>
      </c>
      <c r="AR278" t="s">
        <v>367</v>
      </c>
      <c r="AS278" t="s">
        <v>368</v>
      </c>
      <c r="AT278" t="s">
        <v>5800</v>
      </c>
      <c r="AU278">
        <v>2022</v>
      </c>
      <c r="AV278">
        <v>8</v>
      </c>
      <c r="AW278" t="s">
        <v>74</v>
      </c>
      <c r="AX278" t="s">
        <v>74</v>
      </c>
      <c r="AY278" t="s">
        <v>74</v>
      </c>
      <c r="AZ278" t="s">
        <v>74</v>
      </c>
      <c r="BA278" t="s">
        <v>74</v>
      </c>
      <c r="BB278" t="s">
        <v>74</v>
      </c>
      <c r="BC278" t="s">
        <v>74</v>
      </c>
      <c r="BD278">
        <v>709595</v>
      </c>
      <c r="BE278" t="s">
        <v>5847</v>
      </c>
      <c r="BF278" t="str">
        <f>HYPERLINK("http://dx.doi.org/10.3389/fmars.2021.709595","http://dx.doi.org/10.3389/fmars.2021.709595")</f>
        <v>http://dx.doi.org/10.3389/fmars.2021.709595</v>
      </c>
      <c r="BG278" t="s">
        <v>74</v>
      </c>
      <c r="BH278" t="s">
        <v>74</v>
      </c>
      <c r="BI278">
        <v>8</v>
      </c>
      <c r="BJ278" t="s">
        <v>102</v>
      </c>
      <c r="BK278" t="s">
        <v>103</v>
      </c>
      <c r="BL278" t="s">
        <v>104</v>
      </c>
      <c r="BM278" t="s">
        <v>5848</v>
      </c>
      <c r="BN278" t="s">
        <v>74</v>
      </c>
      <c r="BO278" t="s">
        <v>5849</v>
      </c>
      <c r="BP278" t="s">
        <v>74</v>
      </c>
      <c r="BQ278" t="s">
        <v>74</v>
      </c>
      <c r="BR278" t="s">
        <v>106</v>
      </c>
      <c r="BS278" t="s">
        <v>5850</v>
      </c>
      <c r="BT278" t="str">
        <f>HYPERLINK("https%3A%2F%2Fwww.webofscience.com%2Fwos%2Fwoscc%2Ffull-record%2FWOS:000750609700001","View Full Record in Web of Science")</f>
        <v>View Full Record in Web of Science</v>
      </c>
    </row>
    <row r="279" spans="1:72" x14ac:dyDescent="0.15">
      <c r="A279" t="s">
        <v>72</v>
      </c>
      <c r="B279" t="s">
        <v>5851</v>
      </c>
      <c r="C279" t="s">
        <v>74</v>
      </c>
      <c r="D279" t="s">
        <v>74</v>
      </c>
      <c r="E279" t="s">
        <v>74</v>
      </c>
      <c r="F279" t="s">
        <v>5852</v>
      </c>
      <c r="G279" t="s">
        <v>74</v>
      </c>
      <c r="H279" t="s">
        <v>74</v>
      </c>
      <c r="I279" t="s">
        <v>5853</v>
      </c>
      <c r="J279" t="s">
        <v>5854</v>
      </c>
      <c r="K279" t="s">
        <v>74</v>
      </c>
      <c r="L279" t="s">
        <v>74</v>
      </c>
      <c r="M279" t="s">
        <v>78</v>
      </c>
      <c r="N279" t="s">
        <v>79</v>
      </c>
      <c r="O279" t="s">
        <v>74</v>
      </c>
      <c r="P279" t="s">
        <v>74</v>
      </c>
      <c r="Q279" t="s">
        <v>74</v>
      </c>
      <c r="R279" t="s">
        <v>74</v>
      </c>
      <c r="S279" t="s">
        <v>74</v>
      </c>
      <c r="T279" t="s">
        <v>74</v>
      </c>
      <c r="U279" t="s">
        <v>5855</v>
      </c>
      <c r="V279" t="s">
        <v>5856</v>
      </c>
      <c r="W279" t="s">
        <v>5857</v>
      </c>
      <c r="X279" t="s">
        <v>5858</v>
      </c>
      <c r="Y279" t="s">
        <v>5859</v>
      </c>
      <c r="Z279" t="s">
        <v>5860</v>
      </c>
      <c r="AA279" t="s">
        <v>74</v>
      </c>
      <c r="AB279" t="s">
        <v>5861</v>
      </c>
      <c r="AC279" t="s">
        <v>5862</v>
      </c>
      <c r="AD279" t="s">
        <v>5863</v>
      </c>
      <c r="AE279" t="s">
        <v>5864</v>
      </c>
      <c r="AF279" t="s">
        <v>74</v>
      </c>
      <c r="AG279">
        <v>102</v>
      </c>
      <c r="AH279">
        <v>49</v>
      </c>
      <c r="AI279">
        <v>49</v>
      </c>
      <c r="AJ279">
        <v>12</v>
      </c>
      <c r="AK279">
        <v>59</v>
      </c>
      <c r="AL279" t="s">
        <v>337</v>
      </c>
      <c r="AM279" t="s">
        <v>338</v>
      </c>
      <c r="AN279" t="s">
        <v>339</v>
      </c>
      <c r="AO279" t="s">
        <v>5865</v>
      </c>
      <c r="AP279" t="s">
        <v>5866</v>
      </c>
      <c r="AQ279" t="s">
        <v>74</v>
      </c>
      <c r="AR279" t="s">
        <v>5854</v>
      </c>
      <c r="AS279" t="s">
        <v>5867</v>
      </c>
      <c r="AT279" t="s">
        <v>5800</v>
      </c>
      <c r="AU279">
        <v>2022</v>
      </c>
      <c r="AV279">
        <v>601</v>
      </c>
      <c r="AW279">
        <v>7893</v>
      </c>
      <c r="AX279" t="s">
        <v>74</v>
      </c>
      <c r="AY279" t="s">
        <v>74</v>
      </c>
      <c r="AZ279" t="s">
        <v>74</v>
      </c>
      <c r="BA279" t="s">
        <v>74</v>
      </c>
      <c r="BB279">
        <v>374</v>
      </c>
      <c r="BC279" t="s">
        <v>5868</v>
      </c>
      <c r="BD279" t="s">
        <v>74</v>
      </c>
      <c r="BE279" t="s">
        <v>5869</v>
      </c>
      <c r="BF279" t="str">
        <f>HYPERLINK("http://dx.doi.org/10.1038/s41586-021-04314-4","http://dx.doi.org/10.1038/s41586-021-04314-4")</f>
        <v>http://dx.doi.org/10.1038/s41586-021-04314-4</v>
      </c>
      <c r="BG279" t="s">
        <v>74</v>
      </c>
      <c r="BH279" t="s">
        <v>74</v>
      </c>
      <c r="BI279">
        <v>22</v>
      </c>
      <c r="BJ279" t="s">
        <v>289</v>
      </c>
      <c r="BK279" t="s">
        <v>103</v>
      </c>
      <c r="BL279" t="s">
        <v>290</v>
      </c>
      <c r="BM279" t="s">
        <v>5870</v>
      </c>
      <c r="BN279">
        <v>35046605</v>
      </c>
      <c r="BO279" t="s">
        <v>3307</v>
      </c>
      <c r="BP279" t="s">
        <v>1286</v>
      </c>
      <c r="BQ279" t="s">
        <v>1287</v>
      </c>
      <c r="BR279" t="s">
        <v>106</v>
      </c>
      <c r="BS279" t="s">
        <v>5871</v>
      </c>
      <c r="BT279" t="str">
        <f>HYPERLINK("https%3A%2F%2Fwww.webofscience.com%2Fwos%2Fwoscc%2Ffull-record%2FWOS:000744666700029","View Full Record in Web of Science")</f>
        <v>View Full Record in Web of Science</v>
      </c>
    </row>
    <row r="280" spans="1:72" x14ac:dyDescent="0.15">
      <c r="A280" t="s">
        <v>72</v>
      </c>
      <c r="B280" t="s">
        <v>5872</v>
      </c>
      <c r="C280" t="s">
        <v>74</v>
      </c>
      <c r="D280" t="s">
        <v>74</v>
      </c>
      <c r="E280" t="s">
        <v>74</v>
      </c>
      <c r="F280" t="s">
        <v>5873</v>
      </c>
      <c r="G280" t="s">
        <v>74</v>
      </c>
      <c r="H280" t="s">
        <v>74</v>
      </c>
      <c r="I280" t="s">
        <v>5874</v>
      </c>
      <c r="J280" t="s">
        <v>1063</v>
      </c>
      <c r="K280" t="s">
        <v>74</v>
      </c>
      <c r="L280" t="s">
        <v>74</v>
      </c>
      <c r="M280" t="s">
        <v>78</v>
      </c>
      <c r="N280" t="s">
        <v>79</v>
      </c>
      <c r="O280" t="s">
        <v>74</v>
      </c>
      <c r="P280" t="s">
        <v>74</v>
      </c>
      <c r="Q280" t="s">
        <v>74</v>
      </c>
      <c r="R280" t="s">
        <v>74</v>
      </c>
      <c r="S280" t="s">
        <v>74</v>
      </c>
      <c r="T280" t="s">
        <v>5875</v>
      </c>
      <c r="U280" t="s">
        <v>5876</v>
      </c>
      <c r="V280" t="s">
        <v>5877</v>
      </c>
      <c r="W280" t="s">
        <v>5878</v>
      </c>
      <c r="X280" t="s">
        <v>5879</v>
      </c>
      <c r="Y280" t="s">
        <v>5880</v>
      </c>
      <c r="Z280" t="s">
        <v>5881</v>
      </c>
      <c r="AA280" t="s">
        <v>5882</v>
      </c>
      <c r="AB280" t="s">
        <v>5883</v>
      </c>
      <c r="AC280" t="s">
        <v>5884</v>
      </c>
      <c r="AD280" t="s">
        <v>5885</v>
      </c>
      <c r="AE280" t="s">
        <v>5886</v>
      </c>
      <c r="AF280" t="s">
        <v>74</v>
      </c>
      <c r="AG280">
        <v>84</v>
      </c>
      <c r="AH280">
        <v>2</v>
      </c>
      <c r="AI280">
        <v>2</v>
      </c>
      <c r="AJ280">
        <v>2</v>
      </c>
      <c r="AK280">
        <v>22</v>
      </c>
      <c r="AL280" t="s">
        <v>1074</v>
      </c>
      <c r="AM280" t="s">
        <v>506</v>
      </c>
      <c r="AN280" t="s">
        <v>1075</v>
      </c>
      <c r="AO280" t="s">
        <v>1076</v>
      </c>
      <c r="AP280" t="s">
        <v>1077</v>
      </c>
      <c r="AQ280" t="s">
        <v>74</v>
      </c>
      <c r="AR280" t="s">
        <v>1078</v>
      </c>
      <c r="AS280" t="s">
        <v>1079</v>
      </c>
      <c r="AT280" t="s">
        <v>840</v>
      </c>
      <c r="AU280">
        <v>2022</v>
      </c>
      <c r="AV280">
        <v>45</v>
      </c>
      <c r="AW280">
        <v>2</v>
      </c>
      <c r="AX280" t="s">
        <v>74</v>
      </c>
      <c r="AY280" t="s">
        <v>74</v>
      </c>
      <c r="AZ280" t="s">
        <v>74</v>
      </c>
      <c r="BA280" t="s">
        <v>74</v>
      </c>
      <c r="BB280">
        <v>259</v>
      </c>
      <c r="BC280">
        <v>273</v>
      </c>
      <c r="BD280" t="s">
        <v>74</v>
      </c>
      <c r="BE280" t="s">
        <v>5887</v>
      </c>
      <c r="BF280" t="str">
        <f>HYPERLINK("http://dx.doi.org/10.1007/s00300-021-02980-8","http://dx.doi.org/10.1007/s00300-021-02980-8")</f>
        <v>http://dx.doi.org/10.1007/s00300-021-02980-8</v>
      </c>
      <c r="BG280" t="s">
        <v>74</v>
      </c>
      <c r="BH280" t="s">
        <v>4536</v>
      </c>
      <c r="BI280">
        <v>15</v>
      </c>
      <c r="BJ280" t="s">
        <v>1081</v>
      </c>
      <c r="BK280" t="s">
        <v>103</v>
      </c>
      <c r="BL280" t="s">
        <v>1082</v>
      </c>
      <c r="BM280" t="s">
        <v>4821</v>
      </c>
      <c r="BN280" t="s">
        <v>74</v>
      </c>
      <c r="BO280" t="s">
        <v>74</v>
      </c>
      <c r="BP280" t="s">
        <v>74</v>
      </c>
      <c r="BQ280" t="s">
        <v>74</v>
      </c>
      <c r="BR280" t="s">
        <v>106</v>
      </c>
      <c r="BS280" t="s">
        <v>5888</v>
      </c>
      <c r="BT280" t="str">
        <f>HYPERLINK("https%3A%2F%2Fwww.webofscience.com%2Fwos%2Fwoscc%2Ffull-record%2FWOS:000744400900002","View Full Record in Web of Science")</f>
        <v>View Full Record in Web of Science</v>
      </c>
    </row>
    <row r="281" spans="1:72" x14ac:dyDescent="0.15">
      <c r="A281" t="s">
        <v>72</v>
      </c>
      <c r="B281" t="s">
        <v>5889</v>
      </c>
      <c r="C281" t="s">
        <v>74</v>
      </c>
      <c r="D281" t="s">
        <v>74</v>
      </c>
      <c r="E281" t="s">
        <v>74</v>
      </c>
      <c r="F281" t="s">
        <v>5890</v>
      </c>
      <c r="G281" t="s">
        <v>74</v>
      </c>
      <c r="H281" t="s">
        <v>74</v>
      </c>
      <c r="I281" t="s">
        <v>5891</v>
      </c>
      <c r="J281" t="s">
        <v>5892</v>
      </c>
      <c r="K281" t="s">
        <v>74</v>
      </c>
      <c r="L281" t="s">
        <v>74</v>
      </c>
      <c r="M281" t="s">
        <v>78</v>
      </c>
      <c r="N281" t="s">
        <v>79</v>
      </c>
      <c r="O281" t="s">
        <v>74</v>
      </c>
      <c r="P281" t="s">
        <v>74</v>
      </c>
      <c r="Q281" t="s">
        <v>74</v>
      </c>
      <c r="R281" t="s">
        <v>74</v>
      </c>
      <c r="S281" t="s">
        <v>74</v>
      </c>
      <c r="T281" t="s">
        <v>5893</v>
      </c>
      <c r="U281" t="s">
        <v>5894</v>
      </c>
      <c r="V281" t="s">
        <v>5895</v>
      </c>
      <c r="W281" t="s">
        <v>5896</v>
      </c>
      <c r="X281" t="s">
        <v>5897</v>
      </c>
      <c r="Y281" t="s">
        <v>5898</v>
      </c>
      <c r="Z281" t="s">
        <v>5899</v>
      </c>
      <c r="AA281" t="s">
        <v>5900</v>
      </c>
      <c r="AB281" t="s">
        <v>5901</v>
      </c>
      <c r="AC281" t="s">
        <v>5902</v>
      </c>
      <c r="AD281" t="s">
        <v>5903</v>
      </c>
      <c r="AE281" t="s">
        <v>5904</v>
      </c>
      <c r="AF281" t="s">
        <v>74</v>
      </c>
      <c r="AG281">
        <v>65</v>
      </c>
      <c r="AH281">
        <v>3</v>
      </c>
      <c r="AI281">
        <v>3</v>
      </c>
      <c r="AJ281">
        <v>3</v>
      </c>
      <c r="AK281">
        <v>69</v>
      </c>
      <c r="AL281" t="s">
        <v>1074</v>
      </c>
      <c r="AM281" t="s">
        <v>1098</v>
      </c>
      <c r="AN281" t="s">
        <v>1099</v>
      </c>
      <c r="AO281" t="s">
        <v>5905</v>
      </c>
      <c r="AP281" t="s">
        <v>5906</v>
      </c>
      <c r="AQ281" t="s">
        <v>74</v>
      </c>
      <c r="AR281" t="s">
        <v>5907</v>
      </c>
      <c r="AS281" t="s">
        <v>5908</v>
      </c>
      <c r="AT281" t="s">
        <v>840</v>
      </c>
      <c r="AU281">
        <v>2022</v>
      </c>
      <c r="AV281">
        <v>31</v>
      </c>
      <c r="AW281">
        <v>2</v>
      </c>
      <c r="AX281" t="s">
        <v>74</v>
      </c>
      <c r="AY281" t="s">
        <v>74</v>
      </c>
      <c r="AZ281" t="s">
        <v>74</v>
      </c>
      <c r="BA281" t="s">
        <v>74</v>
      </c>
      <c r="BB281">
        <v>613</v>
      </c>
      <c r="BC281">
        <v>627</v>
      </c>
      <c r="BD281" t="s">
        <v>74</v>
      </c>
      <c r="BE281" t="s">
        <v>5909</v>
      </c>
      <c r="BF281" t="str">
        <f>HYPERLINK("http://dx.doi.org/10.1007/s10531-022-02353-5","http://dx.doi.org/10.1007/s10531-022-02353-5")</f>
        <v>http://dx.doi.org/10.1007/s10531-022-02353-5</v>
      </c>
      <c r="BG281" t="s">
        <v>74</v>
      </c>
      <c r="BH281" t="s">
        <v>4536</v>
      </c>
      <c r="BI281">
        <v>15</v>
      </c>
      <c r="BJ281" t="s">
        <v>1283</v>
      </c>
      <c r="BK281" t="s">
        <v>103</v>
      </c>
      <c r="BL281" t="s">
        <v>1082</v>
      </c>
      <c r="BM281" t="s">
        <v>5910</v>
      </c>
      <c r="BN281">
        <v>35529023</v>
      </c>
      <c r="BO281" t="s">
        <v>1336</v>
      </c>
      <c r="BP281" t="s">
        <v>74</v>
      </c>
      <c r="BQ281" t="s">
        <v>74</v>
      </c>
      <c r="BR281" t="s">
        <v>106</v>
      </c>
      <c r="BS281" t="s">
        <v>5911</v>
      </c>
      <c r="BT281" t="str">
        <f>HYPERLINK("https%3A%2F%2Fwww.webofscience.com%2Fwos%2Fwoscc%2Ffull-record%2FWOS:000744794900002","View Full Record in Web of Science")</f>
        <v>View Full Record in Web of Science</v>
      </c>
    </row>
    <row r="282" spans="1:72" x14ac:dyDescent="0.15">
      <c r="A282" t="s">
        <v>72</v>
      </c>
      <c r="B282" t="s">
        <v>5912</v>
      </c>
      <c r="C282" t="s">
        <v>74</v>
      </c>
      <c r="D282" t="s">
        <v>74</v>
      </c>
      <c r="E282" t="s">
        <v>74</v>
      </c>
      <c r="F282" t="s">
        <v>5913</v>
      </c>
      <c r="G282" t="s">
        <v>74</v>
      </c>
      <c r="H282" t="s">
        <v>74</v>
      </c>
      <c r="I282" t="s">
        <v>5914</v>
      </c>
      <c r="J282" t="s">
        <v>1137</v>
      </c>
      <c r="K282" t="s">
        <v>74</v>
      </c>
      <c r="L282" t="s">
        <v>74</v>
      </c>
      <c r="M282" t="s">
        <v>78</v>
      </c>
      <c r="N282" t="s">
        <v>79</v>
      </c>
      <c r="O282" t="s">
        <v>74</v>
      </c>
      <c r="P282" t="s">
        <v>74</v>
      </c>
      <c r="Q282" t="s">
        <v>74</v>
      </c>
      <c r="R282" t="s">
        <v>74</v>
      </c>
      <c r="S282" t="s">
        <v>74</v>
      </c>
      <c r="T282" t="s">
        <v>5915</v>
      </c>
      <c r="U282" t="s">
        <v>5916</v>
      </c>
      <c r="V282" t="s">
        <v>5917</v>
      </c>
      <c r="W282" t="s">
        <v>5918</v>
      </c>
      <c r="X282" t="s">
        <v>5919</v>
      </c>
      <c r="Y282" t="s">
        <v>5920</v>
      </c>
      <c r="Z282" t="s">
        <v>5921</v>
      </c>
      <c r="AA282" t="s">
        <v>74</v>
      </c>
      <c r="AB282" t="s">
        <v>5922</v>
      </c>
      <c r="AC282" t="s">
        <v>5923</v>
      </c>
      <c r="AD282" t="s">
        <v>5924</v>
      </c>
      <c r="AE282" t="s">
        <v>5925</v>
      </c>
      <c r="AF282" t="s">
        <v>74</v>
      </c>
      <c r="AG282">
        <v>79</v>
      </c>
      <c r="AH282">
        <v>4</v>
      </c>
      <c r="AI282">
        <v>5</v>
      </c>
      <c r="AJ282">
        <v>5</v>
      </c>
      <c r="AK282">
        <v>15</v>
      </c>
      <c r="AL282" t="s">
        <v>92</v>
      </c>
      <c r="AM282" t="s">
        <v>93</v>
      </c>
      <c r="AN282" t="s">
        <v>94</v>
      </c>
      <c r="AO282" t="s">
        <v>1149</v>
      </c>
      <c r="AP282" t="s">
        <v>1150</v>
      </c>
      <c r="AQ282" t="s">
        <v>74</v>
      </c>
      <c r="AR282" t="s">
        <v>1151</v>
      </c>
      <c r="AS282" t="s">
        <v>1152</v>
      </c>
      <c r="AT282" t="s">
        <v>889</v>
      </c>
      <c r="AU282">
        <v>2022</v>
      </c>
      <c r="AV282">
        <v>278</v>
      </c>
      <c r="AW282" t="s">
        <v>74</v>
      </c>
      <c r="AX282" t="s">
        <v>74</v>
      </c>
      <c r="AY282" t="s">
        <v>74</v>
      </c>
      <c r="AZ282" t="s">
        <v>74</v>
      </c>
      <c r="BA282" t="s">
        <v>74</v>
      </c>
      <c r="BB282" t="s">
        <v>74</v>
      </c>
      <c r="BC282" t="s">
        <v>74</v>
      </c>
      <c r="BD282">
        <v>107348</v>
      </c>
      <c r="BE282" t="s">
        <v>5926</v>
      </c>
      <c r="BF282" t="str">
        <f>HYPERLINK("http://dx.doi.org/10.1016/j.quascirev.2021.107348","http://dx.doi.org/10.1016/j.quascirev.2021.107348")</f>
        <v>http://dx.doi.org/10.1016/j.quascirev.2021.107348</v>
      </c>
      <c r="BG282" t="s">
        <v>74</v>
      </c>
      <c r="BH282" t="s">
        <v>4536</v>
      </c>
      <c r="BI282">
        <v>13</v>
      </c>
      <c r="BJ282" t="s">
        <v>208</v>
      </c>
      <c r="BK282" t="s">
        <v>103</v>
      </c>
      <c r="BL282" t="s">
        <v>209</v>
      </c>
      <c r="BM282" t="s">
        <v>5927</v>
      </c>
      <c r="BN282" t="s">
        <v>74</v>
      </c>
      <c r="BO282" t="s">
        <v>74</v>
      </c>
      <c r="BP282" t="s">
        <v>74</v>
      </c>
      <c r="BQ282" t="s">
        <v>74</v>
      </c>
      <c r="BR282" t="s">
        <v>106</v>
      </c>
      <c r="BS282" t="s">
        <v>5928</v>
      </c>
      <c r="BT282" t="str">
        <f>HYPERLINK("https%3A%2F%2Fwww.webofscience.com%2Fwos%2Fwoscc%2Ffull-record%2FWOS:000766911200002","View Full Record in Web of Science")</f>
        <v>View Full Record in Web of Science</v>
      </c>
    </row>
    <row r="283" spans="1:72" x14ac:dyDescent="0.15">
      <c r="A283" t="s">
        <v>72</v>
      </c>
      <c r="B283" t="s">
        <v>5929</v>
      </c>
      <c r="C283" t="s">
        <v>74</v>
      </c>
      <c r="D283" t="s">
        <v>74</v>
      </c>
      <c r="E283" t="s">
        <v>74</v>
      </c>
      <c r="F283" t="s">
        <v>5930</v>
      </c>
      <c r="G283" t="s">
        <v>74</v>
      </c>
      <c r="H283" t="s">
        <v>74</v>
      </c>
      <c r="I283" t="s">
        <v>5931</v>
      </c>
      <c r="J283" t="s">
        <v>5604</v>
      </c>
      <c r="K283" t="s">
        <v>74</v>
      </c>
      <c r="L283" t="s">
        <v>74</v>
      </c>
      <c r="M283" t="s">
        <v>78</v>
      </c>
      <c r="N283" t="s">
        <v>79</v>
      </c>
      <c r="O283" t="s">
        <v>74</v>
      </c>
      <c r="P283" t="s">
        <v>74</v>
      </c>
      <c r="Q283" t="s">
        <v>74</v>
      </c>
      <c r="R283" t="s">
        <v>74</v>
      </c>
      <c r="S283" t="s">
        <v>74</v>
      </c>
      <c r="T283" t="s">
        <v>5932</v>
      </c>
      <c r="U283" t="s">
        <v>5933</v>
      </c>
      <c r="V283" t="s">
        <v>5934</v>
      </c>
      <c r="W283" t="s">
        <v>5935</v>
      </c>
      <c r="X283" t="s">
        <v>5936</v>
      </c>
      <c r="Y283" t="s">
        <v>5937</v>
      </c>
      <c r="Z283" t="s">
        <v>5938</v>
      </c>
      <c r="AA283" t="s">
        <v>5939</v>
      </c>
      <c r="AB283" t="s">
        <v>5940</v>
      </c>
      <c r="AC283" t="s">
        <v>5941</v>
      </c>
      <c r="AD283" t="s">
        <v>5942</v>
      </c>
      <c r="AE283" t="s">
        <v>5943</v>
      </c>
      <c r="AF283" t="s">
        <v>74</v>
      </c>
      <c r="AG283">
        <v>57</v>
      </c>
      <c r="AH283">
        <v>23</v>
      </c>
      <c r="AI283">
        <v>25</v>
      </c>
      <c r="AJ283">
        <v>13</v>
      </c>
      <c r="AK283">
        <v>93</v>
      </c>
      <c r="AL283" t="s">
        <v>814</v>
      </c>
      <c r="AM283" t="s">
        <v>93</v>
      </c>
      <c r="AN283" t="s">
        <v>815</v>
      </c>
      <c r="AO283" t="s">
        <v>5617</v>
      </c>
      <c r="AP283" t="s">
        <v>5618</v>
      </c>
      <c r="AQ283" t="s">
        <v>74</v>
      </c>
      <c r="AR283" t="s">
        <v>5619</v>
      </c>
      <c r="AS283" t="s">
        <v>5620</v>
      </c>
      <c r="AT283" t="s">
        <v>5105</v>
      </c>
      <c r="AU283">
        <v>2022</v>
      </c>
      <c r="AV283">
        <v>298</v>
      </c>
      <c r="AW283" t="s">
        <v>74</v>
      </c>
      <c r="AX283" t="s">
        <v>74</v>
      </c>
      <c r="AY283" t="s">
        <v>74</v>
      </c>
      <c r="AZ283" t="s">
        <v>74</v>
      </c>
      <c r="BA283" t="s">
        <v>74</v>
      </c>
      <c r="BB283" t="s">
        <v>74</v>
      </c>
      <c r="BC283" t="s">
        <v>74</v>
      </c>
      <c r="BD283">
        <v>118808</v>
      </c>
      <c r="BE283" t="s">
        <v>5944</v>
      </c>
      <c r="BF283" t="str">
        <f>HYPERLINK("http://dx.doi.org/10.1016/j.envpol.2022.118808","http://dx.doi.org/10.1016/j.envpol.2022.118808")</f>
        <v>http://dx.doi.org/10.1016/j.envpol.2022.118808</v>
      </c>
      <c r="BG283" t="s">
        <v>74</v>
      </c>
      <c r="BH283" t="s">
        <v>4536</v>
      </c>
      <c r="BI283">
        <v>12</v>
      </c>
      <c r="BJ283" t="s">
        <v>1560</v>
      </c>
      <c r="BK283" t="s">
        <v>103</v>
      </c>
      <c r="BL283" t="s">
        <v>1561</v>
      </c>
      <c r="BM283" t="s">
        <v>5945</v>
      </c>
      <c r="BN283">
        <v>35007674</v>
      </c>
      <c r="BO283" t="s">
        <v>749</v>
      </c>
      <c r="BP283" t="s">
        <v>74</v>
      </c>
      <c r="BQ283" t="s">
        <v>74</v>
      </c>
      <c r="BR283" t="s">
        <v>106</v>
      </c>
      <c r="BS283" t="s">
        <v>5946</v>
      </c>
      <c r="BT283" t="str">
        <f>HYPERLINK("https%3A%2F%2Fwww.webofscience.com%2Fwos%2Fwoscc%2Ffull-record%2FWOS:000760186600005","View Full Record in Web of Science")</f>
        <v>View Full Record in Web of Science</v>
      </c>
    </row>
    <row r="284" spans="1:72" x14ac:dyDescent="0.15">
      <c r="A284" t="s">
        <v>72</v>
      </c>
      <c r="B284" t="s">
        <v>5947</v>
      </c>
      <c r="C284" t="s">
        <v>74</v>
      </c>
      <c r="D284" t="s">
        <v>74</v>
      </c>
      <c r="E284" t="s">
        <v>74</v>
      </c>
      <c r="F284" t="s">
        <v>5948</v>
      </c>
      <c r="G284" t="s">
        <v>74</v>
      </c>
      <c r="H284" t="s">
        <v>74</v>
      </c>
      <c r="I284" t="s">
        <v>5949</v>
      </c>
      <c r="J284" t="s">
        <v>4729</v>
      </c>
      <c r="K284" t="s">
        <v>74</v>
      </c>
      <c r="L284" t="s">
        <v>74</v>
      </c>
      <c r="M284" t="s">
        <v>78</v>
      </c>
      <c r="N284" t="s">
        <v>79</v>
      </c>
      <c r="O284" t="s">
        <v>74</v>
      </c>
      <c r="P284" t="s">
        <v>74</v>
      </c>
      <c r="Q284" t="s">
        <v>74</v>
      </c>
      <c r="R284" t="s">
        <v>74</v>
      </c>
      <c r="S284" t="s">
        <v>74</v>
      </c>
      <c r="T284" t="s">
        <v>5950</v>
      </c>
      <c r="U284" t="s">
        <v>5951</v>
      </c>
      <c r="V284" t="s">
        <v>5952</v>
      </c>
      <c r="W284" t="s">
        <v>5953</v>
      </c>
      <c r="X284" t="s">
        <v>5954</v>
      </c>
      <c r="Y284" t="s">
        <v>5955</v>
      </c>
      <c r="Z284" t="s">
        <v>5956</v>
      </c>
      <c r="AA284" t="s">
        <v>5957</v>
      </c>
      <c r="AB284" t="s">
        <v>5958</v>
      </c>
      <c r="AC284" t="s">
        <v>74</v>
      </c>
      <c r="AD284" t="s">
        <v>74</v>
      </c>
      <c r="AE284" t="s">
        <v>74</v>
      </c>
      <c r="AF284" t="s">
        <v>74</v>
      </c>
      <c r="AG284">
        <v>71</v>
      </c>
      <c r="AH284">
        <v>84</v>
      </c>
      <c r="AI284">
        <v>86</v>
      </c>
      <c r="AJ284">
        <v>30</v>
      </c>
      <c r="AK284">
        <v>155</v>
      </c>
      <c r="AL284" t="s">
        <v>254</v>
      </c>
      <c r="AM284" t="s">
        <v>255</v>
      </c>
      <c r="AN284" t="s">
        <v>256</v>
      </c>
      <c r="AO284" t="s">
        <v>4742</v>
      </c>
      <c r="AP284" t="s">
        <v>4743</v>
      </c>
      <c r="AQ284" t="s">
        <v>74</v>
      </c>
      <c r="AR284" t="s">
        <v>4744</v>
      </c>
      <c r="AS284" t="s">
        <v>4745</v>
      </c>
      <c r="AT284" t="s">
        <v>260</v>
      </c>
      <c r="AU284">
        <v>2022</v>
      </c>
      <c r="AV284">
        <v>208</v>
      </c>
      <c r="AW284" t="s">
        <v>74</v>
      </c>
      <c r="AX284" t="s">
        <v>74</v>
      </c>
      <c r="AY284" t="s">
        <v>74</v>
      </c>
      <c r="AZ284" t="s">
        <v>74</v>
      </c>
      <c r="BA284" t="s">
        <v>74</v>
      </c>
      <c r="BB284" t="s">
        <v>74</v>
      </c>
      <c r="BC284" t="s">
        <v>74</v>
      </c>
      <c r="BD284">
        <v>112741</v>
      </c>
      <c r="BE284" t="s">
        <v>5959</v>
      </c>
      <c r="BF284" t="str">
        <f>HYPERLINK("http://dx.doi.org/10.1016/j.envres.2022.112741","http://dx.doi.org/10.1016/j.envres.2022.112741")</f>
        <v>http://dx.doi.org/10.1016/j.envres.2022.112741</v>
      </c>
      <c r="BG284" t="s">
        <v>74</v>
      </c>
      <c r="BH284" t="s">
        <v>4536</v>
      </c>
      <c r="BI284">
        <v>9</v>
      </c>
      <c r="BJ284" t="s">
        <v>4748</v>
      </c>
      <c r="BK284" t="s">
        <v>103</v>
      </c>
      <c r="BL284" t="s">
        <v>4749</v>
      </c>
      <c r="BM284" t="s">
        <v>5960</v>
      </c>
      <c r="BN284">
        <v>35063429</v>
      </c>
      <c r="BO284" t="s">
        <v>749</v>
      </c>
      <c r="BP284" t="s">
        <v>1286</v>
      </c>
      <c r="BQ284" t="s">
        <v>1287</v>
      </c>
      <c r="BR284" t="s">
        <v>106</v>
      </c>
      <c r="BS284" t="s">
        <v>5961</v>
      </c>
      <c r="BT284" t="str">
        <f>HYPERLINK("https%3A%2F%2Fwww.webofscience.com%2Fwos%2Fwoscc%2Ffull-record%2FWOS:000751882800006","View Full Record in Web of Science")</f>
        <v>View Full Record in Web of Science</v>
      </c>
    </row>
    <row r="285" spans="1:72" x14ac:dyDescent="0.15">
      <c r="A285" t="s">
        <v>72</v>
      </c>
      <c r="B285" t="s">
        <v>5962</v>
      </c>
      <c r="C285" t="s">
        <v>74</v>
      </c>
      <c r="D285" t="s">
        <v>74</v>
      </c>
      <c r="E285" t="s">
        <v>74</v>
      </c>
      <c r="F285" t="s">
        <v>5963</v>
      </c>
      <c r="G285" t="s">
        <v>74</v>
      </c>
      <c r="H285" t="s">
        <v>74</v>
      </c>
      <c r="I285" t="s">
        <v>5964</v>
      </c>
      <c r="J285" t="s">
        <v>5965</v>
      </c>
      <c r="K285" t="s">
        <v>74</v>
      </c>
      <c r="L285" t="s">
        <v>74</v>
      </c>
      <c r="M285" t="s">
        <v>78</v>
      </c>
      <c r="N285" t="s">
        <v>79</v>
      </c>
      <c r="O285" t="s">
        <v>74</v>
      </c>
      <c r="P285" t="s">
        <v>74</v>
      </c>
      <c r="Q285" t="s">
        <v>74</v>
      </c>
      <c r="R285" t="s">
        <v>74</v>
      </c>
      <c r="S285" t="s">
        <v>74</v>
      </c>
      <c r="T285" t="s">
        <v>5966</v>
      </c>
      <c r="U285" t="s">
        <v>5967</v>
      </c>
      <c r="V285" t="s">
        <v>5968</v>
      </c>
      <c r="W285" t="s">
        <v>5969</v>
      </c>
      <c r="X285" t="s">
        <v>5970</v>
      </c>
      <c r="Y285" t="s">
        <v>5971</v>
      </c>
      <c r="Z285" t="s">
        <v>5972</v>
      </c>
      <c r="AA285" t="s">
        <v>5973</v>
      </c>
      <c r="AB285" t="s">
        <v>5974</v>
      </c>
      <c r="AC285" t="s">
        <v>74</v>
      </c>
      <c r="AD285" t="s">
        <v>74</v>
      </c>
      <c r="AE285" t="s">
        <v>74</v>
      </c>
      <c r="AF285" t="s">
        <v>74</v>
      </c>
      <c r="AG285">
        <v>47</v>
      </c>
      <c r="AH285">
        <v>7</v>
      </c>
      <c r="AI285">
        <v>7</v>
      </c>
      <c r="AJ285">
        <v>0</v>
      </c>
      <c r="AK285">
        <v>8</v>
      </c>
      <c r="AL285" t="s">
        <v>363</v>
      </c>
      <c r="AM285" t="s">
        <v>364</v>
      </c>
      <c r="AN285" t="s">
        <v>365</v>
      </c>
      <c r="AO285" t="s">
        <v>5975</v>
      </c>
      <c r="AP285" t="s">
        <v>74</v>
      </c>
      <c r="AQ285" t="s">
        <v>74</v>
      </c>
      <c r="AR285" t="s">
        <v>5976</v>
      </c>
      <c r="AS285" t="s">
        <v>5977</v>
      </c>
      <c r="AT285" t="s">
        <v>5781</v>
      </c>
      <c r="AU285">
        <v>2022</v>
      </c>
      <c r="AV285">
        <v>8</v>
      </c>
      <c r="AW285" t="s">
        <v>74</v>
      </c>
      <c r="AX285" t="s">
        <v>74</v>
      </c>
      <c r="AY285" t="s">
        <v>74</v>
      </c>
      <c r="AZ285" t="s">
        <v>74</v>
      </c>
      <c r="BA285" t="s">
        <v>74</v>
      </c>
      <c r="BB285" t="s">
        <v>74</v>
      </c>
      <c r="BC285" t="s">
        <v>74</v>
      </c>
      <c r="BD285">
        <v>768629</v>
      </c>
      <c r="BE285" t="s">
        <v>5978</v>
      </c>
      <c r="BF285" t="str">
        <f>HYPERLINK("http://dx.doi.org/10.3389/fspas.2021.768629","http://dx.doi.org/10.3389/fspas.2021.768629")</f>
        <v>http://dx.doi.org/10.3389/fspas.2021.768629</v>
      </c>
      <c r="BG285" t="s">
        <v>74</v>
      </c>
      <c r="BH285" t="s">
        <v>74</v>
      </c>
      <c r="BI285">
        <v>9</v>
      </c>
      <c r="BJ285" t="s">
        <v>262</v>
      </c>
      <c r="BK285" t="s">
        <v>103</v>
      </c>
      <c r="BL285" t="s">
        <v>262</v>
      </c>
      <c r="BM285" t="s">
        <v>5979</v>
      </c>
      <c r="BN285" t="s">
        <v>74</v>
      </c>
      <c r="BO285" t="s">
        <v>292</v>
      </c>
      <c r="BP285" t="s">
        <v>74</v>
      </c>
      <c r="BQ285" t="s">
        <v>74</v>
      </c>
      <c r="BR285" t="s">
        <v>106</v>
      </c>
      <c r="BS285" t="s">
        <v>5980</v>
      </c>
      <c r="BT285" t="str">
        <f>HYPERLINK("https%3A%2F%2Fwww.webofscience.com%2Fwos%2Fwoscc%2Ffull-record%2FWOS:000749439100001","View Full Record in Web of Science")</f>
        <v>View Full Record in Web of Science</v>
      </c>
    </row>
    <row r="286" spans="1:72" x14ac:dyDescent="0.15">
      <c r="A286" t="s">
        <v>72</v>
      </c>
      <c r="B286" t="s">
        <v>5981</v>
      </c>
      <c r="C286" t="s">
        <v>74</v>
      </c>
      <c r="D286" t="s">
        <v>74</v>
      </c>
      <c r="E286" t="s">
        <v>74</v>
      </c>
      <c r="F286" t="s">
        <v>5982</v>
      </c>
      <c r="G286" t="s">
        <v>74</v>
      </c>
      <c r="H286" t="s">
        <v>74</v>
      </c>
      <c r="I286" t="s">
        <v>5983</v>
      </c>
      <c r="J286" t="s">
        <v>111</v>
      </c>
      <c r="K286" t="s">
        <v>74</v>
      </c>
      <c r="L286" t="s">
        <v>74</v>
      </c>
      <c r="M286" t="s">
        <v>78</v>
      </c>
      <c r="N286" t="s">
        <v>79</v>
      </c>
      <c r="O286" t="s">
        <v>74</v>
      </c>
      <c r="P286" t="s">
        <v>74</v>
      </c>
      <c r="Q286" t="s">
        <v>74</v>
      </c>
      <c r="R286" t="s">
        <v>74</v>
      </c>
      <c r="S286" t="s">
        <v>74</v>
      </c>
      <c r="T286" t="s">
        <v>74</v>
      </c>
      <c r="U286" t="s">
        <v>5984</v>
      </c>
      <c r="V286" t="s">
        <v>5985</v>
      </c>
      <c r="W286" t="s">
        <v>5986</v>
      </c>
      <c r="X286" t="s">
        <v>5987</v>
      </c>
      <c r="Y286" t="s">
        <v>5988</v>
      </c>
      <c r="Z286" t="s">
        <v>5989</v>
      </c>
      <c r="AA286" t="s">
        <v>5990</v>
      </c>
      <c r="AB286" t="s">
        <v>5991</v>
      </c>
      <c r="AC286" t="s">
        <v>5992</v>
      </c>
      <c r="AD286" t="s">
        <v>5993</v>
      </c>
      <c r="AE286" t="s">
        <v>5994</v>
      </c>
      <c r="AF286" t="s">
        <v>74</v>
      </c>
      <c r="AG286">
        <v>86</v>
      </c>
      <c r="AH286">
        <v>7</v>
      </c>
      <c r="AI286">
        <v>7</v>
      </c>
      <c r="AJ286">
        <v>0</v>
      </c>
      <c r="AK286">
        <v>7</v>
      </c>
      <c r="AL286" t="s">
        <v>120</v>
      </c>
      <c r="AM286" t="s">
        <v>121</v>
      </c>
      <c r="AN286" t="s">
        <v>122</v>
      </c>
      <c r="AO286" t="s">
        <v>123</v>
      </c>
      <c r="AP286" t="s">
        <v>124</v>
      </c>
      <c r="AQ286" t="s">
        <v>74</v>
      </c>
      <c r="AR286" t="s">
        <v>125</v>
      </c>
      <c r="AS286" t="s">
        <v>126</v>
      </c>
      <c r="AT286" t="s">
        <v>5781</v>
      </c>
      <c r="AU286">
        <v>2022</v>
      </c>
      <c r="AV286">
        <v>22</v>
      </c>
      <c r="AW286">
        <v>2</v>
      </c>
      <c r="AX286" t="s">
        <v>74</v>
      </c>
      <c r="AY286" t="s">
        <v>74</v>
      </c>
      <c r="AZ286" t="s">
        <v>74</v>
      </c>
      <c r="BA286" t="s">
        <v>74</v>
      </c>
      <c r="BB286">
        <v>903</v>
      </c>
      <c r="BC286">
        <v>916</v>
      </c>
      <c r="BD286" t="s">
        <v>74</v>
      </c>
      <c r="BE286" t="s">
        <v>5995</v>
      </c>
      <c r="BF286" t="str">
        <f>HYPERLINK("http://dx.doi.org/10.5194/acp-22-903-2022","http://dx.doi.org/10.5194/acp-22-903-2022")</f>
        <v>http://dx.doi.org/10.5194/acp-22-903-2022</v>
      </c>
      <c r="BG286" t="s">
        <v>74</v>
      </c>
      <c r="BH286" t="s">
        <v>74</v>
      </c>
      <c r="BI286">
        <v>14</v>
      </c>
      <c r="BJ286" t="s">
        <v>129</v>
      </c>
      <c r="BK286" t="s">
        <v>103</v>
      </c>
      <c r="BL286" t="s">
        <v>130</v>
      </c>
      <c r="BM286" t="s">
        <v>5996</v>
      </c>
      <c r="BN286" t="s">
        <v>74</v>
      </c>
      <c r="BO286" t="s">
        <v>132</v>
      </c>
      <c r="BP286" t="s">
        <v>74</v>
      </c>
      <c r="BQ286" t="s">
        <v>74</v>
      </c>
      <c r="BR286" t="s">
        <v>106</v>
      </c>
      <c r="BS286" t="s">
        <v>5997</v>
      </c>
      <c r="BT286" t="str">
        <f>HYPERLINK("https%3A%2F%2Fwww.webofscience.com%2Fwos%2Fwoscc%2Ffull-record%2FWOS:000747146100001","View Full Record in Web of Science")</f>
        <v>View Full Record in Web of Science</v>
      </c>
    </row>
    <row r="287" spans="1:72" x14ac:dyDescent="0.15">
      <c r="A287" t="s">
        <v>72</v>
      </c>
      <c r="B287" t="s">
        <v>5998</v>
      </c>
      <c r="C287" t="s">
        <v>74</v>
      </c>
      <c r="D287" t="s">
        <v>74</v>
      </c>
      <c r="E287" t="s">
        <v>74</v>
      </c>
      <c r="F287" t="s">
        <v>5999</v>
      </c>
      <c r="G287" t="s">
        <v>74</v>
      </c>
      <c r="H287" t="s">
        <v>74</v>
      </c>
      <c r="I287" t="s">
        <v>6000</v>
      </c>
      <c r="J287" t="s">
        <v>400</v>
      </c>
      <c r="K287" t="s">
        <v>74</v>
      </c>
      <c r="L287" t="s">
        <v>74</v>
      </c>
      <c r="M287" t="s">
        <v>78</v>
      </c>
      <c r="N287" t="s">
        <v>79</v>
      </c>
      <c r="O287" t="s">
        <v>74</v>
      </c>
      <c r="P287" t="s">
        <v>74</v>
      </c>
      <c r="Q287" t="s">
        <v>74</v>
      </c>
      <c r="R287" t="s">
        <v>74</v>
      </c>
      <c r="S287" t="s">
        <v>74</v>
      </c>
      <c r="T287" t="s">
        <v>74</v>
      </c>
      <c r="U287" t="s">
        <v>6001</v>
      </c>
      <c r="V287" t="s">
        <v>6002</v>
      </c>
      <c r="W287" t="s">
        <v>6003</v>
      </c>
      <c r="X287" t="s">
        <v>6004</v>
      </c>
      <c r="Y287" t="s">
        <v>6005</v>
      </c>
      <c r="Z287" t="s">
        <v>6006</v>
      </c>
      <c r="AA287" t="s">
        <v>6007</v>
      </c>
      <c r="AB287" t="s">
        <v>6008</v>
      </c>
      <c r="AC287" t="s">
        <v>6009</v>
      </c>
      <c r="AD287" t="s">
        <v>6010</v>
      </c>
      <c r="AE287" t="s">
        <v>6011</v>
      </c>
      <c r="AF287" t="s">
        <v>74</v>
      </c>
      <c r="AG287">
        <v>103</v>
      </c>
      <c r="AH287">
        <v>1</v>
      </c>
      <c r="AI287">
        <v>1</v>
      </c>
      <c r="AJ287">
        <v>3</v>
      </c>
      <c r="AK287">
        <v>17</v>
      </c>
      <c r="AL287" t="s">
        <v>120</v>
      </c>
      <c r="AM287" t="s">
        <v>121</v>
      </c>
      <c r="AN287" t="s">
        <v>122</v>
      </c>
      <c r="AO287" t="s">
        <v>412</v>
      </c>
      <c r="AP287" t="s">
        <v>413</v>
      </c>
      <c r="AQ287" t="s">
        <v>74</v>
      </c>
      <c r="AR287" t="s">
        <v>400</v>
      </c>
      <c r="AS287" t="s">
        <v>414</v>
      </c>
      <c r="AT287" t="s">
        <v>5781</v>
      </c>
      <c r="AU287">
        <v>2022</v>
      </c>
      <c r="AV287">
        <v>19</v>
      </c>
      <c r="AW287">
        <v>2</v>
      </c>
      <c r="AX287" t="s">
        <v>74</v>
      </c>
      <c r="AY287" t="s">
        <v>74</v>
      </c>
      <c r="AZ287" t="s">
        <v>74</v>
      </c>
      <c r="BA287" t="s">
        <v>74</v>
      </c>
      <c r="BB287">
        <v>295</v>
      </c>
      <c r="BC287">
        <v>312</v>
      </c>
      <c r="BD287" t="s">
        <v>74</v>
      </c>
      <c r="BE287" t="s">
        <v>6012</v>
      </c>
      <c r="BF287" t="str">
        <f>HYPERLINK("http://dx.doi.org/10.5194/bg-19-295-2022","http://dx.doi.org/10.5194/bg-19-295-2022")</f>
        <v>http://dx.doi.org/10.5194/bg-19-295-2022</v>
      </c>
      <c r="BG287" t="s">
        <v>74</v>
      </c>
      <c r="BH287" t="s">
        <v>74</v>
      </c>
      <c r="BI287">
        <v>18</v>
      </c>
      <c r="BJ287" t="s">
        <v>416</v>
      </c>
      <c r="BK287" t="s">
        <v>103</v>
      </c>
      <c r="BL287" t="s">
        <v>417</v>
      </c>
      <c r="BM287" t="s">
        <v>6013</v>
      </c>
      <c r="BN287" t="s">
        <v>74</v>
      </c>
      <c r="BO287" t="s">
        <v>419</v>
      </c>
      <c r="BP287" t="s">
        <v>74</v>
      </c>
      <c r="BQ287" t="s">
        <v>74</v>
      </c>
      <c r="BR287" t="s">
        <v>106</v>
      </c>
      <c r="BS287" t="s">
        <v>6014</v>
      </c>
      <c r="BT287" t="str">
        <f>HYPERLINK("https%3A%2F%2Fwww.webofscience.com%2Fwos%2Fwoscc%2Ffull-record%2FWOS:000747153600001","View Full Record in Web of Science")</f>
        <v>View Full Record in Web of Science</v>
      </c>
    </row>
    <row r="288" spans="1:72" x14ac:dyDescent="0.15">
      <c r="A288" t="s">
        <v>72</v>
      </c>
      <c r="B288" t="s">
        <v>6015</v>
      </c>
      <c r="C288" t="s">
        <v>74</v>
      </c>
      <c r="D288" t="s">
        <v>74</v>
      </c>
      <c r="E288" t="s">
        <v>74</v>
      </c>
      <c r="F288" t="s">
        <v>6016</v>
      </c>
      <c r="G288" t="s">
        <v>74</v>
      </c>
      <c r="H288" t="s">
        <v>74</v>
      </c>
      <c r="I288" t="s">
        <v>6017</v>
      </c>
      <c r="J288" t="s">
        <v>6018</v>
      </c>
      <c r="K288" t="s">
        <v>74</v>
      </c>
      <c r="L288" t="s">
        <v>74</v>
      </c>
      <c r="M288" t="s">
        <v>78</v>
      </c>
      <c r="N288" t="s">
        <v>79</v>
      </c>
      <c r="O288" t="s">
        <v>74</v>
      </c>
      <c r="P288" t="s">
        <v>74</v>
      </c>
      <c r="Q288" t="s">
        <v>74</v>
      </c>
      <c r="R288" t="s">
        <v>74</v>
      </c>
      <c r="S288" t="s">
        <v>74</v>
      </c>
      <c r="T288" t="s">
        <v>6019</v>
      </c>
      <c r="U288" t="s">
        <v>6020</v>
      </c>
      <c r="V288" t="s">
        <v>6021</v>
      </c>
      <c r="W288" t="s">
        <v>6022</v>
      </c>
      <c r="X288" t="s">
        <v>6023</v>
      </c>
      <c r="Y288" t="s">
        <v>6024</v>
      </c>
      <c r="Z288" t="s">
        <v>6025</v>
      </c>
      <c r="AA288" t="s">
        <v>6026</v>
      </c>
      <c r="AB288" t="s">
        <v>6027</v>
      </c>
      <c r="AC288" t="s">
        <v>6028</v>
      </c>
      <c r="AD288" t="s">
        <v>6029</v>
      </c>
      <c r="AE288" t="s">
        <v>6030</v>
      </c>
      <c r="AF288" t="s">
        <v>74</v>
      </c>
      <c r="AG288">
        <v>60</v>
      </c>
      <c r="AH288">
        <v>4</v>
      </c>
      <c r="AI288">
        <v>4</v>
      </c>
      <c r="AJ288">
        <v>1</v>
      </c>
      <c r="AK288">
        <v>9</v>
      </c>
      <c r="AL288" t="s">
        <v>198</v>
      </c>
      <c r="AM288" t="s">
        <v>506</v>
      </c>
      <c r="AN288" t="s">
        <v>1695</v>
      </c>
      <c r="AO288" t="s">
        <v>6031</v>
      </c>
      <c r="AP288" t="s">
        <v>6032</v>
      </c>
      <c r="AQ288" t="s">
        <v>74</v>
      </c>
      <c r="AR288" t="s">
        <v>6033</v>
      </c>
      <c r="AS288" t="s">
        <v>6034</v>
      </c>
      <c r="AT288" t="s">
        <v>5781</v>
      </c>
      <c r="AU288">
        <v>2022</v>
      </c>
      <c r="AV288">
        <v>934</v>
      </c>
      <c r="AW288" t="s">
        <v>74</v>
      </c>
      <c r="AX288" t="s">
        <v>74</v>
      </c>
      <c r="AY288" t="s">
        <v>74</v>
      </c>
      <c r="AZ288" t="s">
        <v>74</v>
      </c>
      <c r="BA288" t="s">
        <v>74</v>
      </c>
      <c r="BB288" t="s">
        <v>74</v>
      </c>
      <c r="BC288" t="s">
        <v>74</v>
      </c>
      <c r="BD288" t="s">
        <v>6035</v>
      </c>
      <c r="BE288" t="s">
        <v>6036</v>
      </c>
      <c r="BF288" t="str">
        <f>HYPERLINK("http://dx.doi.org/10.1017/jfm.2021.1146","http://dx.doi.org/10.1017/jfm.2021.1146")</f>
        <v>http://dx.doi.org/10.1017/jfm.2021.1146</v>
      </c>
      <c r="BG288" t="s">
        <v>74</v>
      </c>
      <c r="BH288" t="s">
        <v>74</v>
      </c>
      <c r="BI288">
        <v>50</v>
      </c>
      <c r="BJ288" t="s">
        <v>6037</v>
      </c>
      <c r="BK288" t="s">
        <v>103</v>
      </c>
      <c r="BL288" t="s">
        <v>6038</v>
      </c>
      <c r="BM288" t="s">
        <v>6039</v>
      </c>
      <c r="BN288" t="s">
        <v>74</v>
      </c>
      <c r="BO288" t="s">
        <v>1336</v>
      </c>
      <c r="BP288" t="s">
        <v>74</v>
      </c>
      <c r="BQ288" t="s">
        <v>74</v>
      </c>
      <c r="BR288" t="s">
        <v>106</v>
      </c>
      <c r="BS288" t="s">
        <v>6040</v>
      </c>
      <c r="BT288" t="str">
        <f>HYPERLINK("https%3A%2F%2Fwww.webofscience.com%2Fwos%2Fwoscc%2Ffull-record%2FWOS:000744046500001","View Full Record in Web of Science")</f>
        <v>View Full Record in Web of Science</v>
      </c>
    </row>
    <row r="289" spans="1:72" x14ac:dyDescent="0.15">
      <c r="A289" t="s">
        <v>72</v>
      </c>
      <c r="B289" t="s">
        <v>6041</v>
      </c>
      <c r="C289" t="s">
        <v>74</v>
      </c>
      <c r="D289" t="s">
        <v>74</v>
      </c>
      <c r="E289" t="s">
        <v>74</v>
      </c>
      <c r="F289" t="s">
        <v>6042</v>
      </c>
      <c r="G289" t="s">
        <v>74</v>
      </c>
      <c r="H289" t="s">
        <v>74</v>
      </c>
      <c r="I289" t="s">
        <v>6043</v>
      </c>
      <c r="J289" t="s">
        <v>6044</v>
      </c>
      <c r="K289" t="s">
        <v>74</v>
      </c>
      <c r="L289" t="s">
        <v>74</v>
      </c>
      <c r="M289" t="s">
        <v>78</v>
      </c>
      <c r="N289" t="s">
        <v>79</v>
      </c>
      <c r="O289" t="s">
        <v>74</v>
      </c>
      <c r="P289" t="s">
        <v>74</v>
      </c>
      <c r="Q289" t="s">
        <v>74</v>
      </c>
      <c r="R289" t="s">
        <v>74</v>
      </c>
      <c r="S289" t="s">
        <v>74</v>
      </c>
      <c r="T289" t="s">
        <v>6045</v>
      </c>
      <c r="U289" t="s">
        <v>74</v>
      </c>
      <c r="V289" t="s">
        <v>6046</v>
      </c>
      <c r="W289" t="s">
        <v>6047</v>
      </c>
      <c r="X289" t="s">
        <v>6048</v>
      </c>
      <c r="Y289" t="s">
        <v>6049</v>
      </c>
      <c r="Z289" t="s">
        <v>6050</v>
      </c>
      <c r="AA289" t="s">
        <v>6051</v>
      </c>
      <c r="AB289" t="s">
        <v>6052</v>
      </c>
      <c r="AC289" t="s">
        <v>74</v>
      </c>
      <c r="AD289" t="s">
        <v>74</v>
      </c>
      <c r="AE289" t="s">
        <v>74</v>
      </c>
      <c r="AF289" t="s">
        <v>74</v>
      </c>
      <c r="AG289">
        <v>39</v>
      </c>
      <c r="AH289">
        <v>11</v>
      </c>
      <c r="AI289">
        <v>12</v>
      </c>
      <c r="AJ289">
        <v>20</v>
      </c>
      <c r="AK289">
        <v>93</v>
      </c>
      <c r="AL289" t="s">
        <v>814</v>
      </c>
      <c r="AM289" t="s">
        <v>93</v>
      </c>
      <c r="AN289" t="s">
        <v>815</v>
      </c>
      <c r="AO289" t="s">
        <v>6053</v>
      </c>
      <c r="AP289" t="s">
        <v>6054</v>
      </c>
      <c r="AQ289" t="s">
        <v>74</v>
      </c>
      <c r="AR289" t="s">
        <v>6055</v>
      </c>
      <c r="AS289" t="s">
        <v>6056</v>
      </c>
      <c r="AT289" t="s">
        <v>6057</v>
      </c>
      <c r="AU289">
        <v>2022</v>
      </c>
      <c r="AV289">
        <v>379</v>
      </c>
      <c r="AW289" t="s">
        <v>74</v>
      </c>
      <c r="AX289" t="s">
        <v>74</v>
      </c>
      <c r="AY289" t="s">
        <v>74</v>
      </c>
      <c r="AZ289" t="s">
        <v>74</v>
      </c>
      <c r="BA289" t="s">
        <v>74</v>
      </c>
      <c r="BB289" t="s">
        <v>74</v>
      </c>
      <c r="BC289" t="s">
        <v>74</v>
      </c>
      <c r="BD289">
        <v>132159</v>
      </c>
      <c r="BE289" t="s">
        <v>6058</v>
      </c>
      <c r="BF289" t="str">
        <f>HYPERLINK("http://dx.doi.org/10.1016/j.foodchem.2022.132159","http://dx.doi.org/10.1016/j.foodchem.2022.132159")</f>
        <v>http://dx.doi.org/10.1016/j.foodchem.2022.132159</v>
      </c>
      <c r="BG289" t="s">
        <v>74</v>
      </c>
      <c r="BH289" t="s">
        <v>4536</v>
      </c>
      <c r="BI289">
        <v>10</v>
      </c>
      <c r="BJ289" t="s">
        <v>6059</v>
      </c>
      <c r="BK289" t="s">
        <v>103</v>
      </c>
      <c r="BL289" t="s">
        <v>6060</v>
      </c>
      <c r="BM289" t="s">
        <v>6061</v>
      </c>
      <c r="BN289">
        <v>35063848</v>
      </c>
      <c r="BO289" t="s">
        <v>74</v>
      </c>
      <c r="BP289" t="s">
        <v>74</v>
      </c>
      <c r="BQ289" t="s">
        <v>74</v>
      </c>
      <c r="BR289" t="s">
        <v>106</v>
      </c>
      <c r="BS289" t="s">
        <v>6062</v>
      </c>
      <c r="BT289" t="str">
        <f>HYPERLINK("https%3A%2F%2Fwww.webofscience.com%2Fwos%2Fwoscc%2Ffull-record%2FWOS:000790189200005","View Full Record in Web of Science")</f>
        <v>View Full Record in Web of Science</v>
      </c>
    </row>
    <row r="290" spans="1:72" x14ac:dyDescent="0.15">
      <c r="A290" t="s">
        <v>72</v>
      </c>
      <c r="B290" t="s">
        <v>6063</v>
      </c>
      <c r="C290" t="s">
        <v>74</v>
      </c>
      <c r="D290" t="s">
        <v>74</v>
      </c>
      <c r="E290" t="s">
        <v>74</v>
      </c>
      <c r="F290" t="s">
        <v>6064</v>
      </c>
      <c r="G290" t="s">
        <v>74</v>
      </c>
      <c r="H290" t="s">
        <v>74</v>
      </c>
      <c r="I290" t="s">
        <v>6065</v>
      </c>
      <c r="J290" t="s">
        <v>870</v>
      </c>
      <c r="K290" t="s">
        <v>74</v>
      </c>
      <c r="L290" t="s">
        <v>74</v>
      </c>
      <c r="M290" t="s">
        <v>78</v>
      </c>
      <c r="N290" t="s">
        <v>79</v>
      </c>
      <c r="O290" t="s">
        <v>74</v>
      </c>
      <c r="P290" t="s">
        <v>74</v>
      </c>
      <c r="Q290" t="s">
        <v>74</v>
      </c>
      <c r="R290" t="s">
        <v>74</v>
      </c>
      <c r="S290" t="s">
        <v>74</v>
      </c>
      <c r="T290" t="s">
        <v>6066</v>
      </c>
      <c r="U290" t="s">
        <v>6067</v>
      </c>
      <c r="V290" t="s">
        <v>6068</v>
      </c>
      <c r="W290" t="s">
        <v>6069</v>
      </c>
      <c r="X290" t="s">
        <v>6070</v>
      </c>
      <c r="Y290" t="s">
        <v>6071</v>
      </c>
      <c r="Z290" t="s">
        <v>6072</v>
      </c>
      <c r="AA290" t="s">
        <v>6073</v>
      </c>
      <c r="AB290" t="s">
        <v>6074</v>
      </c>
      <c r="AC290" t="s">
        <v>6075</v>
      </c>
      <c r="AD290" t="s">
        <v>6076</v>
      </c>
      <c r="AE290" t="s">
        <v>6077</v>
      </c>
      <c r="AF290" t="s">
        <v>74</v>
      </c>
      <c r="AG290">
        <v>102</v>
      </c>
      <c r="AH290">
        <v>27</v>
      </c>
      <c r="AI290">
        <v>30</v>
      </c>
      <c r="AJ290">
        <v>4</v>
      </c>
      <c r="AK290">
        <v>35</v>
      </c>
      <c r="AL290" t="s">
        <v>883</v>
      </c>
      <c r="AM290" t="s">
        <v>606</v>
      </c>
      <c r="AN290" t="s">
        <v>884</v>
      </c>
      <c r="AO290" t="s">
        <v>885</v>
      </c>
      <c r="AP290" t="s">
        <v>886</v>
      </c>
      <c r="AQ290" t="s">
        <v>74</v>
      </c>
      <c r="AR290" t="s">
        <v>887</v>
      </c>
      <c r="AS290" t="s">
        <v>888</v>
      </c>
      <c r="AT290" t="s">
        <v>6078</v>
      </c>
      <c r="AU290">
        <v>2022</v>
      </c>
      <c r="AV290">
        <v>119</v>
      </c>
      <c r="AW290">
        <v>3</v>
      </c>
      <c r="AX290" t="s">
        <v>74</v>
      </c>
      <c r="AY290" t="s">
        <v>74</v>
      </c>
      <c r="AZ290" t="s">
        <v>74</v>
      </c>
      <c r="BA290" t="s">
        <v>74</v>
      </c>
      <c r="BB290" t="s">
        <v>74</v>
      </c>
      <c r="BC290" t="s">
        <v>74</v>
      </c>
      <c r="BD290" t="s">
        <v>6079</v>
      </c>
      <c r="BE290" t="s">
        <v>6080</v>
      </c>
      <c r="BF290" t="str">
        <f>HYPERLINK("http://dx.doi.org/10.1073/pnas.2110303118","http://dx.doi.org/10.1073/pnas.2110303118")</f>
        <v>http://dx.doi.org/10.1073/pnas.2110303118</v>
      </c>
      <c r="BG290" t="s">
        <v>74</v>
      </c>
      <c r="BH290" t="s">
        <v>74</v>
      </c>
      <c r="BI290">
        <v>9</v>
      </c>
      <c r="BJ290" t="s">
        <v>289</v>
      </c>
      <c r="BK290" t="s">
        <v>103</v>
      </c>
      <c r="BL290" t="s">
        <v>290</v>
      </c>
      <c r="BM290" t="s">
        <v>6081</v>
      </c>
      <c r="BN290">
        <v>35012982</v>
      </c>
      <c r="BO290" t="s">
        <v>1336</v>
      </c>
      <c r="BP290" t="s">
        <v>74</v>
      </c>
      <c r="BQ290" t="s">
        <v>74</v>
      </c>
      <c r="BR290" t="s">
        <v>106</v>
      </c>
      <c r="BS290" t="s">
        <v>6082</v>
      </c>
      <c r="BT290" t="str">
        <f>HYPERLINK("https%3A%2F%2Fwww.webofscience.com%2Fwos%2Fwoscc%2Ffull-record%2FWOS:000748781000013","View Full Record in Web of Science")</f>
        <v>View Full Record in Web of Science</v>
      </c>
    </row>
    <row r="291" spans="1:72" x14ac:dyDescent="0.15">
      <c r="A291" t="s">
        <v>72</v>
      </c>
      <c r="B291" t="s">
        <v>6083</v>
      </c>
      <c r="C291" t="s">
        <v>74</v>
      </c>
      <c r="D291" t="s">
        <v>74</v>
      </c>
      <c r="E291" t="s">
        <v>74</v>
      </c>
      <c r="F291" t="s">
        <v>6084</v>
      </c>
      <c r="G291" t="s">
        <v>74</v>
      </c>
      <c r="H291" t="s">
        <v>74</v>
      </c>
      <c r="I291" t="s">
        <v>6085</v>
      </c>
      <c r="J291" t="s">
        <v>2532</v>
      </c>
      <c r="K291" t="s">
        <v>74</v>
      </c>
      <c r="L291" t="s">
        <v>74</v>
      </c>
      <c r="M291" t="s">
        <v>78</v>
      </c>
      <c r="N291" t="s">
        <v>79</v>
      </c>
      <c r="O291" t="s">
        <v>74</v>
      </c>
      <c r="P291" t="s">
        <v>74</v>
      </c>
      <c r="Q291" t="s">
        <v>74</v>
      </c>
      <c r="R291" t="s">
        <v>74</v>
      </c>
      <c r="S291" t="s">
        <v>74</v>
      </c>
      <c r="T291" t="s">
        <v>74</v>
      </c>
      <c r="U291" t="s">
        <v>6086</v>
      </c>
      <c r="V291" t="s">
        <v>6087</v>
      </c>
      <c r="W291" t="s">
        <v>6088</v>
      </c>
      <c r="X291" t="s">
        <v>6089</v>
      </c>
      <c r="Y291" t="s">
        <v>6090</v>
      </c>
      <c r="Z291" t="s">
        <v>6091</v>
      </c>
      <c r="AA291" t="s">
        <v>74</v>
      </c>
      <c r="AB291" t="s">
        <v>74</v>
      </c>
      <c r="AC291" t="s">
        <v>6092</v>
      </c>
      <c r="AD291" t="s">
        <v>6093</v>
      </c>
      <c r="AE291" t="s">
        <v>6094</v>
      </c>
      <c r="AF291" t="s">
        <v>74</v>
      </c>
      <c r="AG291">
        <v>74</v>
      </c>
      <c r="AH291">
        <v>6</v>
      </c>
      <c r="AI291">
        <v>6</v>
      </c>
      <c r="AJ291">
        <v>2</v>
      </c>
      <c r="AK291">
        <v>7</v>
      </c>
      <c r="AL291" t="s">
        <v>337</v>
      </c>
      <c r="AM291" t="s">
        <v>338</v>
      </c>
      <c r="AN291" t="s">
        <v>339</v>
      </c>
      <c r="AO291" t="s">
        <v>2543</v>
      </c>
      <c r="AP291" t="s">
        <v>74</v>
      </c>
      <c r="AQ291" t="s">
        <v>74</v>
      </c>
      <c r="AR291" t="s">
        <v>2544</v>
      </c>
      <c r="AS291" t="s">
        <v>2545</v>
      </c>
      <c r="AT291" t="s">
        <v>6078</v>
      </c>
      <c r="AU291">
        <v>2022</v>
      </c>
      <c r="AV291">
        <v>12</v>
      </c>
      <c r="AW291">
        <v>1</v>
      </c>
      <c r="AX291" t="s">
        <v>74</v>
      </c>
      <c r="AY291" t="s">
        <v>74</v>
      </c>
      <c r="AZ291" t="s">
        <v>74</v>
      </c>
      <c r="BA291" t="s">
        <v>74</v>
      </c>
      <c r="BB291" t="s">
        <v>74</v>
      </c>
      <c r="BC291" t="s">
        <v>74</v>
      </c>
      <c r="BD291">
        <v>924</v>
      </c>
      <c r="BE291" t="s">
        <v>6095</v>
      </c>
      <c r="BF291" t="str">
        <f>HYPERLINK("http://dx.doi.org/10.1038/s41598-021-04586-w","http://dx.doi.org/10.1038/s41598-021-04586-w")</f>
        <v>http://dx.doi.org/10.1038/s41598-021-04586-w</v>
      </c>
      <c r="BG291" t="s">
        <v>74</v>
      </c>
      <c r="BH291" t="s">
        <v>74</v>
      </c>
      <c r="BI291">
        <v>18</v>
      </c>
      <c r="BJ291" t="s">
        <v>289</v>
      </c>
      <c r="BK291" t="s">
        <v>103</v>
      </c>
      <c r="BL291" t="s">
        <v>290</v>
      </c>
      <c r="BM291" t="s">
        <v>6096</v>
      </c>
      <c r="BN291">
        <v>35042895</v>
      </c>
      <c r="BO291" t="s">
        <v>2639</v>
      </c>
      <c r="BP291" t="s">
        <v>74</v>
      </c>
      <c r="BQ291" t="s">
        <v>74</v>
      </c>
      <c r="BR291" t="s">
        <v>106</v>
      </c>
      <c r="BS291" t="s">
        <v>6097</v>
      </c>
      <c r="BT291" t="str">
        <f>HYPERLINK("https%3A%2F%2Fwww.webofscience.com%2Fwos%2Fwoscc%2Ffull-record%2FWOS:000744120000001","View Full Record in Web of Science")</f>
        <v>View Full Record in Web of Science</v>
      </c>
    </row>
    <row r="292" spans="1:72" x14ac:dyDescent="0.15">
      <c r="A292" t="s">
        <v>72</v>
      </c>
      <c r="B292" t="s">
        <v>6098</v>
      </c>
      <c r="C292" t="s">
        <v>74</v>
      </c>
      <c r="D292" t="s">
        <v>74</v>
      </c>
      <c r="E292" t="s">
        <v>74</v>
      </c>
      <c r="F292" t="s">
        <v>6099</v>
      </c>
      <c r="G292" t="s">
        <v>74</v>
      </c>
      <c r="H292" t="s">
        <v>74</v>
      </c>
      <c r="I292" t="s">
        <v>6100</v>
      </c>
      <c r="J292" t="s">
        <v>351</v>
      </c>
      <c r="K292" t="s">
        <v>74</v>
      </c>
      <c r="L292" t="s">
        <v>74</v>
      </c>
      <c r="M292" t="s">
        <v>78</v>
      </c>
      <c r="N292" t="s">
        <v>1113</v>
      </c>
      <c r="O292" t="s">
        <v>74</v>
      </c>
      <c r="P292" t="s">
        <v>74</v>
      </c>
      <c r="Q292" t="s">
        <v>74</v>
      </c>
      <c r="R292" t="s">
        <v>74</v>
      </c>
      <c r="S292" t="s">
        <v>74</v>
      </c>
      <c r="T292" t="s">
        <v>6101</v>
      </c>
      <c r="U292" t="s">
        <v>6102</v>
      </c>
      <c r="V292" t="s">
        <v>6103</v>
      </c>
      <c r="W292" t="s">
        <v>6104</v>
      </c>
      <c r="X292" t="s">
        <v>6105</v>
      </c>
      <c r="Y292" t="s">
        <v>6106</v>
      </c>
      <c r="Z292" t="s">
        <v>6107</v>
      </c>
      <c r="AA292" t="s">
        <v>74</v>
      </c>
      <c r="AB292" t="s">
        <v>6108</v>
      </c>
      <c r="AC292" t="s">
        <v>6109</v>
      </c>
      <c r="AD292" t="s">
        <v>6109</v>
      </c>
      <c r="AE292" t="s">
        <v>6110</v>
      </c>
      <c r="AF292" t="s">
        <v>74</v>
      </c>
      <c r="AG292">
        <v>73</v>
      </c>
      <c r="AH292">
        <v>6</v>
      </c>
      <c r="AI292">
        <v>6</v>
      </c>
      <c r="AJ292">
        <v>5</v>
      </c>
      <c r="AK292">
        <v>17</v>
      </c>
      <c r="AL292" t="s">
        <v>363</v>
      </c>
      <c r="AM292" t="s">
        <v>364</v>
      </c>
      <c r="AN292" t="s">
        <v>365</v>
      </c>
      <c r="AO292" t="s">
        <v>74</v>
      </c>
      <c r="AP292" t="s">
        <v>366</v>
      </c>
      <c r="AQ292" t="s">
        <v>74</v>
      </c>
      <c r="AR292" t="s">
        <v>367</v>
      </c>
      <c r="AS292" t="s">
        <v>368</v>
      </c>
      <c r="AT292" t="s">
        <v>6111</v>
      </c>
      <c r="AU292">
        <v>2022</v>
      </c>
      <c r="AV292">
        <v>8</v>
      </c>
      <c r="AW292" t="s">
        <v>74</v>
      </c>
      <c r="AX292" t="s">
        <v>74</v>
      </c>
      <c r="AY292" t="s">
        <v>74</v>
      </c>
      <c r="AZ292" t="s">
        <v>74</v>
      </c>
      <c r="BA292" t="s">
        <v>74</v>
      </c>
      <c r="BB292" t="s">
        <v>74</v>
      </c>
      <c r="BC292" t="s">
        <v>74</v>
      </c>
      <c r="BD292">
        <v>788724</v>
      </c>
      <c r="BE292" t="s">
        <v>6112</v>
      </c>
      <c r="BF292" t="str">
        <f>HYPERLINK("http://dx.doi.org/10.3389/fmars.2021.788724","http://dx.doi.org/10.3389/fmars.2021.788724")</f>
        <v>http://dx.doi.org/10.3389/fmars.2021.788724</v>
      </c>
      <c r="BG292" t="s">
        <v>74</v>
      </c>
      <c r="BH292" t="s">
        <v>74</v>
      </c>
      <c r="BI292">
        <v>14</v>
      </c>
      <c r="BJ292" t="s">
        <v>102</v>
      </c>
      <c r="BK292" t="s">
        <v>103</v>
      </c>
      <c r="BL292" t="s">
        <v>104</v>
      </c>
      <c r="BM292" t="s">
        <v>6113</v>
      </c>
      <c r="BN292" t="s">
        <v>74</v>
      </c>
      <c r="BO292" t="s">
        <v>445</v>
      </c>
      <c r="BP292" t="s">
        <v>74</v>
      </c>
      <c r="BQ292" t="s">
        <v>74</v>
      </c>
      <c r="BR292" t="s">
        <v>106</v>
      </c>
      <c r="BS292" t="s">
        <v>6114</v>
      </c>
      <c r="BT292" t="str">
        <f>HYPERLINK("https%3A%2F%2Fwww.webofscience.com%2Fwos%2Fwoscc%2Ffull-record%2FWOS:000802545700001","View Full Record in Web of Science")</f>
        <v>View Full Record in Web of Science</v>
      </c>
    </row>
    <row r="293" spans="1:72" x14ac:dyDescent="0.15">
      <c r="A293" t="s">
        <v>72</v>
      </c>
      <c r="B293" t="s">
        <v>6115</v>
      </c>
      <c r="C293" t="s">
        <v>74</v>
      </c>
      <c r="D293" t="s">
        <v>74</v>
      </c>
      <c r="E293" t="s">
        <v>74</v>
      </c>
      <c r="F293" t="s">
        <v>6116</v>
      </c>
      <c r="G293" t="s">
        <v>74</v>
      </c>
      <c r="H293" t="s">
        <v>74</v>
      </c>
      <c r="I293" t="s">
        <v>6117</v>
      </c>
      <c r="J293" t="s">
        <v>6118</v>
      </c>
      <c r="K293" t="s">
        <v>74</v>
      </c>
      <c r="L293" t="s">
        <v>74</v>
      </c>
      <c r="M293" t="s">
        <v>78</v>
      </c>
      <c r="N293" t="s">
        <v>79</v>
      </c>
      <c r="O293" t="s">
        <v>74</v>
      </c>
      <c r="P293" t="s">
        <v>74</v>
      </c>
      <c r="Q293" t="s">
        <v>74</v>
      </c>
      <c r="R293" t="s">
        <v>74</v>
      </c>
      <c r="S293" t="s">
        <v>74</v>
      </c>
      <c r="T293" t="s">
        <v>6119</v>
      </c>
      <c r="U293" t="s">
        <v>6120</v>
      </c>
      <c r="V293" t="s">
        <v>6121</v>
      </c>
      <c r="W293" t="s">
        <v>6122</v>
      </c>
      <c r="X293" t="s">
        <v>6123</v>
      </c>
      <c r="Y293" t="s">
        <v>6124</v>
      </c>
      <c r="Z293" t="s">
        <v>6125</v>
      </c>
      <c r="AA293" t="s">
        <v>6126</v>
      </c>
      <c r="AB293" t="s">
        <v>6127</v>
      </c>
      <c r="AC293" t="s">
        <v>6128</v>
      </c>
      <c r="AD293" t="s">
        <v>6129</v>
      </c>
      <c r="AE293" t="s">
        <v>6130</v>
      </c>
      <c r="AF293" t="s">
        <v>74</v>
      </c>
      <c r="AG293">
        <v>86</v>
      </c>
      <c r="AH293">
        <v>12</v>
      </c>
      <c r="AI293">
        <v>12</v>
      </c>
      <c r="AJ293">
        <v>2</v>
      </c>
      <c r="AK293">
        <v>27</v>
      </c>
      <c r="AL293" t="s">
        <v>1603</v>
      </c>
      <c r="AM293" t="s">
        <v>93</v>
      </c>
      <c r="AN293" t="s">
        <v>1604</v>
      </c>
      <c r="AO293" t="s">
        <v>6131</v>
      </c>
      <c r="AP293" t="s">
        <v>6132</v>
      </c>
      <c r="AQ293" t="s">
        <v>74</v>
      </c>
      <c r="AR293" t="s">
        <v>6133</v>
      </c>
      <c r="AS293" t="s">
        <v>6134</v>
      </c>
      <c r="AT293" t="s">
        <v>6111</v>
      </c>
      <c r="AU293">
        <v>2022</v>
      </c>
      <c r="AV293">
        <v>23</v>
      </c>
      <c r="AW293">
        <v>1</v>
      </c>
      <c r="AX293" t="s">
        <v>74</v>
      </c>
      <c r="AY293" t="s">
        <v>74</v>
      </c>
      <c r="AZ293" t="s">
        <v>74</v>
      </c>
      <c r="BA293" t="s">
        <v>74</v>
      </c>
      <c r="BB293" t="s">
        <v>74</v>
      </c>
      <c r="BC293" t="s">
        <v>74</v>
      </c>
      <c r="BD293" t="s">
        <v>6135</v>
      </c>
      <c r="BE293" t="s">
        <v>6136</v>
      </c>
      <c r="BF293" t="str">
        <f>HYPERLINK("http://dx.doi.org/10.1093/bib/bbab490","http://dx.doi.org/10.1093/bib/bbab490")</f>
        <v>http://dx.doi.org/10.1093/bib/bbab490</v>
      </c>
      <c r="BG293" t="s">
        <v>74</v>
      </c>
      <c r="BH293" t="s">
        <v>74</v>
      </c>
      <c r="BI293">
        <v>13</v>
      </c>
      <c r="BJ293" t="s">
        <v>6137</v>
      </c>
      <c r="BK293" t="s">
        <v>103</v>
      </c>
      <c r="BL293" t="s">
        <v>6138</v>
      </c>
      <c r="BM293" t="s">
        <v>6139</v>
      </c>
      <c r="BN293">
        <v>34864885</v>
      </c>
      <c r="BO293" t="s">
        <v>6140</v>
      </c>
      <c r="BP293" t="s">
        <v>74</v>
      </c>
      <c r="BQ293" t="s">
        <v>74</v>
      </c>
      <c r="BR293" t="s">
        <v>106</v>
      </c>
      <c r="BS293" t="s">
        <v>6141</v>
      </c>
      <c r="BT293" t="str">
        <f>HYPERLINK("https%3A%2F%2Fwww.webofscience.com%2Fwos%2Fwoscc%2Ffull-record%2FWOS:000763000800157","View Full Record in Web of Science")</f>
        <v>View Full Record in Web of Science</v>
      </c>
    </row>
    <row r="294" spans="1:72" x14ac:dyDescent="0.15">
      <c r="A294" t="s">
        <v>72</v>
      </c>
      <c r="B294" t="s">
        <v>6142</v>
      </c>
      <c r="C294" t="s">
        <v>74</v>
      </c>
      <c r="D294" t="s">
        <v>74</v>
      </c>
      <c r="E294" t="s">
        <v>74</v>
      </c>
      <c r="F294" t="s">
        <v>6143</v>
      </c>
      <c r="G294" t="s">
        <v>74</v>
      </c>
      <c r="H294" t="s">
        <v>74</v>
      </c>
      <c r="I294" t="s">
        <v>6144</v>
      </c>
      <c r="J294" t="s">
        <v>1137</v>
      </c>
      <c r="K294" t="s">
        <v>74</v>
      </c>
      <c r="L294" t="s">
        <v>74</v>
      </c>
      <c r="M294" t="s">
        <v>78</v>
      </c>
      <c r="N294" t="s">
        <v>79</v>
      </c>
      <c r="O294" t="s">
        <v>74</v>
      </c>
      <c r="P294" t="s">
        <v>74</v>
      </c>
      <c r="Q294" t="s">
        <v>74</v>
      </c>
      <c r="R294" t="s">
        <v>74</v>
      </c>
      <c r="S294" t="s">
        <v>74</v>
      </c>
      <c r="T294" t="s">
        <v>6145</v>
      </c>
      <c r="U294" t="s">
        <v>6146</v>
      </c>
      <c r="V294" t="s">
        <v>6147</v>
      </c>
      <c r="W294" t="s">
        <v>6148</v>
      </c>
      <c r="X294" t="s">
        <v>6149</v>
      </c>
      <c r="Y294" t="s">
        <v>6150</v>
      </c>
      <c r="Z294" t="s">
        <v>6151</v>
      </c>
      <c r="AA294" t="s">
        <v>74</v>
      </c>
      <c r="AB294" t="s">
        <v>6152</v>
      </c>
      <c r="AC294" t="s">
        <v>6153</v>
      </c>
      <c r="AD294" t="s">
        <v>6154</v>
      </c>
      <c r="AE294" t="s">
        <v>6155</v>
      </c>
      <c r="AF294" t="s">
        <v>74</v>
      </c>
      <c r="AG294">
        <v>74</v>
      </c>
      <c r="AH294">
        <v>2</v>
      </c>
      <c r="AI294">
        <v>2</v>
      </c>
      <c r="AJ294">
        <v>1</v>
      </c>
      <c r="AK294">
        <v>6</v>
      </c>
      <c r="AL294" t="s">
        <v>92</v>
      </c>
      <c r="AM294" t="s">
        <v>93</v>
      </c>
      <c r="AN294" t="s">
        <v>94</v>
      </c>
      <c r="AO294" t="s">
        <v>1149</v>
      </c>
      <c r="AP294" t="s">
        <v>1150</v>
      </c>
      <c r="AQ294" t="s">
        <v>74</v>
      </c>
      <c r="AR294" t="s">
        <v>1151</v>
      </c>
      <c r="AS294" t="s">
        <v>1152</v>
      </c>
      <c r="AT294" t="s">
        <v>889</v>
      </c>
      <c r="AU294">
        <v>2022</v>
      </c>
      <c r="AV294">
        <v>278</v>
      </c>
      <c r="AW294" t="s">
        <v>74</v>
      </c>
      <c r="AX294" t="s">
        <v>74</v>
      </c>
      <c r="AY294" t="s">
        <v>74</v>
      </c>
      <c r="AZ294" t="s">
        <v>74</v>
      </c>
      <c r="BA294" t="s">
        <v>74</v>
      </c>
      <c r="BB294" t="s">
        <v>74</v>
      </c>
      <c r="BC294" t="s">
        <v>74</v>
      </c>
      <c r="BD294">
        <v>107379</v>
      </c>
      <c r="BE294" t="s">
        <v>6156</v>
      </c>
      <c r="BF294" t="str">
        <f>HYPERLINK("http://dx.doi.org/10.1016/j.quascirev.2022.107379","http://dx.doi.org/10.1016/j.quascirev.2022.107379")</f>
        <v>http://dx.doi.org/10.1016/j.quascirev.2022.107379</v>
      </c>
      <c r="BG294" t="s">
        <v>74</v>
      </c>
      <c r="BH294" t="s">
        <v>4536</v>
      </c>
      <c r="BI294">
        <v>18</v>
      </c>
      <c r="BJ294" t="s">
        <v>208</v>
      </c>
      <c r="BK294" t="s">
        <v>103</v>
      </c>
      <c r="BL294" t="s">
        <v>209</v>
      </c>
      <c r="BM294" t="s">
        <v>5927</v>
      </c>
      <c r="BN294" t="s">
        <v>74</v>
      </c>
      <c r="BO294" t="s">
        <v>948</v>
      </c>
      <c r="BP294" t="s">
        <v>74</v>
      </c>
      <c r="BQ294" t="s">
        <v>74</v>
      </c>
      <c r="BR294" t="s">
        <v>106</v>
      </c>
      <c r="BS294" t="s">
        <v>6157</v>
      </c>
      <c r="BT294" t="str">
        <f>HYPERLINK("https%3A%2F%2Fwww.webofscience.com%2Fwos%2Fwoscc%2Ffull-record%2FWOS:000766911200015","View Full Record in Web of Science")</f>
        <v>View Full Record in Web of Science</v>
      </c>
    </row>
    <row r="295" spans="1:72" x14ac:dyDescent="0.15">
      <c r="A295" t="s">
        <v>72</v>
      </c>
      <c r="B295" t="s">
        <v>6158</v>
      </c>
      <c r="C295" t="s">
        <v>74</v>
      </c>
      <c r="D295" t="s">
        <v>74</v>
      </c>
      <c r="E295" t="s">
        <v>74</v>
      </c>
      <c r="F295" t="s">
        <v>6159</v>
      </c>
      <c r="G295" t="s">
        <v>74</v>
      </c>
      <c r="H295" t="s">
        <v>74</v>
      </c>
      <c r="I295" t="s">
        <v>6160</v>
      </c>
      <c r="J295" t="s">
        <v>6161</v>
      </c>
      <c r="K295" t="s">
        <v>74</v>
      </c>
      <c r="L295" t="s">
        <v>74</v>
      </c>
      <c r="M295" t="s">
        <v>78</v>
      </c>
      <c r="N295" t="s">
        <v>79</v>
      </c>
      <c r="O295" t="s">
        <v>74</v>
      </c>
      <c r="P295" t="s">
        <v>74</v>
      </c>
      <c r="Q295" t="s">
        <v>74</v>
      </c>
      <c r="R295" t="s">
        <v>74</v>
      </c>
      <c r="S295" t="s">
        <v>74</v>
      </c>
      <c r="T295" t="s">
        <v>6162</v>
      </c>
      <c r="U295" t="s">
        <v>6163</v>
      </c>
      <c r="V295" t="s">
        <v>6164</v>
      </c>
      <c r="W295" t="s">
        <v>6165</v>
      </c>
      <c r="X295" t="s">
        <v>6166</v>
      </c>
      <c r="Y295" t="s">
        <v>6167</v>
      </c>
      <c r="Z295" t="s">
        <v>6168</v>
      </c>
      <c r="AA295" t="s">
        <v>6169</v>
      </c>
      <c r="AB295" t="s">
        <v>6170</v>
      </c>
      <c r="AC295" t="s">
        <v>6171</v>
      </c>
      <c r="AD295" t="s">
        <v>5615</v>
      </c>
      <c r="AE295" t="s">
        <v>6172</v>
      </c>
      <c r="AF295" t="s">
        <v>74</v>
      </c>
      <c r="AG295">
        <v>80</v>
      </c>
      <c r="AH295">
        <v>2</v>
      </c>
      <c r="AI295">
        <v>2</v>
      </c>
      <c r="AJ295">
        <v>5</v>
      </c>
      <c r="AK295">
        <v>36</v>
      </c>
      <c r="AL295" t="s">
        <v>92</v>
      </c>
      <c r="AM295" t="s">
        <v>93</v>
      </c>
      <c r="AN295" t="s">
        <v>94</v>
      </c>
      <c r="AO295" t="s">
        <v>6173</v>
      </c>
      <c r="AP295" t="s">
        <v>6174</v>
      </c>
      <c r="AQ295" t="s">
        <v>74</v>
      </c>
      <c r="AR295" t="s">
        <v>6161</v>
      </c>
      <c r="AS295" t="s">
        <v>6175</v>
      </c>
      <c r="AT295" t="s">
        <v>99</v>
      </c>
      <c r="AU295">
        <v>2022</v>
      </c>
      <c r="AV295">
        <v>291</v>
      </c>
      <c r="AW295" t="s">
        <v>74</v>
      </c>
      <c r="AX295">
        <v>1</v>
      </c>
      <c r="AY295" t="s">
        <v>74</v>
      </c>
      <c r="AZ295" t="s">
        <v>74</v>
      </c>
      <c r="BA295" t="s">
        <v>74</v>
      </c>
      <c r="BB295" t="s">
        <v>74</v>
      </c>
      <c r="BC295" t="s">
        <v>74</v>
      </c>
      <c r="BD295">
        <v>132748</v>
      </c>
      <c r="BE295" t="s">
        <v>6176</v>
      </c>
      <c r="BF295" t="str">
        <f>HYPERLINK("http://dx.doi.org/10.1016/j.chemosphere.2021.132748","http://dx.doi.org/10.1016/j.chemosphere.2021.132748")</f>
        <v>http://dx.doi.org/10.1016/j.chemosphere.2021.132748</v>
      </c>
      <c r="BG295" t="s">
        <v>74</v>
      </c>
      <c r="BH295" t="s">
        <v>4536</v>
      </c>
      <c r="BI295">
        <v>12</v>
      </c>
      <c r="BJ295" t="s">
        <v>1560</v>
      </c>
      <c r="BK295" t="s">
        <v>103</v>
      </c>
      <c r="BL295" t="s">
        <v>1561</v>
      </c>
      <c r="BM295" t="s">
        <v>6177</v>
      </c>
      <c r="BN295">
        <v>34736939</v>
      </c>
      <c r="BO295" t="s">
        <v>74</v>
      </c>
      <c r="BP295" t="s">
        <v>74</v>
      </c>
      <c r="BQ295" t="s">
        <v>74</v>
      </c>
      <c r="BR295" t="s">
        <v>106</v>
      </c>
      <c r="BS295" t="s">
        <v>6178</v>
      </c>
      <c r="BT295" t="str">
        <f>HYPERLINK("https%3A%2F%2Fwww.webofscience.com%2Fwos%2Fwoscc%2Ffull-record%2FWOS:000757884800005","View Full Record in Web of Science")</f>
        <v>View Full Record in Web of Science</v>
      </c>
    </row>
    <row r="296" spans="1:72" x14ac:dyDescent="0.15">
      <c r="A296" t="s">
        <v>72</v>
      </c>
      <c r="B296" t="s">
        <v>6179</v>
      </c>
      <c r="C296" t="s">
        <v>74</v>
      </c>
      <c r="D296" t="s">
        <v>74</v>
      </c>
      <c r="E296" t="s">
        <v>74</v>
      </c>
      <c r="F296" t="s">
        <v>6180</v>
      </c>
      <c r="G296" t="s">
        <v>74</v>
      </c>
      <c r="H296" t="s">
        <v>74</v>
      </c>
      <c r="I296" t="s">
        <v>6181</v>
      </c>
      <c r="J296" t="s">
        <v>6182</v>
      </c>
      <c r="K296" t="s">
        <v>74</v>
      </c>
      <c r="L296" t="s">
        <v>74</v>
      </c>
      <c r="M296" t="s">
        <v>78</v>
      </c>
      <c r="N296" t="s">
        <v>79</v>
      </c>
      <c r="O296" t="s">
        <v>74</v>
      </c>
      <c r="P296" t="s">
        <v>74</v>
      </c>
      <c r="Q296" t="s">
        <v>74</v>
      </c>
      <c r="R296" t="s">
        <v>74</v>
      </c>
      <c r="S296" t="s">
        <v>74</v>
      </c>
      <c r="T296" t="s">
        <v>74</v>
      </c>
      <c r="U296" t="s">
        <v>6183</v>
      </c>
      <c r="V296" t="s">
        <v>6184</v>
      </c>
      <c r="W296" t="s">
        <v>6185</v>
      </c>
      <c r="X296" t="s">
        <v>6186</v>
      </c>
      <c r="Y296" t="s">
        <v>6187</v>
      </c>
      <c r="Z296" t="s">
        <v>6188</v>
      </c>
      <c r="AA296" t="s">
        <v>6189</v>
      </c>
      <c r="AB296" t="s">
        <v>74</v>
      </c>
      <c r="AC296" t="s">
        <v>6190</v>
      </c>
      <c r="AD296" t="s">
        <v>6191</v>
      </c>
      <c r="AE296" t="s">
        <v>6192</v>
      </c>
      <c r="AF296" t="s">
        <v>74</v>
      </c>
      <c r="AG296">
        <v>58</v>
      </c>
      <c r="AH296">
        <v>0</v>
      </c>
      <c r="AI296">
        <v>0</v>
      </c>
      <c r="AJ296">
        <v>1</v>
      </c>
      <c r="AK296">
        <v>18</v>
      </c>
      <c r="AL296" t="s">
        <v>4587</v>
      </c>
      <c r="AM296" t="s">
        <v>4588</v>
      </c>
      <c r="AN296" t="s">
        <v>4589</v>
      </c>
      <c r="AO296" t="s">
        <v>6193</v>
      </c>
      <c r="AP296" t="s">
        <v>6194</v>
      </c>
      <c r="AQ296" t="s">
        <v>74</v>
      </c>
      <c r="AR296" t="s">
        <v>6195</v>
      </c>
      <c r="AS296" t="s">
        <v>6196</v>
      </c>
      <c r="AT296" t="s">
        <v>6111</v>
      </c>
      <c r="AU296">
        <v>2022</v>
      </c>
      <c r="AV296">
        <v>43</v>
      </c>
      <c r="AW296">
        <v>2</v>
      </c>
      <c r="AX296" t="s">
        <v>74</v>
      </c>
      <c r="AY296" t="s">
        <v>74</v>
      </c>
      <c r="AZ296" t="s">
        <v>74</v>
      </c>
      <c r="BA296" t="s">
        <v>74</v>
      </c>
      <c r="BB296">
        <v>510</v>
      </c>
      <c r="BC296">
        <v>531</v>
      </c>
      <c r="BD296" t="s">
        <v>74</v>
      </c>
      <c r="BE296" t="s">
        <v>6197</v>
      </c>
      <c r="BF296" t="str">
        <f>HYPERLINK("http://dx.doi.org/10.1080/01431161.2021.2019848","http://dx.doi.org/10.1080/01431161.2021.2019848")</f>
        <v>http://dx.doi.org/10.1080/01431161.2021.2019848</v>
      </c>
      <c r="BG296" t="s">
        <v>74</v>
      </c>
      <c r="BH296" t="s">
        <v>74</v>
      </c>
      <c r="BI296">
        <v>22</v>
      </c>
      <c r="BJ296" t="s">
        <v>6198</v>
      </c>
      <c r="BK296" t="s">
        <v>103</v>
      </c>
      <c r="BL296" t="s">
        <v>6198</v>
      </c>
      <c r="BM296" t="s">
        <v>6199</v>
      </c>
      <c r="BN296" t="s">
        <v>74</v>
      </c>
      <c r="BO296" t="s">
        <v>74</v>
      </c>
      <c r="BP296" t="s">
        <v>74</v>
      </c>
      <c r="BQ296" t="s">
        <v>74</v>
      </c>
      <c r="BR296" t="s">
        <v>106</v>
      </c>
      <c r="BS296" t="s">
        <v>6200</v>
      </c>
      <c r="BT296" t="str">
        <f>HYPERLINK("https%3A%2F%2Fwww.webofscience.com%2Fwos%2Fwoscc%2Ffull-record%2FWOS:000741733500001","View Full Record in Web of Science")</f>
        <v>View Full Record in Web of Science</v>
      </c>
    </row>
    <row r="297" spans="1:72" x14ac:dyDescent="0.15">
      <c r="A297" t="s">
        <v>72</v>
      </c>
      <c r="B297" t="s">
        <v>6201</v>
      </c>
      <c r="C297" t="s">
        <v>74</v>
      </c>
      <c r="D297" t="s">
        <v>74</v>
      </c>
      <c r="E297" t="s">
        <v>74</v>
      </c>
      <c r="F297" t="s">
        <v>6202</v>
      </c>
      <c r="G297" t="s">
        <v>74</v>
      </c>
      <c r="H297" t="s">
        <v>74</v>
      </c>
      <c r="I297" t="s">
        <v>6203</v>
      </c>
      <c r="J297" t="s">
        <v>620</v>
      </c>
      <c r="K297" t="s">
        <v>74</v>
      </c>
      <c r="L297" t="s">
        <v>74</v>
      </c>
      <c r="M297" t="s">
        <v>78</v>
      </c>
      <c r="N297" t="s">
        <v>79</v>
      </c>
      <c r="O297" t="s">
        <v>74</v>
      </c>
      <c r="P297" t="s">
        <v>74</v>
      </c>
      <c r="Q297" t="s">
        <v>74</v>
      </c>
      <c r="R297" t="s">
        <v>74</v>
      </c>
      <c r="S297" t="s">
        <v>74</v>
      </c>
      <c r="T297" t="s">
        <v>6204</v>
      </c>
      <c r="U297" t="s">
        <v>6205</v>
      </c>
      <c r="V297" t="s">
        <v>6206</v>
      </c>
      <c r="W297" t="s">
        <v>6207</v>
      </c>
      <c r="X297" t="s">
        <v>6208</v>
      </c>
      <c r="Y297" t="s">
        <v>6209</v>
      </c>
      <c r="Z297" t="s">
        <v>6210</v>
      </c>
      <c r="AA297" t="s">
        <v>6211</v>
      </c>
      <c r="AB297" t="s">
        <v>6212</v>
      </c>
      <c r="AC297" t="s">
        <v>6213</v>
      </c>
      <c r="AD297" t="s">
        <v>6213</v>
      </c>
      <c r="AE297" t="s">
        <v>6214</v>
      </c>
      <c r="AF297" t="s">
        <v>74</v>
      </c>
      <c r="AG297">
        <v>66</v>
      </c>
      <c r="AH297">
        <v>10</v>
      </c>
      <c r="AI297">
        <v>11</v>
      </c>
      <c r="AJ297">
        <v>0</v>
      </c>
      <c r="AK297">
        <v>7</v>
      </c>
      <c r="AL297" t="s">
        <v>605</v>
      </c>
      <c r="AM297" t="s">
        <v>606</v>
      </c>
      <c r="AN297" t="s">
        <v>607</v>
      </c>
      <c r="AO297" t="s">
        <v>633</v>
      </c>
      <c r="AP297" t="s">
        <v>634</v>
      </c>
      <c r="AQ297" t="s">
        <v>74</v>
      </c>
      <c r="AR297" t="s">
        <v>635</v>
      </c>
      <c r="AS297" t="s">
        <v>636</v>
      </c>
      <c r="AT297" t="s">
        <v>6215</v>
      </c>
      <c r="AU297">
        <v>2022</v>
      </c>
      <c r="AV297">
        <v>49</v>
      </c>
      <c r="AW297">
        <v>1</v>
      </c>
      <c r="AX297" t="s">
        <v>74</v>
      </c>
      <c r="AY297" t="s">
        <v>74</v>
      </c>
      <c r="AZ297" t="s">
        <v>74</v>
      </c>
      <c r="BA297" t="s">
        <v>74</v>
      </c>
      <c r="BB297" t="s">
        <v>74</v>
      </c>
      <c r="BC297" t="s">
        <v>74</v>
      </c>
      <c r="BD297" t="s">
        <v>6216</v>
      </c>
      <c r="BE297" t="s">
        <v>6217</v>
      </c>
      <c r="BF297" t="str">
        <f>HYPERLINK("http://dx.doi.org/10.1029/2021GL096156","http://dx.doi.org/10.1029/2021GL096156")</f>
        <v>http://dx.doi.org/10.1029/2021GL096156</v>
      </c>
      <c r="BG297" t="s">
        <v>74</v>
      </c>
      <c r="BH297" t="s">
        <v>74</v>
      </c>
      <c r="BI297">
        <v>11</v>
      </c>
      <c r="BJ297" t="s">
        <v>151</v>
      </c>
      <c r="BK297" t="s">
        <v>103</v>
      </c>
      <c r="BL297" t="s">
        <v>152</v>
      </c>
      <c r="BM297" t="s">
        <v>6218</v>
      </c>
      <c r="BN297" t="s">
        <v>74</v>
      </c>
      <c r="BO297" t="s">
        <v>3307</v>
      </c>
      <c r="BP297" t="s">
        <v>74</v>
      </c>
      <c r="BQ297" t="s">
        <v>74</v>
      </c>
      <c r="BR297" t="s">
        <v>106</v>
      </c>
      <c r="BS297" t="s">
        <v>6219</v>
      </c>
      <c r="BT297" t="str">
        <f>HYPERLINK("https%3A%2F%2Fwww.webofscience.com%2Fwos%2Fwoscc%2Ffull-record%2FWOS:000743989800003","View Full Record in Web of Science")</f>
        <v>View Full Record in Web of Science</v>
      </c>
    </row>
    <row r="298" spans="1:72" x14ac:dyDescent="0.15">
      <c r="A298" t="s">
        <v>72</v>
      </c>
      <c r="B298" t="s">
        <v>6220</v>
      </c>
      <c r="C298" t="s">
        <v>74</v>
      </c>
      <c r="D298" t="s">
        <v>74</v>
      </c>
      <c r="E298" t="s">
        <v>74</v>
      </c>
      <c r="F298" t="s">
        <v>6221</v>
      </c>
      <c r="G298" t="s">
        <v>74</v>
      </c>
      <c r="H298" t="s">
        <v>74</v>
      </c>
      <c r="I298" t="s">
        <v>6222</v>
      </c>
      <c r="J298" t="s">
        <v>1063</v>
      </c>
      <c r="K298" t="s">
        <v>74</v>
      </c>
      <c r="L298" t="s">
        <v>74</v>
      </c>
      <c r="M298" t="s">
        <v>78</v>
      </c>
      <c r="N298" t="s">
        <v>79</v>
      </c>
      <c r="O298" t="s">
        <v>74</v>
      </c>
      <c r="P298" t="s">
        <v>74</v>
      </c>
      <c r="Q298" t="s">
        <v>74</v>
      </c>
      <c r="R298" t="s">
        <v>74</v>
      </c>
      <c r="S298" t="s">
        <v>74</v>
      </c>
      <c r="T298" t="s">
        <v>6223</v>
      </c>
      <c r="U298" t="s">
        <v>6224</v>
      </c>
      <c r="V298" t="s">
        <v>6225</v>
      </c>
      <c r="W298" t="s">
        <v>6226</v>
      </c>
      <c r="X298" t="s">
        <v>6227</v>
      </c>
      <c r="Y298" t="s">
        <v>6228</v>
      </c>
      <c r="Z298" t="s">
        <v>6229</v>
      </c>
      <c r="AA298" t="s">
        <v>5882</v>
      </c>
      <c r="AB298" t="s">
        <v>5883</v>
      </c>
      <c r="AC298" t="s">
        <v>6230</v>
      </c>
      <c r="AD298" t="s">
        <v>6231</v>
      </c>
      <c r="AE298" t="s">
        <v>6232</v>
      </c>
      <c r="AF298" t="s">
        <v>74</v>
      </c>
      <c r="AG298">
        <v>26</v>
      </c>
      <c r="AH298">
        <v>0</v>
      </c>
      <c r="AI298">
        <v>1</v>
      </c>
      <c r="AJ298">
        <v>0</v>
      </c>
      <c r="AK298">
        <v>13</v>
      </c>
      <c r="AL298" t="s">
        <v>1074</v>
      </c>
      <c r="AM298" t="s">
        <v>506</v>
      </c>
      <c r="AN298" t="s">
        <v>1075</v>
      </c>
      <c r="AO298" t="s">
        <v>1076</v>
      </c>
      <c r="AP298" t="s">
        <v>1077</v>
      </c>
      <c r="AQ298" t="s">
        <v>74</v>
      </c>
      <c r="AR298" t="s">
        <v>1078</v>
      </c>
      <c r="AS298" t="s">
        <v>1079</v>
      </c>
      <c r="AT298" t="s">
        <v>99</v>
      </c>
      <c r="AU298">
        <v>2022</v>
      </c>
      <c r="AV298">
        <v>45</v>
      </c>
      <c r="AW298">
        <v>3</v>
      </c>
      <c r="AX298" t="s">
        <v>74</v>
      </c>
      <c r="AY298" t="s">
        <v>74</v>
      </c>
      <c r="AZ298" t="s">
        <v>74</v>
      </c>
      <c r="BA298" t="s">
        <v>74</v>
      </c>
      <c r="BB298">
        <v>513</v>
      </c>
      <c r="BC298">
        <v>518</v>
      </c>
      <c r="BD298" t="s">
        <v>74</v>
      </c>
      <c r="BE298" t="s">
        <v>6233</v>
      </c>
      <c r="BF298" t="str">
        <f>HYPERLINK("http://dx.doi.org/10.1007/s00300-021-02988-0","http://dx.doi.org/10.1007/s00300-021-02988-0")</f>
        <v>http://dx.doi.org/10.1007/s00300-021-02988-0</v>
      </c>
      <c r="BG298" t="s">
        <v>74</v>
      </c>
      <c r="BH298" t="s">
        <v>4536</v>
      </c>
      <c r="BI298">
        <v>6</v>
      </c>
      <c r="BJ298" t="s">
        <v>1081</v>
      </c>
      <c r="BK298" t="s">
        <v>103</v>
      </c>
      <c r="BL298" t="s">
        <v>1082</v>
      </c>
      <c r="BM298" t="s">
        <v>4273</v>
      </c>
      <c r="BN298" t="s">
        <v>74</v>
      </c>
      <c r="BO298" t="s">
        <v>74</v>
      </c>
      <c r="BP298" t="s">
        <v>74</v>
      </c>
      <c r="BQ298" t="s">
        <v>74</v>
      </c>
      <c r="BR298" t="s">
        <v>106</v>
      </c>
      <c r="BS298" t="s">
        <v>6234</v>
      </c>
      <c r="BT298" t="str">
        <f>HYPERLINK("https%3A%2F%2Fwww.webofscience.com%2Fwos%2Fwoscc%2Ffull-record%2FWOS:000742789900002","View Full Record in Web of Science")</f>
        <v>View Full Record in Web of Science</v>
      </c>
    </row>
    <row r="299" spans="1:72" x14ac:dyDescent="0.15">
      <c r="A299" t="s">
        <v>72</v>
      </c>
      <c r="B299" t="s">
        <v>6235</v>
      </c>
      <c r="C299" t="s">
        <v>74</v>
      </c>
      <c r="D299" t="s">
        <v>74</v>
      </c>
      <c r="E299" t="s">
        <v>74</v>
      </c>
      <c r="F299" t="s">
        <v>6236</v>
      </c>
      <c r="G299" t="s">
        <v>74</v>
      </c>
      <c r="H299" t="s">
        <v>74</v>
      </c>
      <c r="I299" t="s">
        <v>6237</v>
      </c>
      <c r="J299" t="s">
        <v>592</v>
      </c>
      <c r="K299" t="s">
        <v>74</v>
      </c>
      <c r="L299" t="s">
        <v>74</v>
      </c>
      <c r="M299" t="s">
        <v>78</v>
      </c>
      <c r="N299" t="s">
        <v>79</v>
      </c>
      <c r="O299" t="s">
        <v>74</v>
      </c>
      <c r="P299" t="s">
        <v>74</v>
      </c>
      <c r="Q299" t="s">
        <v>74</v>
      </c>
      <c r="R299" t="s">
        <v>74</v>
      </c>
      <c r="S299" t="s">
        <v>74</v>
      </c>
      <c r="T299" t="s">
        <v>74</v>
      </c>
      <c r="U299" t="s">
        <v>6238</v>
      </c>
      <c r="V299" t="s">
        <v>6239</v>
      </c>
      <c r="W299" t="s">
        <v>6240</v>
      </c>
      <c r="X299" t="s">
        <v>6241</v>
      </c>
      <c r="Y299" t="s">
        <v>6242</v>
      </c>
      <c r="Z299" t="s">
        <v>6243</v>
      </c>
      <c r="AA299" t="s">
        <v>74</v>
      </c>
      <c r="AB299" t="s">
        <v>6244</v>
      </c>
      <c r="AC299" t="s">
        <v>6245</v>
      </c>
      <c r="AD299" t="s">
        <v>6246</v>
      </c>
      <c r="AE299" t="s">
        <v>6247</v>
      </c>
      <c r="AF299" t="s">
        <v>74</v>
      </c>
      <c r="AG299">
        <v>86</v>
      </c>
      <c r="AH299">
        <v>0</v>
      </c>
      <c r="AI299">
        <v>0</v>
      </c>
      <c r="AJ299">
        <v>1</v>
      </c>
      <c r="AK299">
        <v>26</v>
      </c>
      <c r="AL299" t="s">
        <v>605</v>
      </c>
      <c r="AM299" t="s">
        <v>606</v>
      </c>
      <c r="AN299" t="s">
        <v>607</v>
      </c>
      <c r="AO299" t="s">
        <v>608</v>
      </c>
      <c r="AP299" t="s">
        <v>609</v>
      </c>
      <c r="AQ299" t="s">
        <v>74</v>
      </c>
      <c r="AR299" t="s">
        <v>610</v>
      </c>
      <c r="AS299" t="s">
        <v>611</v>
      </c>
      <c r="AT299" t="s">
        <v>6215</v>
      </c>
      <c r="AU299">
        <v>2022</v>
      </c>
      <c r="AV299">
        <v>127</v>
      </c>
      <c r="AW299">
        <v>1</v>
      </c>
      <c r="AX299" t="s">
        <v>74</v>
      </c>
      <c r="AY299" t="s">
        <v>74</v>
      </c>
      <c r="AZ299" t="s">
        <v>74</v>
      </c>
      <c r="BA299" t="s">
        <v>74</v>
      </c>
      <c r="BB299" t="s">
        <v>74</v>
      </c>
      <c r="BC299" t="s">
        <v>74</v>
      </c>
      <c r="BD299" t="s">
        <v>6248</v>
      </c>
      <c r="BE299" t="s">
        <v>6249</v>
      </c>
      <c r="BF299" t="str">
        <f>HYPERLINK("http://dx.doi.org/10.1029/2021JDO36087","http://dx.doi.org/10.1029/2021JDO36087")</f>
        <v>http://dx.doi.org/10.1029/2021JDO36087</v>
      </c>
      <c r="BG299" t="s">
        <v>74</v>
      </c>
      <c r="BH299" t="s">
        <v>74</v>
      </c>
      <c r="BI299">
        <v>13</v>
      </c>
      <c r="BJ299" t="s">
        <v>514</v>
      </c>
      <c r="BK299" t="s">
        <v>103</v>
      </c>
      <c r="BL299" t="s">
        <v>514</v>
      </c>
      <c r="BM299" t="s">
        <v>6250</v>
      </c>
      <c r="BN299" t="s">
        <v>74</v>
      </c>
      <c r="BO299" t="s">
        <v>74</v>
      </c>
      <c r="BP299" t="s">
        <v>74</v>
      </c>
      <c r="BQ299" t="s">
        <v>74</v>
      </c>
      <c r="BR299" t="s">
        <v>106</v>
      </c>
      <c r="BS299" t="s">
        <v>6251</v>
      </c>
      <c r="BT299" t="str">
        <f>HYPERLINK("https%3A%2F%2Fwww.webofscience.com%2Fwos%2Fwoscc%2Ffull-record%2FWOS:000740960900014","View Full Record in Web of Science")</f>
        <v>View Full Record in Web of Science</v>
      </c>
    </row>
    <row r="300" spans="1:72" x14ac:dyDescent="0.15">
      <c r="A300" t="s">
        <v>72</v>
      </c>
      <c r="B300" t="s">
        <v>6252</v>
      </c>
      <c r="C300" t="s">
        <v>74</v>
      </c>
      <c r="D300" t="s">
        <v>74</v>
      </c>
      <c r="E300" t="s">
        <v>74</v>
      </c>
      <c r="F300" t="s">
        <v>6253</v>
      </c>
      <c r="G300" t="s">
        <v>74</v>
      </c>
      <c r="H300" t="s">
        <v>74</v>
      </c>
      <c r="I300" t="s">
        <v>6254</v>
      </c>
      <c r="J300" t="s">
        <v>6255</v>
      </c>
      <c r="K300" t="s">
        <v>74</v>
      </c>
      <c r="L300" t="s">
        <v>74</v>
      </c>
      <c r="M300" t="s">
        <v>78</v>
      </c>
      <c r="N300" t="s">
        <v>79</v>
      </c>
      <c r="O300" t="s">
        <v>74</v>
      </c>
      <c r="P300" t="s">
        <v>74</v>
      </c>
      <c r="Q300" t="s">
        <v>74</v>
      </c>
      <c r="R300" t="s">
        <v>74</v>
      </c>
      <c r="S300" t="s">
        <v>74</v>
      </c>
      <c r="T300" t="s">
        <v>6256</v>
      </c>
      <c r="U300" t="s">
        <v>6257</v>
      </c>
      <c r="V300" t="s">
        <v>6258</v>
      </c>
      <c r="W300" t="s">
        <v>6259</v>
      </c>
      <c r="X300" t="s">
        <v>6260</v>
      </c>
      <c r="Y300" t="s">
        <v>6261</v>
      </c>
      <c r="Z300" t="s">
        <v>6262</v>
      </c>
      <c r="AA300" t="s">
        <v>6263</v>
      </c>
      <c r="AB300" t="s">
        <v>6264</v>
      </c>
      <c r="AC300" t="s">
        <v>6265</v>
      </c>
      <c r="AD300" t="s">
        <v>6266</v>
      </c>
      <c r="AE300" t="s">
        <v>6267</v>
      </c>
      <c r="AF300" t="s">
        <v>74</v>
      </c>
      <c r="AG300">
        <v>66</v>
      </c>
      <c r="AH300">
        <v>1</v>
      </c>
      <c r="AI300">
        <v>1</v>
      </c>
      <c r="AJ300">
        <v>5</v>
      </c>
      <c r="AK300">
        <v>14</v>
      </c>
      <c r="AL300" t="s">
        <v>310</v>
      </c>
      <c r="AM300" t="s">
        <v>311</v>
      </c>
      <c r="AN300" t="s">
        <v>312</v>
      </c>
      <c r="AO300" t="s">
        <v>6268</v>
      </c>
      <c r="AP300" t="s">
        <v>6269</v>
      </c>
      <c r="AQ300" t="s">
        <v>74</v>
      </c>
      <c r="AR300" t="s">
        <v>6270</v>
      </c>
      <c r="AS300" t="s">
        <v>6271</v>
      </c>
      <c r="AT300" t="s">
        <v>6272</v>
      </c>
      <c r="AU300">
        <v>2022</v>
      </c>
      <c r="AV300">
        <v>578</v>
      </c>
      <c r="AW300" t="s">
        <v>74</v>
      </c>
      <c r="AX300" t="s">
        <v>74</v>
      </c>
      <c r="AY300" t="s">
        <v>74</v>
      </c>
      <c r="AZ300" t="s">
        <v>74</v>
      </c>
      <c r="BA300" t="s">
        <v>74</v>
      </c>
      <c r="BB300" t="s">
        <v>74</v>
      </c>
      <c r="BC300" t="s">
        <v>74</v>
      </c>
      <c r="BD300">
        <v>117299</v>
      </c>
      <c r="BE300" t="s">
        <v>6273</v>
      </c>
      <c r="BF300" t="str">
        <f>HYPERLINK("http://dx.doi.org/10.1016/j.epsl.2021.117299","http://dx.doi.org/10.1016/j.epsl.2021.117299")</f>
        <v>http://dx.doi.org/10.1016/j.epsl.2021.117299</v>
      </c>
      <c r="BG300" t="s">
        <v>74</v>
      </c>
      <c r="BH300" t="s">
        <v>74</v>
      </c>
      <c r="BI300">
        <v>10</v>
      </c>
      <c r="BJ300" t="s">
        <v>1014</v>
      </c>
      <c r="BK300" t="s">
        <v>103</v>
      </c>
      <c r="BL300" t="s">
        <v>1014</v>
      </c>
      <c r="BM300" t="s">
        <v>6274</v>
      </c>
      <c r="BN300" t="s">
        <v>74</v>
      </c>
      <c r="BO300" t="s">
        <v>948</v>
      </c>
      <c r="BP300" t="s">
        <v>74</v>
      </c>
      <c r="BQ300" t="s">
        <v>74</v>
      </c>
      <c r="BR300" t="s">
        <v>106</v>
      </c>
      <c r="BS300" t="s">
        <v>6275</v>
      </c>
      <c r="BT300" t="str">
        <f>HYPERLINK("https%3A%2F%2Fwww.webofscience.com%2Fwos%2Fwoscc%2Ffull-record%2FWOS:000837878700001","View Full Record in Web of Science")</f>
        <v>View Full Record in Web of Science</v>
      </c>
    </row>
    <row r="301" spans="1:72" x14ac:dyDescent="0.15">
      <c r="A301" t="s">
        <v>72</v>
      </c>
      <c r="B301" t="s">
        <v>6276</v>
      </c>
      <c r="C301" t="s">
        <v>74</v>
      </c>
      <c r="D301" t="s">
        <v>74</v>
      </c>
      <c r="E301" t="s">
        <v>74</v>
      </c>
      <c r="F301" t="s">
        <v>6277</v>
      </c>
      <c r="G301" t="s">
        <v>74</v>
      </c>
      <c r="H301" t="s">
        <v>74</v>
      </c>
      <c r="I301" t="s">
        <v>6278</v>
      </c>
      <c r="J301" t="s">
        <v>6279</v>
      </c>
      <c r="K301" t="s">
        <v>74</v>
      </c>
      <c r="L301" t="s">
        <v>74</v>
      </c>
      <c r="M301" t="s">
        <v>78</v>
      </c>
      <c r="N301" t="s">
        <v>79</v>
      </c>
      <c r="O301" t="s">
        <v>74</v>
      </c>
      <c r="P301" t="s">
        <v>74</v>
      </c>
      <c r="Q301" t="s">
        <v>74</v>
      </c>
      <c r="R301" t="s">
        <v>74</v>
      </c>
      <c r="S301" t="s">
        <v>74</v>
      </c>
      <c r="T301" t="s">
        <v>6280</v>
      </c>
      <c r="U301" t="s">
        <v>6281</v>
      </c>
      <c r="V301" t="s">
        <v>6282</v>
      </c>
      <c r="W301" t="s">
        <v>6283</v>
      </c>
      <c r="X301" t="s">
        <v>6284</v>
      </c>
      <c r="Y301" t="s">
        <v>6285</v>
      </c>
      <c r="Z301" t="s">
        <v>6286</v>
      </c>
      <c r="AA301" t="s">
        <v>74</v>
      </c>
      <c r="AB301" t="s">
        <v>6287</v>
      </c>
      <c r="AC301" t="s">
        <v>6288</v>
      </c>
      <c r="AD301" t="s">
        <v>6289</v>
      </c>
      <c r="AE301" t="s">
        <v>6290</v>
      </c>
      <c r="AF301" t="s">
        <v>74</v>
      </c>
      <c r="AG301">
        <v>89</v>
      </c>
      <c r="AH301">
        <v>5</v>
      </c>
      <c r="AI301">
        <v>5</v>
      </c>
      <c r="AJ301">
        <v>2</v>
      </c>
      <c r="AK301">
        <v>12</v>
      </c>
      <c r="AL301" t="s">
        <v>310</v>
      </c>
      <c r="AM301" t="s">
        <v>311</v>
      </c>
      <c r="AN301" t="s">
        <v>312</v>
      </c>
      <c r="AO301" t="s">
        <v>6291</v>
      </c>
      <c r="AP301" t="s">
        <v>6292</v>
      </c>
      <c r="AQ301" t="s">
        <v>74</v>
      </c>
      <c r="AR301" t="s">
        <v>6293</v>
      </c>
      <c r="AS301" t="s">
        <v>6294</v>
      </c>
      <c r="AT301" t="s">
        <v>6272</v>
      </c>
      <c r="AU301">
        <v>2022</v>
      </c>
      <c r="AV301">
        <v>586</v>
      </c>
      <c r="AW301" t="s">
        <v>74</v>
      </c>
      <c r="AX301" t="s">
        <v>74</v>
      </c>
      <c r="AY301" t="s">
        <v>74</v>
      </c>
      <c r="AZ301" t="s">
        <v>74</v>
      </c>
      <c r="BA301" t="s">
        <v>74</v>
      </c>
      <c r="BB301" t="s">
        <v>74</v>
      </c>
      <c r="BC301" t="s">
        <v>74</v>
      </c>
      <c r="BD301">
        <v>110766</v>
      </c>
      <c r="BE301" t="s">
        <v>6295</v>
      </c>
      <c r="BF301" t="str">
        <f>HYPERLINK("http://dx.doi.org/10.1016/j.palaeo.2021.110766","http://dx.doi.org/10.1016/j.palaeo.2021.110766")</f>
        <v>http://dx.doi.org/10.1016/j.palaeo.2021.110766</v>
      </c>
      <c r="BG301" t="s">
        <v>74</v>
      </c>
      <c r="BH301" t="s">
        <v>74</v>
      </c>
      <c r="BI301">
        <v>9</v>
      </c>
      <c r="BJ301" t="s">
        <v>6296</v>
      </c>
      <c r="BK301" t="s">
        <v>103</v>
      </c>
      <c r="BL301" t="s">
        <v>6297</v>
      </c>
      <c r="BM301" t="s">
        <v>6298</v>
      </c>
      <c r="BN301" t="s">
        <v>74</v>
      </c>
      <c r="BO301" t="s">
        <v>74</v>
      </c>
      <c r="BP301" t="s">
        <v>74</v>
      </c>
      <c r="BQ301" t="s">
        <v>74</v>
      </c>
      <c r="BR301" t="s">
        <v>106</v>
      </c>
      <c r="BS301" t="s">
        <v>6299</v>
      </c>
      <c r="BT301" t="str">
        <f>HYPERLINK("https%3A%2F%2Fwww.webofscience.com%2Fwos%2Fwoscc%2Ffull-record%2FWOS:000813033900006","View Full Record in Web of Science")</f>
        <v>View Full Record in Web of Science</v>
      </c>
    </row>
    <row r="302" spans="1:72" x14ac:dyDescent="0.15">
      <c r="A302" t="s">
        <v>72</v>
      </c>
      <c r="B302" t="s">
        <v>6300</v>
      </c>
      <c r="C302" t="s">
        <v>74</v>
      </c>
      <c r="D302" t="s">
        <v>74</v>
      </c>
      <c r="E302" t="s">
        <v>74</v>
      </c>
      <c r="F302" t="s">
        <v>6301</v>
      </c>
      <c r="G302" t="s">
        <v>74</v>
      </c>
      <c r="H302" t="s">
        <v>74</v>
      </c>
      <c r="I302" t="s">
        <v>6302</v>
      </c>
      <c r="J302" t="s">
        <v>6303</v>
      </c>
      <c r="K302" t="s">
        <v>74</v>
      </c>
      <c r="L302" t="s">
        <v>74</v>
      </c>
      <c r="M302" t="s">
        <v>78</v>
      </c>
      <c r="N302" t="s">
        <v>79</v>
      </c>
      <c r="O302" t="s">
        <v>74</v>
      </c>
      <c r="P302" t="s">
        <v>74</v>
      </c>
      <c r="Q302" t="s">
        <v>74</v>
      </c>
      <c r="R302" t="s">
        <v>74</v>
      </c>
      <c r="S302" t="s">
        <v>74</v>
      </c>
      <c r="T302" t="s">
        <v>6304</v>
      </c>
      <c r="U302" t="s">
        <v>6305</v>
      </c>
      <c r="V302" t="s">
        <v>6306</v>
      </c>
      <c r="W302" t="s">
        <v>6307</v>
      </c>
      <c r="X302" t="s">
        <v>6308</v>
      </c>
      <c r="Y302" t="s">
        <v>6309</v>
      </c>
      <c r="Z302" t="s">
        <v>6310</v>
      </c>
      <c r="AA302" t="s">
        <v>6311</v>
      </c>
      <c r="AB302" t="s">
        <v>6312</v>
      </c>
      <c r="AC302" t="s">
        <v>6313</v>
      </c>
      <c r="AD302" t="s">
        <v>6314</v>
      </c>
      <c r="AE302" t="s">
        <v>6315</v>
      </c>
      <c r="AF302" t="s">
        <v>74</v>
      </c>
      <c r="AG302">
        <v>74</v>
      </c>
      <c r="AH302">
        <v>8</v>
      </c>
      <c r="AI302">
        <v>8</v>
      </c>
      <c r="AJ302">
        <v>1</v>
      </c>
      <c r="AK302">
        <v>8</v>
      </c>
      <c r="AL302" t="s">
        <v>310</v>
      </c>
      <c r="AM302" t="s">
        <v>311</v>
      </c>
      <c r="AN302" t="s">
        <v>312</v>
      </c>
      <c r="AO302" t="s">
        <v>6316</v>
      </c>
      <c r="AP302" t="s">
        <v>6317</v>
      </c>
      <c r="AQ302" t="s">
        <v>74</v>
      </c>
      <c r="AR302" t="s">
        <v>6303</v>
      </c>
      <c r="AS302" t="s">
        <v>6318</v>
      </c>
      <c r="AT302" t="s">
        <v>6272</v>
      </c>
      <c r="AU302">
        <v>2022</v>
      </c>
      <c r="AV302">
        <v>546</v>
      </c>
      <c r="AW302" t="s">
        <v>74</v>
      </c>
      <c r="AX302" t="s">
        <v>74</v>
      </c>
      <c r="AY302" t="s">
        <v>74</v>
      </c>
      <c r="AZ302" t="s">
        <v>74</v>
      </c>
      <c r="BA302" t="s">
        <v>74</v>
      </c>
      <c r="BB302" t="s">
        <v>74</v>
      </c>
      <c r="BC302" t="s">
        <v>74</v>
      </c>
      <c r="BD302">
        <v>737319</v>
      </c>
      <c r="BE302" t="s">
        <v>6319</v>
      </c>
      <c r="BF302" t="str">
        <f>HYPERLINK("http://dx.doi.org/10.1016/j.aquaculture.2021.737319","http://dx.doi.org/10.1016/j.aquaculture.2021.737319")</f>
        <v>http://dx.doi.org/10.1016/j.aquaculture.2021.737319</v>
      </c>
      <c r="BG302" t="s">
        <v>74</v>
      </c>
      <c r="BH302" t="s">
        <v>74</v>
      </c>
      <c r="BI302">
        <v>11</v>
      </c>
      <c r="BJ302" t="s">
        <v>5087</v>
      </c>
      <c r="BK302" t="s">
        <v>103</v>
      </c>
      <c r="BL302" t="s">
        <v>5087</v>
      </c>
      <c r="BM302" t="s">
        <v>6320</v>
      </c>
      <c r="BN302" t="s">
        <v>74</v>
      </c>
      <c r="BO302" t="s">
        <v>74</v>
      </c>
      <c r="BP302" t="s">
        <v>74</v>
      </c>
      <c r="BQ302" t="s">
        <v>74</v>
      </c>
      <c r="BR302" t="s">
        <v>106</v>
      </c>
      <c r="BS302" t="s">
        <v>6321</v>
      </c>
      <c r="BT302" t="str">
        <f>HYPERLINK("https%3A%2F%2Fwww.webofscience.com%2Fwos%2Fwoscc%2Ffull-record%2FWOS:000787612700004","View Full Record in Web of Science")</f>
        <v>View Full Record in Web of Science</v>
      </c>
    </row>
    <row r="303" spans="1:72" x14ac:dyDescent="0.15">
      <c r="A303" t="s">
        <v>72</v>
      </c>
      <c r="B303" t="s">
        <v>6322</v>
      </c>
      <c r="C303" t="s">
        <v>74</v>
      </c>
      <c r="D303" t="s">
        <v>74</v>
      </c>
      <c r="E303" t="s">
        <v>74</v>
      </c>
      <c r="F303" t="s">
        <v>6323</v>
      </c>
      <c r="G303" t="s">
        <v>74</v>
      </c>
      <c r="H303" t="s">
        <v>74</v>
      </c>
      <c r="I303" t="s">
        <v>6324</v>
      </c>
      <c r="J303" t="s">
        <v>6325</v>
      </c>
      <c r="K303" t="s">
        <v>74</v>
      </c>
      <c r="L303" t="s">
        <v>74</v>
      </c>
      <c r="M303" t="s">
        <v>78</v>
      </c>
      <c r="N303" t="s">
        <v>79</v>
      </c>
      <c r="O303" t="s">
        <v>74</v>
      </c>
      <c r="P303" t="s">
        <v>74</v>
      </c>
      <c r="Q303" t="s">
        <v>74</v>
      </c>
      <c r="R303" t="s">
        <v>74</v>
      </c>
      <c r="S303" t="s">
        <v>74</v>
      </c>
      <c r="T303" t="s">
        <v>6326</v>
      </c>
      <c r="U303" t="s">
        <v>6327</v>
      </c>
      <c r="V303" t="s">
        <v>6328</v>
      </c>
      <c r="W303" t="s">
        <v>6329</v>
      </c>
      <c r="X303" t="s">
        <v>6330</v>
      </c>
      <c r="Y303" t="s">
        <v>6331</v>
      </c>
      <c r="Z303" t="s">
        <v>6332</v>
      </c>
      <c r="AA303" t="s">
        <v>74</v>
      </c>
      <c r="AB303" t="s">
        <v>6333</v>
      </c>
      <c r="AC303" t="s">
        <v>6334</v>
      </c>
      <c r="AD303" t="s">
        <v>6335</v>
      </c>
      <c r="AE303" t="s">
        <v>6336</v>
      </c>
      <c r="AF303" t="s">
        <v>74</v>
      </c>
      <c r="AG303">
        <v>56</v>
      </c>
      <c r="AH303">
        <v>10</v>
      </c>
      <c r="AI303">
        <v>10</v>
      </c>
      <c r="AJ303">
        <v>2</v>
      </c>
      <c r="AK303">
        <v>4</v>
      </c>
      <c r="AL303" t="s">
        <v>814</v>
      </c>
      <c r="AM303" t="s">
        <v>93</v>
      </c>
      <c r="AN303" t="s">
        <v>815</v>
      </c>
      <c r="AO303" t="s">
        <v>6337</v>
      </c>
      <c r="AP303" t="s">
        <v>6338</v>
      </c>
      <c r="AQ303" t="s">
        <v>74</v>
      </c>
      <c r="AR303" t="s">
        <v>6339</v>
      </c>
      <c r="AS303" t="s">
        <v>6340</v>
      </c>
      <c r="AT303" t="s">
        <v>840</v>
      </c>
      <c r="AU303">
        <v>2022</v>
      </c>
      <c r="AV303">
        <v>170</v>
      </c>
      <c r="AW303" t="s">
        <v>74</v>
      </c>
      <c r="AX303" t="s">
        <v>74</v>
      </c>
      <c r="AY303" t="s">
        <v>74</v>
      </c>
      <c r="AZ303" t="s">
        <v>74</v>
      </c>
      <c r="BA303" t="s">
        <v>74</v>
      </c>
      <c r="BB303" t="s">
        <v>74</v>
      </c>
      <c r="BC303" t="s">
        <v>74</v>
      </c>
      <c r="BD303">
        <v>101935</v>
      </c>
      <c r="BE303" t="s">
        <v>6341</v>
      </c>
      <c r="BF303" t="str">
        <f>HYPERLINK("http://dx.doi.org/10.1016/j.ocemod.2021.101935","http://dx.doi.org/10.1016/j.ocemod.2021.101935")</f>
        <v>http://dx.doi.org/10.1016/j.ocemod.2021.101935</v>
      </c>
      <c r="BG303" t="s">
        <v>74</v>
      </c>
      <c r="BH303" t="s">
        <v>4536</v>
      </c>
      <c r="BI303">
        <v>21</v>
      </c>
      <c r="BJ303" t="s">
        <v>6342</v>
      </c>
      <c r="BK303" t="s">
        <v>103</v>
      </c>
      <c r="BL303" t="s">
        <v>6342</v>
      </c>
      <c r="BM303" t="s">
        <v>6343</v>
      </c>
      <c r="BN303" t="s">
        <v>74</v>
      </c>
      <c r="BO303" t="s">
        <v>264</v>
      </c>
      <c r="BP303" t="s">
        <v>74</v>
      </c>
      <c r="BQ303" t="s">
        <v>74</v>
      </c>
      <c r="BR303" t="s">
        <v>106</v>
      </c>
      <c r="BS303" t="s">
        <v>6344</v>
      </c>
      <c r="BT303" t="str">
        <f>HYPERLINK("https%3A%2F%2Fwww.webofscience.com%2Fwos%2Fwoscc%2Ffull-record%2FWOS:000787885400001","View Full Record in Web of Science")</f>
        <v>View Full Record in Web of Science</v>
      </c>
    </row>
    <row r="304" spans="1:72" x14ac:dyDescent="0.15">
      <c r="A304" t="s">
        <v>72</v>
      </c>
      <c r="B304" t="s">
        <v>6345</v>
      </c>
      <c r="C304" t="s">
        <v>74</v>
      </c>
      <c r="D304" t="s">
        <v>74</v>
      </c>
      <c r="E304" t="s">
        <v>74</v>
      </c>
      <c r="F304" t="s">
        <v>6346</v>
      </c>
      <c r="G304" t="s">
        <v>74</v>
      </c>
      <c r="H304" t="s">
        <v>74</v>
      </c>
      <c r="I304" t="s">
        <v>6347</v>
      </c>
      <c r="J304" t="s">
        <v>6348</v>
      </c>
      <c r="K304" t="s">
        <v>74</v>
      </c>
      <c r="L304" t="s">
        <v>74</v>
      </c>
      <c r="M304" t="s">
        <v>78</v>
      </c>
      <c r="N304" t="s">
        <v>79</v>
      </c>
      <c r="O304" t="s">
        <v>74</v>
      </c>
      <c r="P304" t="s">
        <v>74</v>
      </c>
      <c r="Q304" t="s">
        <v>74</v>
      </c>
      <c r="R304" t="s">
        <v>74</v>
      </c>
      <c r="S304" t="s">
        <v>74</v>
      </c>
      <c r="T304" t="s">
        <v>6349</v>
      </c>
      <c r="U304" t="s">
        <v>6350</v>
      </c>
      <c r="V304" t="s">
        <v>6351</v>
      </c>
      <c r="W304" t="s">
        <v>6352</v>
      </c>
      <c r="X304" t="s">
        <v>6353</v>
      </c>
      <c r="Y304" t="s">
        <v>6354</v>
      </c>
      <c r="Z304" t="s">
        <v>6355</v>
      </c>
      <c r="AA304" t="s">
        <v>6356</v>
      </c>
      <c r="AB304" t="s">
        <v>6357</v>
      </c>
      <c r="AC304" t="s">
        <v>6358</v>
      </c>
      <c r="AD304" t="s">
        <v>6359</v>
      </c>
      <c r="AE304" t="s">
        <v>6360</v>
      </c>
      <c r="AF304" t="s">
        <v>74</v>
      </c>
      <c r="AG304">
        <v>23</v>
      </c>
      <c r="AH304">
        <v>1</v>
      </c>
      <c r="AI304">
        <v>1</v>
      </c>
      <c r="AJ304">
        <v>0</v>
      </c>
      <c r="AK304">
        <v>2</v>
      </c>
      <c r="AL304" t="s">
        <v>310</v>
      </c>
      <c r="AM304" t="s">
        <v>311</v>
      </c>
      <c r="AN304" t="s">
        <v>312</v>
      </c>
      <c r="AO304" t="s">
        <v>6361</v>
      </c>
      <c r="AP304" t="s">
        <v>6362</v>
      </c>
      <c r="AQ304" t="s">
        <v>74</v>
      </c>
      <c r="AR304" t="s">
        <v>6363</v>
      </c>
      <c r="AS304" t="s">
        <v>6364</v>
      </c>
      <c r="AT304" t="s">
        <v>6272</v>
      </c>
      <c r="AU304">
        <v>2022</v>
      </c>
      <c r="AV304">
        <v>511</v>
      </c>
      <c r="AW304" t="s">
        <v>74</v>
      </c>
      <c r="AX304" t="s">
        <v>74</v>
      </c>
      <c r="AY304" t="s">
        <v>74</v>
      </c>
      <c r="AZ304" t="s">
        <v>74</v>
      </c>
      <c r="BA304" t="s">
        <v>74</v>
      </c>
      <c r="BB304">
        <v>105</v>
      </c>
      <c r="BC304">
        <v>112</v>
      </c>
      <c r="BD304" t="s">
        <v>74</v>
      </c>
      <c r="BE304" t="s">
        <v>6365</v>
      </c>
      <c r="BF304" t="str">
        <f>HYPERLINK("http://dx.doi.org/10.1016/j.nimb.2021.11.011","http://dx.doi.org/10.1016/j.nimb.2021.11.011")</f>
        <v>http://dx.doi.org/10.1016/j.nimb.2021.11.011</v>
      </c>
      <c r="BG304" t="s">
        <v>74</v>
      </c>
      <c r="BH304" t="s">
        <v>74</v>
      </c>
      <c r="BI304">
        <v>8</v>
      </c>
      <c r="BJ304" t="s">
        <v>6366</v>
      </c>
      <c r="BK304" t="s">
        <v>103</v>
      </c>
      <c r="BL304" t="s">
        <v>6367</v>
      </c>
      <c r="BM304" t="s">
        <v>6368</v>
      </c>
      <c r="BN304" t="s">
        <v>74</v>
      </c>
      <c r="BO304" t="s">
        <v>74</v>
      </c>
      <c r="BP304" t="s">
        <v>74</v>
      </c>
      <c r="BQ304" t="s">
        <v>74</v>
      </c>
      <c r="BR304" t="s">
        <v>106</v>
      </c>
      <c r="BS304" t="s">
        <v>6369</v>
      </c>
      <c r="BT304" t="str">
        <f>HYPERLINK("https%3A%2F%2Fwww.webofscience.com%2Fwos%2Fwoscc%2Ffull-record%2FWOS:000782574100002","View Full Record in Web of Science")</f>
        <v>View Full Record in Web of Science</v>
      </c>
    </row>
    <row r="305" spans="1:72" x14ac:dyDescent="0.15">
      <c r="A305" t="s">
        <v>72</v>
      </c>
      <c r="B305" t="s">
        <v>6370</v>
      </c>
      <c r="C305" t="s">
        <v>74</v>
      </c>
      <c r="D305" t="s">
        <v>74</v>
      </c>
      <c r="E305" t="s">
        <v>74</v>
      </c>
      <c r="F305" t="s">
        <v>6371</v>
      </c>
      <c r="G305" t="s">
        <v>74</v>
      </c>
      <c r="H305" t="s">
        <v>74</v>
      </c>
      <c r="I305" t="s">
        <v>6372</v>
      </c>
      <c r="J305" t="s">
        <v>2200</v>
      </c>
      <c r="K305" t="s">
        <v>74</v>
      </c>
      <c r="L305" t="s">
        <v>74</v>
      </c>
      <c r="M305" t="s">
        <v>78</v>
      </c>
      <c r="N305" t="s">
        <v>79</v>
      </c>
      <c r="O305" t="s">
        <v>74</v>
      </c>
      <c r="P305" t="s">
        <v>74</v>
      </c>
      <c r="Q305" t="s">
        <v>74</v>
      </c>
      <c r="R305" t="s">
        <v>74</v>
      </c>
      <c r="S305" t="s">
        <v>74</v>
      </c>
      <c r="T305" t="s">
        <v>6373</v>
      </c>
      <c r="U305" t="s">
        <v>6374</v>
      </c>
      <c r="V305" t="s">
        <v>6375</v>
      </c>
      <c r="W305" t="s">
        <v>6376</v>
      </c>
      <c r="X305" t="s">
        <v>6377</v>
      </c>
      <c r="Y305" t="s">
        <v>6378</v>
      </c>
      <c r="Z305" t="s">
        <v>6379</v>
      </c>
      <c r="AA305" t="s">
        <v>6380</v>
      </c>
      <c r="AB305" t="s">
        <v>6381</v>
      </c>
      <c r="AC305" t="s">
        <v>6382</v>
      </c>
      <c r="AD305" t="s">
        <v>6383</v>
      </c>
      <c r="AE305" t="s">
        <v>6384</v>
      </c>
      <c r="AF305" t="s">
        <v>74</v>
      </c>
      <c r="AG305">
        <v>56</v>
      </c>
      <c r="AH305">
        <v>17</v>
      </c>
      <c r="AI305">
        <v>18</v>
      </c>
      <c r="AJ305">
        <v>44</v>
      </c>
      <c r="AK305">
        <v>147</v>
      </c>
      <c r="AL305" t="s">
        <v>92</v>
      </c>
      <c r="AM305" t="s">
        <v>93</v>
      </c>
      <c r="AN305" t="s">
        <v>94</v>
      </c>
      <c r="AO305" t="s">
        <v>2213</v>
      </c>
      <c r="AP305" t="s">
        <v>2214</v>
      </c>
      <c r="AQ305" t="s">
        <v>74</v>
      </c>
      <c r="AR305" t="s">
        <v>2215</v>
      </c>
      <c r="AS305" t="s">
        <v>2216</v>
      </c>
      <c r="AT305" t="s">
        <v>99</v>
      </c>
      <c r="AU305">
        <v>2022</v>
      </c>
      <c r="AV305">
        <v>166</v>
      </c>
      <c r="AW305" t="s">
        <v>74</v>
      </c>
      <c r="AX305" t="s">
        <v>74</v>
      </c>
      <c r="AY305" t="s">
        <v>74</v>
      </c>
      <c r="AZ305" t="s">
        <v>74</v>
      </c>
      <c r="BA305" t="s">
        <v>74</v>
      </c>
      <c r="BB305" t="s">
        <v>74</v>
      </c>
      <c r="BC305" t="s">
        <v>74</v>
      </c>
      <c r="BD305">
        <v>108550</v>
      </c>
      <c r="BE305" t="s">
        <v>6385</v>
      </c>
      <c r="BF305" t="str">
        <f>HYPERLINK("http://dx.doi.org/10.1016/j.soilbio.2022.108550","http://dx.doi.org/10.1016/j.soilbio.2022.108550")</f>
        <v>http://dx.doi.org/10.1016/j.soilbio.2022.108550</v>
      </c>
      <c r="BG305" t="s">
        <v>74</v>
      </c>
      <c r="BH305" t="s">
        <v>4536</v>
      </c>
      <c r="BI305">
        <v>9</v>
      </c>
      <c r="BJ305" t="s">
        <v>2218</v>
      </c>
      <c r="BK305" t="s">
        <v>103</v>
      </c>
      <c r="BL305" t="s">
        <v>2219</v>
      </c>
      <c r="BM305" t="s">
        <v>6386</v>
      </c>
      <c r="BN305" t="s">
        <v>74</v>
      </c>
      <c r="BO305" t="s">
        <v>4932</v>
      </c>
      <c r="BP305" t="s">
        <v>74</v>
      </c>
      <c r="BQ305" t="s">
        <v>74</v>
      </c>
      <c r="BR305" t="s">
        <v>106</v>
      </c>
      <c r="BS305" t="s">
        <v>6387</v>
      </c>
      <c r="BT305" t="str">
        <f>HYPERLINK("https%3A%2F%2Fwww.webofscience.com%2Fwos%2Fwoscc%2Ffull-record%2FWOS:000777624700004","View Full Record in Web of Science")</f>
        <v>View Full Record in Web of Science</v>
      </c>
    </row>
    <row r="306" spans="1:72" x14ac:dyDescent="0.15">
      <c r="A306" t="s">
        <v>72</v>
      </c>
      <c r="B306" t="s">
        <v>6388</v>
      </c>
      <c r="C306" t="s">
        <v>74</v>
      </c>
      <c r="D306" t="s">
        <v>74</v>
      </c>
      <c r="E306" t="s">
        <v>74</v>
      </c>
      <c r="F306" t="s">
        <v>6389</v>
      </c>
      <c r="G306" t="s">
        <v>74</v>
      </c>
      <c r="H306" t="s">
        <v>74</v>
      </c>
      <c r="I306" t="s">
        <v>6390</v>
      </c>
      <c r="J306" t="s">
        <v>1265</v>
      </c>
      <c r="K306" t="s">
        <v>74</v>
      </c>
      <c r="L306" t="s">
        <v>74</v>
      </c>
      <c r="M306" t="s">
        <v>78</v>
      </c>
      <c r="N306" t="s">
        <v>79</v>
      </c>
      <c r="O306" t="s">
        <v>74</v>
      </c>
      <c r="P306" t="s">
        <v>74</v>
      </c>
      <c r="Q306" t="s">
        <v>74</v>
      </c>
      <c r="R306" t="s">
        <v>74</v>
      </c>
      <c r="S306" t="s">
        <v>74</v>
      </c>
      <c r="T306" t="s">
        <v>6391</v>
      </c>
      <c r="U306" t="s">
        <v>6392</v>
      </c>
      <c r="V306" t="s">
        <v>6393</v>
      </c>
      <c r="W306" t="s">
        <v>6394</v>
      </c>
      <c r="X306" t="s">
        <v>6395</v>
      </c>
      <c r="Y306" t="s">
        <v>6396</v>
      </c>
      <c r="Z306" t="s">
        <v>6397</v>
      </c>
      <c r="AA306" t="s">
        <v>6398</v>
      </c>
      <c r="AB306" t="s">
        <v>6399</v>
      </c>
      <c r="AC306" t="s">
        <v>6400</v>
      </c>
      <c r="AD306" t="s">
        <v>6401</v>
      </c>
      <c r="AE306" t="s">
        <v>6402</v>
      </c>
      <c r="AF306" t="s">
        <v>74</v>
      </c>
      <c r="AG306">
        <v>101</v>
      </c>
      <c r="AH306">
        <v>13</v>
      </c>
      <c r="AI306">
        <v>13</v>
      </c>
      <c r="AJ306">
        <v>4</v>
      </c>
      <c r="AK306">
        <v>39</v>
      </c>
      <c r="AL306" t="s">
        <v>171</v>
      </c>
      <c r="AM306" t="s">
        <v>172</v>
      </c>
      <c r="AN306" t="s">
        <v>173</v>
      </c>
      <c r="AO306" t="s">
        <v>1278</v>
      </c>
      <c r="AP306" t="s">
        <v>1279</v>
      </c>
      <c r="AQ306" t="s">
        <v>74</v>
      </c>
      <c r="AR306" t="s">
        <v>1280</v>
      </c>
      <c r="AS306" t="s">
        <v>1281</v>
      </c>
      <c r="AT306" t="s">
        <v>537</v>
      </c>
      <c r="AU306">
        <v>2022</v>
      </c>
      <c r="AV306">
        <v>28</v>
      </c>
      <c r="AW306">
        <v>7</v>
      </c>
      <c r="AX306" t="s">
        <v>74</v>
      </c>
      <c r="AY306" t="s">
        <v>74</v>
      </c>
      <c r="AZ306" t="s">
        <v>74</v>
      </c>
      <c r="BA306" t="s">
        <v>74</v>
      </c>
      <c r="BB306">
        <v>2296</v>
      </c>
      <c r="BC306">
        <v>2311</v>
      </c>
      <c r="BD306" t="s">
        <v>74</v>
      </c>
      <c r="BE306" t="s">
        <v>6403</v>
      </c>
      <c r="BF306" t="str">
        <f>HYPERLINK("http://dx.doi.org/10.1111/gcb.16070","http://dx.doi.org/10.1111/gcb.16070")</f>
        <v>http://dx.doi.org/10.1111/gcb.16070</v>
      </c>
      <c r="BG306" t="s">
        <v>74</v>
      </c>
      <c r="BH306" t="s">
        <v>4536</v>
      </c>
      <c r="BI306">
        <v>16</v>
      </c>
      <c r="BJ306" t="s">
        <v>1283</v>
      </c>
      <c r="BK306" t="s">
        <v>103</v>
      </c>
      <c r="BL306" t="s">
        <v>1082</v>
      </c>
      <c r="BM306" t="s">
        <v>6404</v>
      </c>
      <c r="BN306">
        <v>34981602</v>
      </c>
      <c r="BO306" t="s">
        <v>640</v>
      </c>
      <c r="BP306" t="s">
        <v>74</v>
      </c>
      <c r="BQ306" t="s">
        <v>74</v>
      </c>
      <c r="BR306" t="s">
        <v>106</v>
      </c>
      <c r="BS306" t="s">
        <v>6405</v>
      </c>
      <c r="BT306" t="str">
        <f>HYPERLINK("https%3A%2F%2Fwww.webofscience.com%2Fwos%2Fwoscc%2Ffull-record%2FWOS:000742504000001","View Full Record in Web of Science")</f>
        <v>View Full Record in Web of Science</v>
      </c>
    </row>
    <row r="307" spans="1:72" x14ac:dyDescent="0.15">
      <c r="A307" t="s">
        <v>72</v>
      </c>
      <c r="B307" t="s">
        <v>6406</v>
      </c>
      <c r="C307" t="s">
        <v>74</v>
      </c>
      <c r="D307" t="s">
        <v>74</v>
      </c>
      <c r="E307" t="s">
        <v>74</v>
      </c>
      <c r="F307" t="s">
        <v>6407</v>
      </c>
      <c r="G307" t="s">
        <v>74</v>
      </c>
      <c r="H307" t="s">
        <v>74</v>
      </c>
      <c r="I307" t="s">
        <v>6408</v>
      </c>
      <c r="J307" t="s">
        <v>4683</v>
      </c>
      <c r="K307" t="s">
        <v>74</v>
      </c>
      <c r="L307" t="s">
        <v>74</v>
      </c>
      <c r="M307" t="s">
        <v>78</v>
      </c>
      <c r="N307" t="s">
        <v>79</v>
      </c>
      <c r="O307" t="s">
        <v>74</v>
      </c>
      <c r="P307" t="s">
        <v>74</v>
      </c>
      <c r="Q307" t="s">
        <v>74</v>
      </c>
      <c r="R307" t="s">
        <v>74</v>
      </c>
      <c r="S307" t="s">
        <v>74</v>
      </c>
      <c r="T307" t="s">
        <v>6409</v>
      </c>
      <c r="U307" t="s">
        <v>6410</v>
      </c>
      <c r="V307" t="s">
        <v>6411</v>
      </c>
      <c r="W307" t="s">
        <v>6412</v>
      </c>
      <c r="X307" t="s">
        <v>6413</v>
      </c>
      <c r="Y307" t="s">
        <v>6414</v>
      </c>
      <c r="Z307" t="s">
        <v>6415</v>
      </c>
      <c r="AA307" t="s">
        <v>6416</v>
      </c>
      <c r="AB307" t="s">
        <v>6417</v>
      </c>
      <c r="AC307" t="s">
        <v>6418</v>
      </c>
      <c r="AD307" t="s">
        <v>6419</v>
      </c>
      <c r="AE307" t="s">
        <v>6420</v>
      </c>
      <c r="AF307" t="s">
        <v>74</v>
      </c>
      <c r="AG307">
        <v>98</v>
      </c>
      <c r="AH307">
        <v>7</v>
      </c>
      <c r="AI307">
        <v>7</v>
      </c>
      <c r="AJ307">
        <v>2</v>
      </c>
      <c r="AK307">
        <v>20</v>
      </c>
      <c r="AL307" t="s">
        <v>310</v>
      </c>
      <c r="AM307" t="s">
        <v>311</v>
      </c>
      <c r="AN307" t="s">
        <v>312</v>
      </c>
      <c r="AO307" t="s">
        <v>4696</v>
      </c>
      <c r="AP307" t="s">
        <v>4697</v>
      </c>
      <c r="AQ307" t="s">
        <v>74</v>
      </c>
      <c r="AR307" t="s">
        <v>4698</v>
      </c>
      <c r="AS307" t="s">
        <v>4699</v>
      </c>
      <c r="AT307" t="s">
        <v>583</v>
      </c>
      <c r="AU307">
        <v>2022</v>
      </c>
      <c r="AV307">
        <v>810</v>
      </c>
      <c r="AW307" t="s">
        <v>74</v>
      </c>
      <c r="AX307" t="s">
        <v>74</v>
      </c>
      <c r="AY307" t="s">
        <v>74</v>
      </c>
      <c r="AZ307" t="s">
        <v>74</v>
      </c>
      <c r="BA307" t="s">
        <v>74</v>
      </c>
      <c r="BB307" t="s">
        <v>74</v>
      </c>
      <c r="BC307" t="s">
        <v>74</v>
      </c>
      <c r="BD307">
        <v>151285</v>
      </c>
      <c r="BE307" t="s">
        <v>6421</v>
      </c>
      <c r="BF307" t="str">
        <f>HYPERLINK("http://dx.doi.org/10.1016/j.scitotenv.2021.151285","http://dx.doi.org/10.1016/j.scitotenv.2021.151285")</f>
        <v>http://dx.doi.org/10.1016/j.scitotenv.2021.151285</v>
      </c>
      <c r="BG307" t="s">
        <v>74</v>
      </c>
      <c r="BH307" t="s">
        <v>4536</v>
      </c>
      <c r="BI307">
        <v>14</v>
      </c>
      <c r="BJ307" t="s">
        <v>1560</v>
      </c>
      <c r="BK307" t="s">
        <v>103</v>
      </c>
      <c r="BL307" t="s">
        <v>1561</v>
      </c>
      <c r="BM307" t="s">
        <v>6422</v>
      </c>
      <c r="BN307">
        <v>34740657</v>
      </c>
      <c r="BO307" t="s">
        <v>948</v>
      </c>
      <c r="BP307" t="s">
        <v>74</v>
      </c>
      <c r="BQ307" t="s">
        <v>74</v>
      </c>
      <c r="BR307" t="s">
        <v>106</v>
      </c>
      <c r="BS307" t="s">
        <v>6423</v>
      </c>
      <c r="BT307" t="str">
        <f>HYPERLINK("https%3A%2F%2Fwww.webofscience.com%2Fwos%2Fwoscc%2Ffull-record%2FWOS:000767258100005","View Full Record in Web of Science")</f>
        <v>View Full Record in Web of Science</v>
      </c>
    </row>
    <row r="308" spans="1:72" x14ac:dyDescent="0.15">
      <c r="A308" t="s">
        <v>72</v>
      </c>
      <c r="B308" t="s">
        <v>6424</v>
      </c>
      <c r="C308" t="s">
        <v>74</v>
      </c>
      <c r="D308" t="s">
        <v>74</v>
      </c>
      <c r="E308" t="s">
        <v>74</v>
      </c>
      <c r="F308" t="s">
        <v>6425</v>
      </c>
      <c r="G308" t="s">
        <v>74</v>
      </c>
      <c r="H308" t="s">
        <v>74</v>
      </c>
      <c r="I308" t="s">
        <v>6426</v>
      </c>
      <c r="J308" t="s">
        <v>351</v>
      </c>
      <c r="K308" t="s">
        <v>74</v>
      </c>
      <c r="L308" t="s">
        <v>74</v>
      </c>
      <c r="M308" t="s">
        <v>78</v>
      </c>
      <c r="N308" t="s">
        <v>79</v>
      </c>
      <c r="O308" t="s">
        <v>74</v>
      </c>
      <c r="P308" t="s">
        <v>74</v>
      </c>
      <c r="Q308" t="s">
        <v>74</v>
      </c>
      <c r="R308" t="s">
        <v>74</v>
      </c>
      <c r="S308" t="s">
        <v>74</v>
      </c>
      <c r="T308" t="s">
        <v>6427</v>
      </c>
      <c r="U308" t="s">
        <v>6428</v>
      </c>
      <c r="V308" t="s">
        <v>6429</v>
      </c>
      <c r="W308" t="s">
        <v>6430</v>
      </c>
      <c r="X308" t="s">
        <v>5052</v>
      </c>
      <c r="Y308" t="s">
        <v>6431</v>
      </c>
      <c r="Z308" t="s">
        <v>6432</v>
      </c>
      <c r="AA308" t="s">
        <v>6433</v>
      </c>
      <c r="AB308" t="s">
        <v>6434</v>
      </c>
      <c r="AC308" t="s">
        <v>6435</v>
      </c>
      <c r="AD308" t="s">
        <v>6436</v>
      </c>
      <c r="AE308" t="s">
        <v>6437</v>
      </c>
      <c r="AF308" t="s">
        <v>74</v>
      </c>
      <c r="AG308">
        <v>41</v>
      </c>
      <c r="AH308">
        <v>0</v>
      </c>
      <c r="AI308">
        <v>0</v>
      </c>
      <c r="AJ308">
        <v>3</v>
      </c>
      <c r="AK308">
        <v>16</v>
      </c>
      <c r="AL308" t="s">
        <v>363</v>
      </c>
      <c r="AM308" t="s">
        <v>364</v>
      </c>
      <c r="AN308" t="s">
        <v>365</v>
      </c>
      <c r="AO308" t="s">
        <v>74</v>
      </c>
      <c r="AP308" t="s">
        <v>366</v>
      </c>
      <c r="AQ308" t="s">
        <v>74</v>
      </c>
      <c r="AR308" t="s">
        <v>367</v>
      </c>
      <c r="AS308" t="s">
        <v>368</v>
      </c>
      <c r="AT308" t="s">
        <v>6438</v>
      </c>
      <c r="AU308">
        <v>2022</v>
      </c>
      <c r="AV308">
        <v>8</v>
      </c>
      <c r="AW308" t="s">
        <v>74</v>
      </c>
      <c r="AX308" t="s">
        <v>74</v>
      </c>
      <c r="AY308" t="s">
        <v>74</v>
      </c>
      <c r="AZ308" t="s">
        <v>74</v>
      </c>
      <c r="BA308" t="s">
        <v>74</v>
      </c>
      <c r="BB308" t="s">
        <v>74</v>
      </c>
      <c r="BC308" t="s">
        <v>74</v>
      </c>
      <c r="BD308">
        <v>772742</v>
      </c>
      <c r="BE308" t="s">
        <v>6439</v>
      </c>
      <c r="BF308" t="str">
        <f>HYPERLINK("http://dx.doi.org/10.3389/fmars.2021.772742","http://dx.doi.org/10.3389/fmars.2021.772742")</f>
        <v>http://dx.doi.org/10.3389/fmars.2021.772742</v>
      </c>
      <c r="BG308" t="s">
        <v>74</v>
      </c>
      <c r="BH308" t="s">
        <v>74</v>
      </c>
      <c r="BI308">
        <v>9</v>
      </c>
      <c r="BJ308" t="s">
        <v>102</v>
      </c>
      <c r="BK308" t="s">
        <v>103</v>
      </c>
      <c r="BL308" t="s">
        <v>104</v>
      </c>
      <c r="BM308" t="s">
        <v>6440</v>
      </c>
      <c r="BN308" t="s">
        <v>74</v>
      </c>
      <c r="BO308" t="s">
        <v>292</v>
      </c>
      <c r="BP308" t="s">
        <v>74</v>
      </c>
      <c r="BQ308" t="s">
        <v>74</v>
      </c>
      <c r="BR308" t="s">
        <v>106</v>
      </c>
      <c r="BS308" t="s">
        <v>6441</v>
      </c>
      <c r="BT308" t="str">
        <f>HYPERLINK("https%3A%2F%2Fwww.webofscience.com%2Fwos%2Fwoscc%2Ffull-record%2FWOS:000750628800001","View Full Record in Web of Science")</f>
        <v>View Full Record in Web of Science</v>
      </c>
    </row>
    <row r="309" spans="1:72" x14ac:dyDescent="0.15">
      <c r="A309" t="s">
        <v>72</v>
      </c>
      <c r="B309" t="s">
        <v>6442</v>
      </c>
      <c r="C309" t="s">
        <v>74</v>
      </c>
      <c r="D309" t="s">
        <v>74</v>
      </c>
      <c r="E309" t="s">
        <v>74</v>
      </c>
      <c r="F309" t="s">
        <v>6443</v>
      </c>
      <c r="G309" t="s">
        <v>74</v>
      </c>
      <c r="H309" t="s">
        <v>74</v>
      </c>
      <c r="I309" t="s">
        <v>6444</v>
      </c>
      <c r="J309" t="s">
        <v>4976</v>
      </c>
      <c r="K309" t="s">
        <v>74</v>
      </c>
      <c r="L309" t="s">
        <v>74</v>
      </c>
      <c r="M309" t="s">
        <v>78</v>
      </c>
      <c r="N309" t="s">
        <v>79</v>
      </c>
      <c r="O309" t="s">
        <v>74</v>
      </c>
      <c r="P309" t="s">
        <v>74</v>
      </c>
      <c r="Q309" t="s">
        <v>74</v>
      </c>
      <c r="R309" t="s">
        <v>74</v>
      </c>
      <c r="S309" t="s">
        <v>74</v>
      </c>
      <c r="T309" t="s">
        <v>6445</v>
      </c>
      <c r="U309" t="s">
        <v>6446</v>
      </c>
      <c r="V309" t="s">
        <v>6447</v>
      </c>
      <c r="W309" t="s">
        <v>6448</v>
      </c>
      <c r="X309" t="s">
        <v>6449</v>
      </c>
      <c r="Y309" t="s">
        <v>6450</v>
      </c>
      <c r="Z309" t="s">
        <v>6451</v>
      </c>
      <c r="AA309" t="s">
        <v>6452</v>
      </c>
      <c r="AB309" t="s">
        <v>6453</v>
      </c>
      <c r="AC309" t="s">
        <v>74</v>
      </c>
      <c r="AD309" t="s">
        <v>74</v>
      </c>
      <c r="AE309" t="s">
        <v>74</v>
      </c>
      <c r="AF309" t="s">
        <v>74</v>
      </c>
      <c r="AG309">
        <v>62</v>
      </c>
      <c r="AH309">
        <v>7</v>
      </c>
      <c r="AI309">
        <v>7</v>
      </c>
      <c r="AJ309">
        <v>3</v>
      </c>
      <c r="AK309">
        <v>11</v>
      </c>
      <c r="AL309" t="s">
        <v>363</v>
      </c>
      <c r="AM309" t="s">
        <v>364</v>
      </c>
      <c r="AN309" t="s">
        <v>365</v>
      </c>
      <c r="AO309" t="s">
        <v>74</v>
      </c>
      <c r="AP309" t="s">
        <v>4986</v>
      </c>
      <c r="AQ309" t="s">
        <v>74</v>
      </c>
      <c r="AR309" t="s">
        <v>4987</v>
      </c>
      <c r="AS309" t="s">
        <v>4988</v>
      </c>
      <c r="AT309" t="s">
        <v>6438</v>
      </c>
      <c r="AU309">
        <v>2022</v>
      </c>
      <c r="AV309">
        <v>12</v>
      </c>
      <c r="AW309" t="s">
        <v>74</v>
      </c>
      <c r="AX309" t="s">
        <v>74</v>
      </c>
      <c r="AY309" t="s">
        <v>74</v>
      </c>
      <c r="AZ309" t="s">
        <v>74</v>
      </c>
      <c r="BA309" t="s">
        <v>74</v>
      </c>
      <c r="BB309" t="s">
        <v>74</v>
      </c>
      <c r="BC309" t="s">
        <v>74</v>
      </c>
      <c r="BD309">
        <v>771589</v>
      </c>
      <c r="BE309" t="s">
        <v>6454</v>
      </c>
      <c r="BF309" t="str">
        <f>HYPERLINK("http://dx.doi.org/10.3389/fmicb.2021.771589","http://dx.doi.org/10.3389/fmicb.2021.771589")</f>
        <v>http://dx.doi.org/10.3389/fmicb.2021.771589</v>
      </c>
      <c r="BG309" t="s">
        <v>74</v>
      </c>
      <c r="BH309" t="s">
        <v>74</v>
      </c>
      <c r="BI309">
        <v>11</v>
      </c>
      <c r="BJ309" t="s">
        <v>747</v>
      </c>
      <c r="BK309" t="s">
        <v>103</v>
      </c>
      <c r="BL309" t="s">
        <v>747</v>
      </c>
      <c r="BM309" t="s">
        <v>6455</v>
      </c>
      <c r="BN309">
        <v>35095792</v>
      </c>
      <c r="BO309" t="s">
        <v>211</v>
      </c>
      <c r="BP309" t="s">
        <v>74</v>
      </c>
      <c r="BQ309" t="s">
        <v>74</v>
      </c>
      <c r="BR309" t="s">
        <v>106</v>
      </c>
      <c r="BS309" t="s">
        <v>6456</v>
      </c>
      <c r="BT309" t="str">
        <f>HYPERLINK("https%3A%2F%2Fwww.webofscience.com%2Fwos%2Fwoscc%2Ffull-record%2FWOS:000748041700001","View Full Record in Web of Science")</f>
        <v>View Full Record in Web of Science</v>
      </c>
    </row>
    <row r="310" spans="1:72" x14ac:dyDescent="0.15">
      <c r="A310" t="s">
        <v>72</v>
      </c>
      <c r="B310" t="s">
        <v>6457</v>
      </c>
      <c r="C310" t="s">
        <v>74</v>
      </c>
      <c r="D310" t="s">
        <v>74</v>
      </c>
      <c r="E310" t="s">
        <v>74</v>
      </c>
      <c r="F310" t="s">
        <v>6458</v>
      </c>
      <c r="G310" t="s">
        <v>74</v>
      </c>
      <c r="H310" t="s">
        <v>74</v>
      </c>
      <c r="I310" t="s">
        <v>6459</v>
      </c>
      <c r="J310" t="s">
        <v>6460</v>
      </c>
      <c r="K310" t="s">
        <v>74</v>
      </c>
      <c r="L310" t="s">
        <v>74</v>
      </c>
      <c r="M310" t="s">
        <v>78</v>
      </c>
      <c r="N310" t="s">
        <v>79</v>
      </c>
      <c r="O310" t="s">
        <v>74</v>
      </c>
      <c r="P310" t="s">
        <v>74</v>
      </c>
      <c r="Q310" t="s">
        <v>74</v>
      </c>
      <c r="R310" t="s">
        <v>74</v>
      </c>
      <c r="S310" t="s">
        <v>74</v>
      </c>
      <c r="T310" t="s">
        <v>6461</v>
      </c>
      <c r="U310" t="s">
        <v>6462</v>
      </c>
      <c r="V310" t="s">
        <v>6463</v>
      </c>
      <c r="W310" t="s">
        <v>6464</v>
      </c>
      <c r="X310" t="s">
        <v>597</v>
      </c>
      <c r="Y310" t="s">
        <v>6465</v>
      </c>
      <c r="Z310" t="s">
        <v>6466</v>
      </c>
      <c r="AA310" t="s">
        <v>74</v>
      </c>
      <c r="AB310" t="s">
        <v>74</v>
      </c>
      <c r="AC310" t="s">
        <v>6467</v>
      </c>
      <c r="AD310" t="s">
        <v>6468</v>
      </c>
      <c r="AE310" t="s">
        <v>6469</v>
      </c>
      <c r="AF310" t="s">
        <v>74</v>
      </c>
      <c r="AG310">
        <v>61</v>
      </c>
      <c r="AH310">
        <v>11</v>
      </c>
      <c r="AI310">
        <v>13</v>
      </c>
      <c r="AJ310">
        <v>29</v>
      </c>
      <c r="AK310">
        <v>128</v>
      </c>
      <c r="AL310" t="s">
        <v>4129</v>
      </c>
      <c r="AM310" t="s">
        <v>4130</v>
      </c>
      <c r="AN310" t="s">
        <v>4131</v>
      </c>
      <c r="AO310" t="s">
        <v>6470</v>
      </c>
      <c r="AP310" t="s">
        <v>6471</v>
      </c>
      <c r="AQ310" t="s">
        <v>74</v>
      </c>
      <c r="AR310" t="s">
        <v>6472</v>
      </c>
      <c r="AS310" t="s">
        <v>6473</v>
      </c>
      <c r="AT310" t="s">
        <v>178</v>
      </c>
      <c r="AU310">
        <v>2022</v>
      </c>
      <c r="AV310">
        <v>29</v>
      </c>
      <c r="AW310">
        <v>22</v>
      </c>
      <c r="AX310" t="s">
        <v>74</v>
      </c>
      <c r="AY310" t="s">
        <v>74</v>
      </c>
      <c r="AZ310" t="s">
        <v>74</v>
      </c>
      <c r="BA310" t="s">
        <v>74</v>
      </c>
      <c r="BB310">
        <v>33205</v>
      </c>
      <c r="BC310">
        <v>33217</v>
      </c>
      <c r="BD310" t="s">
        <v>74</v>
      </c>
      <c r="BE310" t="s">
        <v>6474</v>
      </c>
      <c r="BF310" t="str">
        <f>HYPERLINK("http://dx.doi.org/10.1007/s11356-021-17513-3","http://dx.doi.org/10.1007/s11356-021-17513-3")</f>
        <v>http://dx.doi.org/10.1007/s11356-021-17513-3</v>
      </c>
      <c r="BG310" t="s">
        <v>74</v>
      </c>
      <c r="BH310" t="s">
        <v>4536</v>
      </c>
      <c r="BI310">
        <v>13</v>
      </c>
      <c r="BJ310" t="s">
        <v>1560</v>
      </c>
      <c r="BK310" t="s">
        <v>1034</v>
      </c>
      <c r="BL310" t="s">
        <v>1561</v>
      </c>
      <c r="BM310" t="s">
        <v>6475</v>
      </c>
      <c r="BN310">
        <v>35022975</v>
      </c>
      <c r="BO310" t="s">
        <v>6476</v>
      </c>
      <c r="BP310" t="s">
        <v>74</v>
      </c>
      <c r="BQ310" t="s">
        <v>74</v>
      </c>
      <c r="BR310" t="s">
        <v>106</v>
      </c>
      <c r="BS310" t="s">
        <v>6477</v>
      </c>
      <c r="BT310" t="str">
        <f>HYPERLINK("https%3A%2F%2Fwww.webofscience.com%2Fwos%2Fwoscc%2Ffull-record%2FWOS:000741964200014","View Full Record in Web of Science")</f>
        <v>View Full Record in Web of Science</v>
      </c>
    </row>
    <row r="311" spans="1:72" x14ac:dyDescent="0.15">
      <c r="A311" t="s">
        <v>72</v>
      </c>
      <c r="B311" t="s">
        <v>6478</v>
      </c>
      <c r="C311" t="s">
        <v>74</v>
      </c>
      <c r="D311" t="s">
        <v>74</v>
      </c>
      <c r="E311" t="s">
        <v>74</v>
      </c>
      <c r="F311" t="s">
        <v>6479</v>
      </c>
      <c r="G311" t="s">
        <v>74</v>
      </c>
      <c r="H311" t="s">
        <v>74</v>
      </c>
      <c r="I311" t="s">
        <v>6480</v>
      </c>
      <c r="J311" t="s">
        <v>6044</v>
      </c>
      <c r="K311" t="s">
        <v>74</v>
      </c>
      <c r="L311" t="s">
        <v>74</v>
      </c>
      <c r="M311" t="s">
        <v>78</v>
      </c>
      <c r="N311" t="s">
        <v>79</v>
      </c>
      <c r="O311" t="s">
        <v>74</v>
      </c>
      <c r="P311" t="s">
        <v>74</v>
      </c>
      <c r="Q311" t="s">
        <v>74</v>
      </c>
      <c r="R311" t="s">
        <v>74</v>
      </c>
      <c r="S311" t="s">
        <v>74</v>
      </c>
      <c r="T311" t="s">
        <v>6481</v>
      </c>
      <c r="U311" t="s">
        <v>6482</v>
      </c>
      <c r="V311" t="s">
        <v>6483</v>
      </c>
      <c r="W311" t="s">
        <v>6484</v>
      </c>
      <c r="X311" t="s">
        <v>6485</v>
      </c>
      <c r="Y311" t="s">
        <v>6486</v>
      </c>
      <c r="Z311" t="s">
        <v>6487</v>
      </c>
      <c r="AA311" t="s">
        <v>74</v>
      </c>
      <c r="AB311" t="s">
        <v>74</v>
      </c>
      <c r="AC311" t="s">
        <v>6488</v>
      </c>
      <c r="AD311" t="s">
        <v>6489</v>
      </c>
      <c r="AE311" t="s">
        <v>6490</v>
      </c>
      <c r="AF311" t="s">
        <v>74</v>
      </c>
      <c r="AG311">
        <v>35</v>
      </c>
      <c r="AH311">
        <v>26</v>
      </c>
      <c r="AI311">
        <v>29</v>
      </c>
      <c r="AJ311">
        <v>34</v>
      </c>
      <c r="AK311">
        <v>138</v>
      </c>
      <c r="AL311" t="s">
        <v>814</v>
      </c>
      <c r="AM311" t="s">
        <v>93</v>
      </c>
      <c r="AN311" t="s">
        <v>815</v>
      </c>
      <c r="AO311" t="s">
        <v>6053</v>
      </c>
      <c r="AP311" t="s">
        <v>6054</v>
      </c>
      <c r="AQ311" t="s">
        <v>74</v>
      </c>
      <c r="AR311" t="s">
        <v>6055</v>
      </c>
      <c r="AS311" t="s">
        <v>6056</v>
      </c>
      <c r="AT311" t="s">
        <v>512</v>
      </c>
      <c r="AU311">
        <v>2022</v>
      </c>
      <c r="AV311">
        <v>378</v>
      </c>
      <c r="AW311" t="s">
        <v>74</v>
      </c>
      <c r="AX311" t="s">
        <v>74</v>
      </c>
      <c r="AY311" t="s">
        <v>74</v>
      </c>
      <c r="AZ311" t="s">
        <v>74</v>
      </c>
      <c r="BA311" t="s">
        <v>74</v>
      </c>
      <c r="BB311" t="s">
        <v>74</v>
      </c>
      <c r="BC311" t="s">
        <v>74</v>
      </c>
      <c r="BD311">
        <v>132074</v>
      </c>
      <c r="BE311" t="s">
        <v>6491</v>
      </c>
      <c r="BF311" t="str">
        <f>HYPERLINK("http://dx.doi.org/10.1016/j.foodchem.2022.132074","http://dx.doi.org/10.1016/j.foodchem.2022.132074")</f>
        <v>http://dx.doi.org/10.1016/j.foodchem.2022.132074</v>
      </c>
      <c r="BG311" t="s">
        <v>74</v>
      </c>
      <c r="BH311" t="s">
        <v>4536</v>
      </c>
      <c r="BI311">
        <v>8</v>
      </c>
      <c r="BJ311" t="s">
        <v>6059</v>
      </c>
      <c r="BK311" t="s">
        <v>103</v>
      </c>
      <c r="BL311" t="s">
        <v>6060</v>
      </c>
      <c r="BM311" t="s">
        <v>6492</v>
      </c>
      <c r="BN311">
        <v>35033714</v>
      </c>
      <c r="BO311" t="s">
        <v>74</v>
      </c>
      <c r="BP311" t="s">
        <v>74</v>
      </c>
      <c r="BQ311" t="s">
        <v>74</v>
      </c>
      <c r="BR311" t="s">
        <v>106</v>
      </c>
      <c r="BS311" t="s">
        <v>6493</v>
      </c>
      <c r="BT311" t="str">
        <f>HYPERLINK("https%3A%2F%2Fwww.webofscience.com%2Fwos%2Fwoscc%2Ffull-record%2FWOS:000746548300004","View Full Record in Web of Science")</f>
        <v>View Full Record in Web of Science</v>
      </c>
    </row>
    <row r="312" spans="1:72" x14ac:dyDescent="0.15">
      <c r="A312" t="s">
        <v>72</v>
      </c>
      <c r="B312" t="s">
        <v>6494</v>
      </c>
      <c r="C312" t="s">
        <v>74</v>
      </c>
      <c r="D312" t="s">
        <v>74</v>
      </c>
      <c r="E312" t="s">
        <v>74</v>
      </c>
      <c r="F312" t="s">
        <v>6495</v>
      </c>
      <c r="G312" t="s">
        <v>74</v>
      </c>
      <c r="H312" t="s">
        <v>74</v>
      </c>
      <c r="I312" t="s">
        <v>6496</v>
      </c>
      <c r="J312" t="s">
        <v>137</v>
      </c>
      <c r="K312" t="s">
        <v>74</v>
      </c>
      <c r="L312" t="s">
        <v>74</v>
      </c>
      <c r="M312" t="s">
        <v>78</v>
      </c>
      <c r="N312" t="s">
        <v>79</v>
      </c>
      <c r="O312" t="s">
        <v>74</v>
      </c>
      <c r="P312" t="s">
        <v>74</v>
      </c>
      <c r="Q312" t="s">
        <v>74</v>
      </c>
      <c r="R312" t="s">
        <v>74</v>
      </c>
      <c r="S312" t="s">
        <v>74</v>
      </c>
      <c r="T312" t="s">
        <v>74</v>
      </c>
      <c r="U312" t="s">
        <v>6497</v>
      </c>
      <c r="V312" t="s">
        <v>6498</v>
      </c>
      <c r="W312" t="s">
        <v>6499</v>
      </c>
      <c r="X312" t="s">
        <v>4350</v>
      </c>
      <c r="Y312" t="s">
        <v>6500</v>
      </c>
      <c r="Z312" t="s">
        <v>6501</v>
      </c>
      <c r="AA312" t="s">
        <v>74</v>
      </c>
      <c r="AB312" t="s">
        <v>74</v>
      </c>
      <c r="AC312" t="s">
        <v>6502</v>
      </c>
      <c r="AD312" t="s">
        <v>6503</v>
      </c>
      <c r="AE312" t="s">
        <v>6504</v>
      </c>
      <c r="AF312" t="s">
        <v>74</v>
      </c>
      <c r="AG312">
        <v>70</v>
      </c>
      <c r="AH312">
        <v>8</v>
      </c>
      <c r="AI312">
        <v>8</v>
      </c>
      <c r="AJ312">
        <v>3</v>
      </c>
      <c r="AK312">
        <v>32</v>
      </c>
      <c r="AL312" t="s">
        <v>120</v>
      </c>
      <c r="AM312" t="s">
        <v>121</v>
      </c>
      <c r="AN312" t="s">
        <v>122</v>
      </c>
      <c r="AO312" t="s">
        <v>146</v>
      </c>
      <c r="AP312" t="s">
        <v>147</v>
      </c>
      <c r="AQ312" t="s">
        <v>74</v>
      </c>
      <c r="AR312" t="s">
        <v>148</v>
      </c>
      <c r="AS312" t="s">
        <v>149</v>
      </c>
      <c r="AT312" t="s">
        <v>6438</v>
      </c>
      <c r="AU312">
        <v>2022</v>
      </c>
      <c r="AV312">
        <v>15</v>
      </c>
      <c r="AW312">
        <v>1</v>
      </c>
      <c r="AX312" t="s">
        <v>74</v>
      </c>
      <c r="AY312" t="s">
        <v>74</v>
      </c>
      <c r="AZ312" t="s">
        <v>74</v>
      </c>
      <c r="BA312" t="s">
        <v>74</v>
      </c>
      <c r="BB312">
        <v>251</v>
      </c>
      <c r="BC312">
        <v>268</v>
      </c>
      <c r="BD312" t="s">
        <v>74</v>
      </c>
      <c r="BE312" t="s">
        <v>6505</v>
      </c>
      <c r="BF312" t="str">
        <f>HYPERLINK("http://dx.doi.org/10.5194/gmd-15-251-2022","http://dx.doi.org/10.5194/gmd-15-251-2022")</f>
        <v>http://dx.doi.org/10.5194/gmd-15-251-2022</v>
      </c>
      <c r="BG312" t="s">
        <v>74</v>
      </c>
      <c r="BH312" t="s">
        <v>74</v>
      </c>
      <c r="BI312">
        <v>18</v>
      </c>
      <c r="BJ312" t="s">
        <v>151</v>
      </c>
      <c r="BK312" t="s">
        <v>103</v>
      </c>
      <c r="BL312" t="s">
        <v>152</v>
      </c>
      <c r="BM312" t="s">
        <v>6506</v>
      </c>
      <c r="BN312" t="s">
        <v>74</v>
      </c>
      <c r="BO312" t="s">
        <v>6507</v>
      </c>
      <c r="BP312" t="s">
        <v>74</v>
      </c>
      <c r="BQ312" t="s">
        <v>74</v>
      </c>
      <c r="BR312" t="s">
        <v>106</v>
      </c>
      <c r="BS312" t="s">
        <v>6508</v>
      </c>
      <c r="BT312" t="str">
        <f>HYPERLINK("https%3A%2F%2Fwww.webofscience.com%2Fwos%2Fwoscc%2Ffull-record%2FWOS:000746457000001","View Full Record in Web of Science")</f>
        <v>View Full Record in Web of Science</v>
      </c>
    </row>
    <row r="313" spans="1:72" x14ac:dyDescent="0.15">
      <c r="A313" t="s">
        <v>72</v>
      </c>
      <c r="B313" t="s">
        <v>6509</v>
      </c>
      <c r="C313" t="s">
        <v>74</v>
      </c>
      <c r="D313" t="s">
        <v>74</v>
      </c>
      <c r="E313" t="s">
        <v>74</v>
      </c>
      <c r="F313" t="s">
        <v>6510</v>
      </c>
      <c r="G313" t="s">
        <v>74</v>
      </c>
      <c r="H313" t="s">
        <v>74</v>
      </c>
      <c r="I313" t="s">
        <v>6511</v>
      </c>
      <c r="J313" t="s">
        <v>2305</v>
      </c>
      <c r="K313" t="s">
        <v>74</v>
      </c>
      <c r="L313" t="s">
        <v>74</v>
      </c>
      <c r="M313" t="s">
        <v>78</v>
      </c>
      <c r="N313" t="s">
        <v>79</v>
      </c>
      <c r="O313" t="s">
        <v>74</v>
      </c>
      <c r="P313" t="s">
        <v>74</v>
      </c>
      <c r="Q313" t="s">
        <v>74</v>
      </c>
      <c r="R313" t="s">
        <v>74</v>
      </c>
      <c r="S313" t="s">
        <v>74</v>
      </c>
      <c r="T313" t="s">
        <v>74</v>
      </c>
      <c r="U313" t="s">
        <v>6512</v>
      </c>
      <c r="V313" t="s">
        <v>6513</v>
      </c>
      <c r="W313" t="s">
        <v>6514</v>
      </c>
      <c r="X313" t="s">
        <v>6515</v>
      </c>
      <c r="Y313" t="s">
        <v>6516</v>
      </c>
      <c r="Z313" t="s">
        <v>6517</v>
      </c>
      <c r="AA313" t="s">
        <v>6518</v>
      </c>
      <c r="AB313" t="s">
        <v>6519</v>
      </c>
      <c r="AC313" t="s">
        <v>6520</v>
      </c>
      <c r="AD313" t="s">
        <v>6521</v>
      </c>
      <c r="AE313" t="s">
        <v>6522</v>
      </c>
      <c r="AF313" t="s">
        <v>74</v>
      </c>
      <c r="AG313">
        <v>48</v>
      </c>
      <c r="AH313">
        <v>11</v>
      </c>
      <c r="AI313">
        <v>13</v>
      </c>
      <c r="AJ313">
        <v>3</v>
      </c>
      <c r="AK313">
        <v>10</v>
      </c>
      <c r="AL313" t="s">
        <v>337</v>
      </c>
      <c r="AM313" t="s">
        <v>338</v>
      </c>
      <c r="AN313" t="s">
        <v>339</v>
      </c>
      <c r="AO313" t="s">
        <v>74</v>
      </c>
      <c r="AP313" t="s">
        <v>2316</v>
      </c>
      <c r="AQ313" t="s">
        <v>74</v>
      </c>
      <c r="AR313" t="s">
        <v>2317</v>
      </c>
      <c r="AS313" t="s">
        <v>2318</v>
      </c>
      <c r="AT313" t="s">
        <v>6438</v>
      </c>
      <c r="AU313">
        <v>2022</v>
      </c>
      <c r="AV313">
        <v>13</v>
      </c>
      <c r="AW313">
        <v>1</v>
      </c>
      <c r="AX313" t="s">
        <v>74</v>
      </c>
      <c r="AY313" t="s">
        <v>74</v>
      </c>
      <c r="AZ313" t="s">
        <v>74</v>
      </c>
      <c r="BA313" t="s">
        <v>74</v>
      </c>
      <c r="BB313" t="s">
        <v>74</v>
      </c>
      <c r="BC313" t="s">
        <v>74</v>
      </c>
      <c r="BD313">
        <v>306</v>
      </c>
      <c r="BE313" t="s">
        <v>6523</v>
      </c>
      <c r="BF313" t="str">
        <f>HYPERLINK("http://dx.doi.org/10.1038/s41467-022-27968-8","http://dx.doi.org/10.1038/s41467-022-27968-8")</f>
        <v>http://dx.doi.org/10.1038/s41467-022-27968-8</v>
      </c>
      <c r="BG313" t="s">
        <v>74</v>
      </c>
      <c r="BH313" t="s">
        <v>74</v>
      </c>
      <c r="BI313">
        <v>8</v>
      </c>
      <c r="BJ313" t="s">
        <v>289</v>
      </c>
      <c r="BK313" t="s">
        <v>103</v>
      </c>
      <c r="BL313" t="s">
        <v>290</v>
      </c>
      <c r="BM313" t="s">
        <v>6524</v>
      </c>
      <c r="BN313">
        <v>35027549</v>
      </c>
      <c r="BO313" t="s">
        <v>6525</v>
      </c>
      <c r="BP313" t="s">
        <v>74</v>
      </c>
      <c r="BQ313" t="s">
        <v>74</v>
      </c>
      <c r="BR313" t="s">
        <v>106</v>
      </c>
      <c r="BS313" t="s">
        <v>6526</v>
      </c>
      <c r="BT313" t="str">
        <f>HYPERLINK("https%3A%2F%2Fwww.webofscience.com%2Fwos%2Fwoscc%2Ffull-record%2FWOS:000742409800005","View Full Record in Web of Science")</f>
        <v>View Full Record in Web of Science</v>
      </c>
    </row>
    <row r="314" spans="1:72" x14ac:dyDescent="0.15">
      <c r="A314" t="s">
        <v>72</v>
      </c>
      <c r="B314" t="s">
        <v>6527</v>
      </c>
      <c r="C314" t="s">
        <v>74</v>
      </c>
      <c r="D314" t="s">
        <v>74</v>
      </c>
      <c r="E314" t="s">
        <v>74</v>
      </c>
      <c r="F314" t="s">
        <v>6528</v>
      </c>
      <c r="G314" t="s">
        <v>74</v>
      </c>
      <c r="H314" t="s">
        <v>74</v>
      </c>
      <c r="I314" t="s">
        <v>6529</v>
      </c>
      <c r="J314" t="s">
        <v>6530</v>
      </c>
      <c r="K314" t="s">
        <v>74</v>
      </c>
      <c r="L314" t="s">
        <v>74</v>
      </c>
      <c r="M314" t="s">
        <v>78</v>
      </c>
      <c r="N314" t="s">
        <v>79</v>
      </c>
      <c r="O314" t="s">
        <v>74</v>
      </c>
      <c r="P314" t="s">
        <v>74</v>
      </c>
      <c r="Q314" t="s">
        <v>74</v>
      </c>
      <c r="R314" t="s">
        <v>74</v>
      </c>
      <c r="S314" t="s">
        <v>74</v>
      </c>
      <c r="T314" t="s">
        <v>6531</v>
      </c>
      <c r="U314" t="s">
        <v>6532</v>
      </c>
      <c r="V314" t="s">
        <v>6533</v>
      </c>
      <c r="W314" t="s">
        <v>6534</v>
      </c>
      <c r="X314" t="s">
        <v>6535</v>
      </c>
      <c r="Y314" t="s">
        <v>6536</v>
      </c>
      <c r="Z314" t="s">
        <v>6537</v>
      </c>
      <c r="AA314" t="s">
        <v>74</v>
      </c>
      <c r="AB314" t="s">
        <v>6538</v>
      </c>
      <c r="AC314" t="s">
        <v>6539</v>
      </c>
      <c r="AD314" t="s">
        <v>6539</v>
      </c>
      <c r="AE314" t="s">
        <v>6540</v>
      </c>
      <c r="AF314" t="s">
        <v>74</v>
      </c>
      <c r="AG314">
        <v>28</v>
      </c>
      <c r="AH314">
        <v>0</v>
      </c>
      <c r="AI314">
        <v>0</v>
      </c>
      <c r="AJ314">
        <v>1</v>
      </c>
      <c r="AK314">
        <v>3</v>
      </c>
      <c r="AL314" t="s">
        <v>6541</v>
      </c>
      <c r="AM314" t="s">
        <v>6542</v>
      </c>
      <c r="AN314" t="s">
        <v>6543</v>
      </c>
      <c r="AO314" t="s">
        <v>6544</v>
      </c>
      <c r="AP314" t="s">
        <v>74</v>
      </c>
      <c r="AQ314" t="s">
        <v>74</v>
      </c>
      <c r="AR314" t="s">
        <v>6545</v>
      </c>
      <c r="AS314" t="s">
        <v>6546</v>
      </c>
      <c r="AT314" t="s">
        <v>6438</v>
      </c>
      <c r="AU314">
        <v>2022</v>
      </c>
      <c r="AV314">
        <v>13</v>
      </c>
      <c r="AW314" t="s">
        <v>74</v>
      </c>
      <c r="AX314" t="s">
        <v>74</v>
      </c>
      <c r="AY314" t="s">
        <v>74</v>
      </c>
      <c r="AZ314" t="s">
        <v>74</v>
      </c>
      <c r="BA314" t="s">
        <v>74</v>
      </c>
      <c r="BB314" t="s">
        <v>74</v>
      </c>
      <c r="BC314" t="s">
        <v>74</v>
      </c>
      <c r="BD314">
        <v>2</v>
      </c>
      <c r="BE314" t="s">
        <v>6547</v>
      </c>
      <c r="BF314" t="str">
        <f>HYPERLINK("http://dx.doi.org/10.1051/epjpv/2021015","http://dx.doi.org/10.1051/epjpv/2021015")</f>
        <v>http://dx.doi.org/10.1051/epjpv/2021015</v>
      </c>
      <c r="BG314" t="s">
        <v>74</v>
      </c>
      <c r="BH314" t="s">
        <v>74</v>
      </c>
      <c r="BI314">
        <v>9</v>
      </c>
      <c r="BJ314" t="s">
        <v>6548</v>
      </c>
      <c r="BK314" t="s">
        <v>724</v>
      </c>
      <c r="BL314" t="s">
        <v>3934</v>
      </c>
      <c r="BM314" t="s">
        <v>6549</v>
      </c>
      <c r="BN314" t="s">
        <v>74</v>
      </c>
      <c r="BO314" t="s">
        <v>292</v>
      </c>
      <c r="BP314" t="s">
        <v>74</v>
      </c>
      <c r="BQ314" t="s">
        <v>74</v>
      </c>
      <c r="BR314" t="s">
        <v>106</v>
      </c>
      <c r="BS314" t="s">
        <v>6550</v>
      </c>
      <c r="BT314" t="str">
        <f>HYPERLINK("https%3A%2F%2Fwww.webofscience.com%2Fwos%2Fwoscc%2Ffull-record%2FWOS:000742174200002","View Full Record in Web of Science")</f>
        <v>View Full Record in Web of Science</v>
      </c>
    </row>
    <row r="315" spans="1:72" x14ac:dyDescent="0.15">
      <c r="A315" t="s">
        <v>72</v>
      </c>
      <c r="B315" t="s">
        <v>6551</v>
      </c>
      <c r="C315" t="s">
        <v>74</v>
      </c>
      <c r="D315" t="s">
        <v>74</v>
      </c>
      <c r="E315" t="s">
        <v>74</v>
      </c>
      <c r="F315" t="s">
        <v>6552</v>
      </c>
      <c r="G315" t="s">
        <v>74</v>
      </c>
      <c r="H315" t="s">
        <v>74</v>
      </c>
      <c r="I315" t="s">
        <v>6553</v>
      </c>
      <c r="J315" t="s">
        <v>6554</v>
      </c>
      <c r="K315" t="s">
        <v>74</v>
      </c>
      <c r="L315" t="s">
        <v>74</v>
      </c>
      <c r="M315" t="s">
        <v>78</v>
      </c>
      <c r="N315" t="s">
        <v>79</v>
      </c>
      <c r="O315" t="s">
        <v>74</v>
      </c>
      <c r="P315" t="s">
        <v>74</v>
      </c>
      <c r="Q315" t="s">
        <v>74</v>
      </c>
      <c r="R315" t="s">
        <v>74</v>
      </c>
      <c r="S315" t="s">
        <v>74</v>
      </c>
      <c r="T315" t="s">
        <v>6555</v>
      </c>
      <c r="U315" t="s">
        <v>6556</v>
      </c>
      <c r="V315" t="s">
        <v>6557</v>
      </c>
      <c r="W315" t="s">
        <v>6558</v>
      </c>
      <c r="X315" t="s">
        <v>6559</v>
      </c>
      <c r="Y315" t="s">
        <v>6560</v>
      </c>
      <c r="Z315" t="s">
        <v>6561</v>
      </c>
      <c r="AA315" t="s">
        <v>6562</v>
      </c>
      <c r="AB315" t="s">
        <v>74</v>
      </c>
      <c r="AC315" t="s">
        <v>6563</v>
      </c>
      <c r="AD315" t="s">
        <v>6564</v>
      </c>
      <c r="AE315" t="s">
        <v>6565</v>
      </c>
      <c r="AF315" t="s">
        <v>74</v>
      </c>
      <c r="AG315">
        <v>44</v>
      </c>
      <c r="AH315">
        <v>1</v>
      </c>
      <c r="AI315">
        <v>1</v>
      </c>
      <c r="AJ315">
        <v>2</v>
      </c>
      <c r="AK315">
        <v>11</v>
      </c>
      <c r="AL315" t="s">
        <v>1074</v>
      </c>
      <c r="AM315" t="s">
        <v>1098</v>
      </c>
      <c r="AN315" t="s">
        <v>1099</v>
      </c>
      <c r="AO315" t="s">
        <v>6566</v>
      </c>
      <c r="AP315" t="s">
        <v>6567</v>
      </c>
      <c r="AQ315" t="s">
        <v>74</v>
      </c>
      <c r="AR315" t="s">
        <v>6568</v>
      </c>
      <c r="AS315" t="s">
        <v>6569</v>
      </c>
      <c r="AT315" t="s">
        <v>99</v>
      </c>
      <c r="AU315">
        <v>2022</v>
      </c>
      <c r="AV315">
        <v>115</v>
      </c>
      <c r="AW315">
        <v>3</v>
      </c>
      <c r="AX315" t="s">
        <v>74</v>
      </c>
      <c r="AY315" t="s">
        <v>74</v>
      </c>
      <c r="AZ315" t="s">
        <v>74</v>
      </c>
      <c r="BA315" t="s">
        <v>74</v>
      </c>
      <c r="BB315">
        <v>391</v>
      </c>
      <c r="BC315">
        <v>405</v>
      </c>
      <c r="BD315" t="s">
        <v>74</v>
      </c>
      <c r="BE315" t="s">
        <v>6570</v>
      </c>
      <c r="BF315" t="str">
        <f>HYPERLINK("http://dx.doi.org/10.1007/s10482-021-01702-8","http://dx.doi.org/10.1007/s10482-021-01702-8")</f>
        <v>http://dx.doi.org/10.1007/s10482-021-01702-8</v>
      </c>
      <c r="BG315" t="s">
        <v>74</v>
      </c>
      <c r="BH315" t="s">
        <v>4536</v>
      </c>
      <c r="BI315">
        <v>15</v>
      </c>
      <c r="BJ315" t="s">
        <v>747</v>
      </c>
      <c r="BK315" t="s">
        <v>103</v>
      </c>
      <c r="BL315" t="s">
        <v>747</v>
      </c>
      <c r="BM315" t="s">
        <v>6571</v>
      </c>
      <c r="BN315">
        <v>35022928</v>
      </c>
      <c r="BO315" t="s">
        <v>74</v>
      </c>
      <c r="BP315" t="s">
        <v>74</v>
      </c>
      <c r="BQ315" t="s">
        <v>74</v>
      </c>
      <c r="BR315" t="s">
        <v>106</v>
      </c>
      <c r="BS315" t="s">
        <v>6572</v>
      </c>
      <c r="BT315" t="str">
        <f>HYPERLINK("https%3A%2F%2Fwww.webofscience.com%2Fwos%2Fwoscc%2Ffull-record%2FWOS:000741872700001","View Full Record in Web of Science")</f>
        <v>View Full Record in Web of Science</v>
      </c>
    </row>
    <row r="316" spans="1:72" x14ac:dyDescent="0.15">
      <c r="A316" t="s">
        <v>72</v>
      </c>
      <c r="B316" t="s">
        <v>6573</v>
      </c>
      <c r="C316" t="s">
        <v>74</v>
      </c>
      <c r="D316" t="s">
        <v>74</v>
      </c>
      <c r="E316" t="s">
        <v>74</v>
      </c>
      <c r="F316" t="s">
        <v>6574</v>
      </c>
      <c r="G316" t="s">
        <v>74</v>
      </c>
      <c r="H316" t="s">
        <v>74</v>
      </c>
      <c r="I316" t="s">
        <v>6575</v>
      </c>
      <c r="J316" t="s">
        <v>6576</v>
      </c>
      <c r="K316" t="s">
        <v>74</v>
      </c>
      <c r="L316" t="s">
        <v>74</v>
      </c>
      <c r="M316" t="s">
        <v>78</v>
      </c>
      <c r="N316" t="s">
        <v>79</v>
      </c>
      <c r="O316" t="s">
        <v>74</v>
      </c>
      <c r="P316" t="s">
        <v>74</v>
      </c>
      <c r="Q316" t="s">
        <v>74</v>
      </c>
      <c r="R316" t="s">
        <v>74</v>
      </c>
      <c r="S316" t="s">
        <v>74</v>
      </c>
      <c r="T316" t="s">
        <v>6577</v>
      </c>
      <c r="U316" t="s">
        <v>6578</v>
      </c>
      <c r="V316" t="s">
        <v>6579</v>
      </c>
      <c r="W316" t="s">
        <v>6580</v>
      </c>
      <c r="X316" t="s">
        <v>6581</v>
      </c>
      <c r="Y316" t="s">
        <v>6582</v>
      </c>
      <c r="Z316" t="s">
        <v>6583</v>
      </c>
      <c r="AA316" t="s">
        <v>6584</v>
      </c>
      <c r="AB316" t="s">
        <v>6585</v>
      </c>
      <c r="AC316" t="s">
        <v>6586</v>
      </c>
      <c r="AD316" t="s">
        <v>6587</v>
      </c>
      <c r="AE316" t="s">
        <v>6588</v>
      </c>
      <c r="AF316" t="s">
        <v>74</v>
      </c>
      <c r="AG316">
        <v>71</v>
      </c>
      <c r="AH316">
        <v>0</v>
      </c>
      <c r="AI316">
        <v>0</v>
      </c>
      <c r="AJ316">
        <v>8</v>
      </c>
      <c r="AK316">
        <v>27</v>
      </c>
      <c r="AL316" t="s">
        <v>92</v>
      </c>
      <c r="AM316" t="s">
        <v>93</v>
      </c>
      <c r="AN316" t="s">
        <v>94</v>
      </c>
      <c r="AO316" t="s">
        <v>6589</v>
      </c>
      <c r="AP316" t="s">
        <v>6590</v>
      </c>
      <c r="AQ316" t="s">
        <v>74</v>
      </c>
      <c r="AR316" t="s">
        <v>6591</v>
      </c>
      <c r="AS316" t="s">
        <v>6592</v>
      </c>
      <c r="AT316" t="s">
        <v>583</v>
      </c>
      <c r="AU316">
        <v>2022</v>
      </c>
      <c r="AV316">
        <v>272</v>
      </c>
      <c r="AW316" t="s">
        <v>74</v>
      </c>
      <c r="AX316" t="s">
        <v>74</v>
      </c>
      <c r="AY316" t="s">
        <v>74</v>
      </c>
      <c r="AZ316" t="s">
        <v>74</v>
      </c>
      <c r="BA316" t="s">
        <v>74</v>
      </c>
      <c r="BB316" t="s">
        <v>74</v>
      </c>
      <c r="BC316" t="s">
        <v>74</v>
      </c>
      <c r="BD316">
        <v>118943</v>
      </c>
      <c r="BE316" t="s">
        <v>6593</v>
      </c>
      <c r="BF316" t="str">
        <f>HYPERLINK("http://dx.doi.org/10.1016/j.atmosenv.2022.118943","http://dx.doi.org/10.1016/j.atmosenv.2022.118943")</f>
        <v>http://dx.doi.org/10.1016/j.atmosenv.2022.118943</v>
      </c>
      <c r="BG316" t="s">
        <v>74</v>
      </c>
      <c r="BH316" t="s">
        <v>4536</v>
      </c>
      <c r="BI316">
        <v>13</v>
      </c>
      <c r="BJ316" t="s">
        <v>129</v>
      </c>
      <c r="BK316" t="s">
        <v>103</v>
      </c>
      <c r="BL316" t="s">
        <v>130</v>
      </c>
      <c r="BM316" t="s">
        <v>6594</v>
      </c>
      <c r="BN316" t="s">
        <v>74</v>
      </c>
      <c r="BO316" t="s">
        <v>74</v>
      </c>
      <c r="BP316" t="s">
        <v>74</v>
      </c>
      <c r="BQ316" t="s">
        <v>74</v>
      </c>
      <c r="BR316" t="s">
        <v>106</v>
      </c>
      <c r="BS316" t="s">
        <v>6595</v>
      </c>
      <c r="BT316" t="str">
        <f>HYPERLINK("https%3A%2F%2Fwww.webofscience.com%2Fwos%2Fwoscc%2Ffull-record%2FWOS:000788255500004","View Full Record in Web of Science")</f>
        <v>View Full Record in Web of Science</v>
      </c>
    </row>
    <row r="317" spans="1:72" x14ac:dyDescent="0.15">
      <c r="A317" t="s">
        <v>72</v>
      </c>
      <c r="B317" t="s">
        <v>6596</v>
      </c>
      <c r="C317" t="s">
        <v>74</v>
      </c>
      <c r="D317" t="s">
        <v>74</v>
      </c>
      <c r="E317" t="s">
        <v>74</v>
      </c>
      <c r="F317" t="s">
        <v>6597</v>
      </c>
      <c r="G317" t="s">
        <v>74</v>
      </c>
      <c r="H317" t="s">
        <v>74</v>
      </c>
      <c r="I317" t="s">
        <v>6598</v>
      </c>
      <c r="J317" t="s">
        <v>2134</v>
      </c>
      <c r="K317" t="s">
        <v>74</v>
      </c>
      <c r="L317" t="s">
        <v>74</v>
      </c>
      <c r="M317" t="s">
        <v>78</v>
      </c>
      <c r="N317" t="s">
        <v>79</v>
      </c>
      <c r="O317" t="s">
        <v>74</v>
      </c>
      <c r="P317" t="s">
        <v>74</v>
      </c>
      <c r="Q317" t="s">
        <v>74</v>
      </c>
      <c r="R317" t="s">
        <v>74</v>
      </c>
      <c r="S317" t="s">
        <v>74</v>
      </c>
      <c r="T317" t="s">
        <v>6599</v>
      </c>
      <c r="U317" t="s">
        <v>6600</v>
      </c>
      <c r="V317" t="s">
        <v>6601</v>
      </c>
      <c r="W317" t="s">
        <v>6602</v>
      </c>
      <c r="X317" t="s">
        <v>6603</v>
      </c>
      <c r="Y317" t="s">
        <v>6604</v>
      </c>
      <c r="Z317" t="s">
        <v>6605</v>
      </c>
      <c r="AA317" t="s">
        <v>6606</v>
      </c>
      <c r="AB317" t="s">
        <v>6607</v>
      </c>
      <c r="AC317" t="s">
        <v>6608</v>
      </c>
      <c r="AD317" t="s">
        <v>6609</v>
      </c>
      <c r="AE317" t="s">
        <v>6610</v>
      </c>
      <c r="AF317" t="s">
        <v>74</v>
      </c>
      <c r="AG317">
        <v>52</v>
      </c>
      <c r="AH317">
        <v>3</v>
      </c>
      <c r="AI317">
        <v>3</v>
      </c>
      <c r="AJ317">
        <v>0</v>
      </c>
      <c r="AK317">
        <v>6</v>
      </c>
      <c r="AL317" t="s">
        <v>1552</v>
      </c>
      <c r="AM317" t="s">
        <v>436</v>
      </c>
      <c r="AN317" t="s">
        <v>1553</v>
      </c>
      <c r="AO317" t="s">
        <v>2146</v>
      </c>
      <c r="AP317" t="s">
        <v>2147</v>
      </c>
      <c r="AQ317" t="s">
        <v>74</v>
      </c>
      <c r="AR317" t="s">
        <v>2148</v>
      </c>
      <c r="AS317" t="s">
        <v>2149</v>
      </c>
      <c r="AT317" t="s">
        <v>6611</v>
      </c>
      <c r="AU317">
        <v>2022</v>
      </c>
      <c r="AV317">
        <v>266</v>
      </c>
      <c r="AW317" t="s">
        <v>74</v>
      </c>
      <c r="AX317" t="s">
        <v>74</v>
      </c>
      <c r="AY317" t="s">
        <v>74</v>
      </c>
      <c r="AZ317" t="s">
        <v>74</v>
      </c>
      <c r="BA317" t="s">
        <v>74</v>
      </c>
      <c r="BB317" t="s">
        <v>74</v>
      </c>
      <c r="BC317" t="s">
        <v>74</v>
      </c>
      <c r="BD317">
        <v>107742</v>
      </c>
      <c r="BE317" t="s">
        <v>6612</v>
      </c>
      <c r="BF317" t="str">
        <f>HYPERLINK("http://dx.doi.org/10.1016/j.ecss.2022.107742","http://dx.doi.org/10.1016/j.ecss.2022.107742")</f>
        <v>http://dx.doi.org/10.1016/j.ecss.2022.107742</v>
      </c>
      <c r="BG317" t="s">
        <v>74</v>
      </c>
      <c r="BH317" t="s">
        <v>4536</v>
      </c>
      <c r="BI317">
        <v>6</v>
      </c>
      <c r="BJ317" t="s">
        <v>772</v>
      </c>
      <c r="BK317" t="s">
        <v>103</v>
      </c>
      <c r="BL317" t="s">
        <v>772</v>
      </c>
      <c r="BM317" t="s">
        <v>6613</v>
      </c>
      <c r="BN317" t="s">
        <v>74</v>
      </c>
      <c r="BO317" t="s">
        <v>74</v>
      </c>
      <c r="BP317" t="s">
        <v>74</v>
      </c>
      <c r="BQ317" t="s">
        <v>74</v>
      </c>
      <c r="BR317" t="s">
        <v>106</v>
      </c>
      <c r="BS317" t="s">
        <v>6614</v>
      </c>
      <c r="BT317" t="str">
        <f>HYPERLINK("https%3A%2F%2Fwww.webofscience.com%2Fwos%2Fwoscc%2Ffull-record%2FWOS:000789695100005","View Full Record in Web of Science")</f>
        <v>View Full Record in Web of Science</v>
      </c>
    </row>
    <row r="318" spans="1:72" x14ac:dyDescent="0.15">
      <c r="A318" t="s">
        <v>72</v>
      </c>
      <c r="B318" t="s">
        <v>6615</v>
      </c>
      <c r="C318" t="s">
        <v>74</v>
      </c>
      <c r="D318" t="s">
        <v>74</v>
      </c>
      <c r="E318" t="s">
        <v>74</v>
      </c>
      <c r="F318" t="s">
        <v>6616</v>
      </c>
      <c r="G318" t="s">
        <v>74</v>
      </c>
      <c r="H318" t="s">
        <v>74</v>
      </c>
      <c r="I318" t="s">
        <v>6617</v>
      </c>
      <c r="J318" t="s">
        <v>6618</v>
      </c>
      <c r="K318" t="s">
        <v>74</v>
      </c>
      <c r="L318" t="s">
        <v>74</v>
      </c>
      <c r="M318" t="s">
        <v>78</v>
      </c>
      <c r="N318" t="s">
        <v>79</v>
      </c>
      <c r="O318" t="s">
        <v>74</v>
      </c>
      <c r="P318" t="s">
        <v>74</v>
      </c>
      <c r="Q318" t="s">
        <v>74</v>
      </c>
      <c r="R318" t="s">
        <v>74</v>
      </c>
      <c r="S318" t="s">
        <v>74</v>
      </c>
      <c r="T318" t="s">
        <v>6619</v>
      </c>
      <c r="U318" t="s">
        <v>6620</v>
      </c>
      <c r="V318" t="s">
        <v>6621</v>
      </c>
      <c r="W318" t="s">
        <v>6622</v>
      </c>
      <c r="X318" t="s">
        <v>6623</v>
      </c>
      <c r="Y318" t="s">
        <v>6624</v>
      </c>
      <c r="Z318" t="s">
        <v>6625</v>
      </c>
      <c r="AA318" t="s">
        <v>6626</v>
      </c>
      <c r="AB318" t="s">
        <v>6627</v>
      </c>
      <c r="AC318" t="s">
        <v>74</v>
      </c>
      <c r="AD318" t="s">
        <v>74</v>
      </c>
      <c r="AE318" t="s">
        <v>74</v>
      </c>
      <c r="AF318" t="s">
        <v>74</v>
      </c>
      <c r="AG318">
        <v>36</v>
      </c>
      <c r="AH318">
        <v>9</v>
      </c>
      <c r="AI318">
        <v>10</v>
      </c>
      <c r="AJ318">
        <v>2</v>
      </c>
      <c r="AK318">
        <v>15</v>
      </c>
      <c r="AL318" t="s">
        <v>363</v>
      </c>
      <c r="AM318" t="s">
        <v>364</v>
      </c>
      <c r="AN318" t="s">
        <v>365</v>
      </c>
      <c r="AO318" t="s">
        <v>6628</v>
      </c>
      <c r="AP318" t="s">
        <v>74</v>
      </c>
      <c r="AQ318" t="s">
        <v>74</v>
      </c>
      <c r="AR318" t="s">
        <v>6629</v>
      </c>
      <c r="AS318" t="s">
        <v>6630</v>
      </c>
      <c r="AT318" t="s">
        <v>6631</v>
      </c>
      <c r="AU318">
        <v>2022</v>
      </c>
      <c r="AV318">
        <v>9</v>
      </c>
      <c r="AW318" t="s">
        <v>74</v>
      </c>
      <c r="AX318" t="s">
        <v>74</v>
      </c>
      <c r="AY318" t="s">
        <v>74</v>
      </c>
      <c r="AZ318" t="s">
        <v>74</v>
      </c>
      <c r="BA318" t="s">
        <v>74</v>
      </c>
      <c r="BB318" t="s">
        <v>74</v>
      </c>
      <c r="BC318" t="s">
        <v>74</v>
      </c>
      <c r="BD318">
        <v>752281</v>
      </c>
      <c r="BE318" t="s">
        <v>6632</v>
      </c>
      <c r="BF318" t="str">
        <f>HYPERLINK("http://dx.doi.org/10.3389/fbioe.2021.752281","http://dx.doi.org/10.3389/fbioe.2021.752281")</f>
        <v>http://dx.doi.org/10.3389/fbioe.2021.752281</v>
      </c>
      <c r="BG318" t="s">
        <v>74</v>
      </c>
      <c r="BH318" t="s">
        <v>74</v>
      </c>
      <c r="BI318">
        <v>9</v>
      </c>
      <c r="BJ318" t="s">
        <v>6633</v>
      </c>
      <c r="BK318" t="s">
        <v>103</v>
      </c>
      <c r="BL318" t="s">
        <v>2414</v>
      </c>
      <c r="BM318" t="s">
        <v>6634</v>
      </c>
      <c r="BN318">
        <v>35096788</v>
      </c>
      <c r="BO318" t="s">
        <v>292</v>
      </c>
      <c r="BP318" t="s">
        <v>74</v>
      </c>
      <c r="BQ318" t="s">
        <v>74</v>
      </c>
      <c r="BR318" t="s">
        <v>106</v>
      </c>
      <c r="BS318" t="s">
        <v>6635</v>
      </c>
      <c r="BT318" t="str">
        <f>HYPERLINK("https%3A%2F%2Fwww.webofscience.com%2Fwos%2Fwoscc%2Ffull-record%2FWOS:000747904700001","View Full Record in Web of Science")</f>
        <v>View Full Record in Web of Science</v>
      </c>
    </row>
    <row r="319" spans="1:72" x14ac:dyDescent="0.15">
      <c r="A319" t="s">
        <v>72</v>
      </c>
      <c r="B319" t="s">
        <v>6636</v>
      </c>
      <c r="C319" t="s">
        <v>74</v>
      </c>
      <c r="D319" t="s">
        <v>74</v>
      </c>
      <c r="E319" t="s">
        <v>74</v>
      </c>
      <c r="F319" t="s">
        <v>6637</v>
      </c>
      <c r="G319" t="s">
        <v>74</v>
      </c>
      <c r="H319" t="s">
        <v>74</v>
      </c>
      <c r="I319" t="s">
        <v>6638</v>
      </c>
      <c r="J319" t="s">
        <v>1635</v>
      </c>
      <c r="K319" t="s">
        <v>74</v>
      </c>
      <c r="L319" t="s">
        <v>74</v>
      </c>
      <c r="M319" t="s">
        <v>78</v>
      </c>
      <c r="N319" t="s">
        <v>1434</v>
      </c>
      <c r="O319" t="s">
        <v>74</v>
      </c>
      <c r="P319" t="s">
        <v>74</v>
      </c>
      <c r="Q319" t="s">
        <v>74</v>
      </c>
      <c r="R319" t="s">
        <v>74</v>
      </c>
      <c r="S319" t="s">
        <v>74</v>
      </c>
      <c r="T319" t="s">
        <v>74</v>
      </c>
      <c r="U319" t="s">
        <v>6639</v>
      </c>
      <c r="V319" t="s">
        <v>6640</v>
      </c>
      <c r="W319" t="s">
        <v>6641</v>
      </c>
      <c r="X319" t="s">
        <v>6642</v>
      </c>
      <c r="Y319" t="s">
        <v>6643</v>
      </c>
      <c r="Z319" t="s">
        <v>6644</v>
      </c>
      <c r="AA319" t="s">
        <v>6645</v>
      </c>
      <c r="AB319" t="s">
        <v>6646</v>
      </c>
      <c r="AC319" t="s">
        <v>6647</v>
      </c>
      <c r="AD319" t="s">
        <v>6648</v>
      </c>
      <c r="AE319" t="s">
        <v>6649</v>
      </c>
      <c r="AF319" t="s">
        <v>74</v>
      </c>
      <c r="AG319">
        <v>48</v>
      </c>
      <c r="AH319">
        <v>4</v>
      </c>
      <c r="AI319">
        <v>4</v>
      </c>
      <c r="AJ319">
        <v>0</v>
      </c>
      <c r="AK319">
        <v>6</v>
      </c>
      <c r="AL319" t="s">
        <v>120</v>
      </c>
      <c r="AM319" t="s">
        <v>121</v>
      </c>
      <c r="AN319" t="s">
        <v>122</v>
      </c>
      <c r="AO319" t="s">
        <v>1646</v>
      </c>
      <c r="AP319" t="s">
        <v>1647</v>
      </c>
      <c r="AQ319" t="s">
        <v>74</v>
      </c>
      <c r="AR319" t="s">
        <v>1648</v>
      </c>
      <c r="AS319" t="s">
        <v>1649</v>
      </c>
      <c r="AT319" t="s">
        <v>6631</v>
      </c>
      <c r="AU319">
        <v>2022</v>
      </c>
      <c r="AV319">
        <v>14</v>
      </c>
      <c r="AW319">
        <v>1</v>
      </c>
      <c r="AX319" t="s">
        <v>74</v>
      </c>
      <c r="AY319" t="s">
        <v>74</v>
      </c>
      <c r="AZ319" t="s">
        <v>74</v>
      </c>
      <c r="BA319" t="s">
        <v>74</v>
      </c>
      <c r="BB319">
        <v>65</v>
      </c>
      <c r="BC319">
        <v>78</v>
      </c>
      <c r="BD319" t="s">
        <v>74</v>
      </c>
      <c r="BE319" t="s">
        <v>6650</v>
      </c>
      <c r="BF319" t="str">
        <f>HYPERLINK("http://dx.doi.org/10.5194/essd-14-65-2022","http://dx.doi.org/10.5194/essd-14-65-2022")</f>
        <v>http://dx.doi.org/10.5194/essd-14-65-2022</v>
      </c>
      <c r="BG319" t="s">
        <v>74</v>
      </c>
      <c r="BH319" t="s">
        <v>74</v>
      </c>
      <c r="BI319">
        <v>14</v>
      </c>
      <c r="BJ319" t="s">
        <v>1201</v>
      </c>
      <c r="BK319" t="s">
        <v>103</v>
      </c>
      <c r="BL319" t="s">
        <v>1202</v>
      </c>
      <c r="BM319" t="s">
        <v>6651</v>
      </c>
      <c r="BN319" t="s">
        <v>74</v>
      </c>
      <c r="BO319" t="s">
        <v>1204</v>
      </c>
      <c r="BP319" t="s">
        <v>74</v>
      </c>
      <c r="BQ319" t="s">
        <v>74</v>
      </c>
      <c r="BR319" t="s">
        <v>106</v>
      </c>
      <c r="BS319" t="s">
        <v>6652</v>
      </c>
      <c r="BT319" t="str">
        <f>HYPERLINK("https%3A%2F%2Fwww.webofscience.com%2Fwos%2Fwoscc%2Ffull-record%2FWOS:000746431300001","View Full Record in Web of Science")</f>
        <v>View Full Record in Web of Science</v>
      </c>
    </row>
    <row r="320" spans="1:72" x14ac:dyDescent="0.15">
      <c r="A320" t="s">
        <v>72</v>
      </c>
      <c r="B320" t="s">
        <v>6653</v>
      </c>
      <c r="C320" t="s">
        <v>74</v>
      </c>
      <c r="D320" t="s">
        <v>74</v>
      </c>
      <c r="E320" t="s">
        <v>74</v>
      </c>
      <c r="F320" t="s">
        <v>6654</v>
      </c>
      <c r="G320" t="s">
        <v>74</v>
      </c>
      <c r="H320" t="s">
        <v>74</v>
      </c>
      <c r="I320" t="s">
        <v>6655</v>
      </c>
      <c r="J320" t="s">
        <v>2375</v>
      </c>
      <c r="K320" t="s">
        <v>74</v>
      </c>
      <c r="L320" t="s">
        <v>74</v>
      </c>
      <c r="M320" t="s">
        <v>78</v>
      </c>
      <c r="N320" t="s">
        <v>79</v>
      </c>
      <c r="O320" t="s">
        <v>74</v>
      </c>
      <c r="P320" t="s">
        <v>74</v>
      </c>
      <c r="Q320" t="s">
        <v>74</v>
      </c>
      <c r="R320" t="s">
        <v>74</v>
      </c>
      <c r="S320" t="s">
        <v>74</v>
      </c>
      <c r="T320" t="s">
        <v>6656</v>
      </c>
      <c r="U320" t="s">
        <v>6657</v>
      </c>
      <c r="V320" t="s">
        <v>6658</v>
      </c>
      <c r="W320" t="s">
        <v>6659</v>
      </c>
      <c r="X320" t="s">
        <v>6660</v>
      </c>
      <c r="Y320" t="s">
        <v>6661</v>
      </c>
      <c r="Z320" t="s">
        <v>6662</v>
      </c>
      <c r="AA320" t="s">
        <v>6663</v>
      </c>
      <c r="AB320" t="s">
        <v>6664</v>
      </c>
      <c r="AC320" t="s">
        <v>6665</v>
      </c>
      <c r="AD320" t="s">
        <v>6666</v>
      </c>
      <c r="AE320" t="s">
        <v>6667</v>
      </c>
      <c r="AF320" t="s">
        <v>74</v>
      </c>
      <c r="AG320">
        <v>104</v>
      </c>
      <c r="AH320">
        <v>3</v>
      </c>
      <c r="AI320">
        <v>4</v>
      </c>
      <c r="AJ320">
        <v>0</v>
      </c>
      <c r="AK320">
        <v>9</v>
      </c>
      <c r="AL320" t="s">
        <v>92</v>
      </c>
      <c r="AM320" t="s">
        <v>93</v>
      </c>
      <c r="AN320" t="s">
        <v>94</v>
      </c>
      <c r="AO320" t="s">
        <v>2388</v>
      </c>
      <c r="AP320" t="s">
        <v>2389</v>
      </c>
      <c r="AQ320" t="s">
        <v>74</v>
      </c>
      <c r="AR320" t="s">
        <v>2390</v>
      </c>
      <c r="AS320" t="s">
        <v>2391</v>
      </c>
      <c r="AT320" t="s">
        <v>4645</v>
      </c>
      <c r="AU320">
        <v>2022</v>
      </c>
      <c r="AV320">
        <v>195</v>
      </c>
      <c r="AW320" t="s">
        <v>74</v>
      </c>
      <c r="AX320" t="s">
        <v>74</v>
      </c>
      <c r="AY320" t="s">
        <v>74</v>
      </c>
      <c r="AZ320" t="s">
        <v>74</v>
      </c>
      <c r="BA320" t="s">
        <v>74</v>
      </c>
      <c r="BB320" t="s">
        <v>74</v>
      </c>
      <c r="BC320" t="s">
        <v>74</v>
      </c>
      <c r="BD320">
        <v>105011</v>
      </c>
      <c r="BE320" t="s">
        <v>6668</v>
      </c>
      <c r="BF320" t="str">
        <f>HYPERLINK("http://dx.doi.org/10.1016/j.dsr2.2021.105011","http://dx.doi.org/10.1016/j.dsr2.2021.105011")</f>
        <v>http://dx.doi.org/10.1016/j.dsr2.2021.105011</v>
      </c>
      <c r="BG320" t="s">
        <v>74</v>
      </c>
      <c r="BH320" t="s">
        <v>4536</v>
      </c>
      <c r="BI320">
        <v>15</v>
      </c>
      <c r="BJ320" t="s">
        <v>1131</v>
      </c>
      <c r="BK320" t="s">
        <v>103</v>
      </c>
      <c r="BL320" t="s">
        <v>1131</v>
      </c>
      <c r="BM320" t="s">
        <v>6669</v>
      </c>
      <c r="BN320" t="s">
        <v>74</v>
      </c>
      <c r="BO320" t="s">
        <v>74</v>
      </c>
      <c r="BP320" t="s">
        <v>74</v>
      </c>
      <c r="BQ320" t="s">
        <v>74</v>
      </c>
      <c r="BR320" t="s">
        <v>106</v>
      </c>
      <c r="BS320" t="s">
        <v>6670</v>
      </c>
      <c r="BT320" t="str">
        <f>HYPERLINK("https%3A%2F%2Fwww.webofscience.com%2Fwos%2Fwoscc%2Ffull-record%2FWOS:000744028400003","View Full Record in Web of Science")</f>
        <v>View Full Record in Web of Science</v>
      </c>
    </row>
    <row r="321" spans="1:72" x14ac:dyDescent="0.15">
      <c r="A321" t="s">
        <v>72</v>
      </c>
      <c r="B321" t="s">
        <v>6671</v>
      </c>
      <c r="C321" t="s">
        <v>74</v>
      </c>
      <c r="D321" t="s">
        <v>74</v>
      </c>
      <c r="E321" t="s">
        <v>74</v>
      </c>
      <c r="F321" t="s">
        <v>6672</v>
      </c>
      <c r="G321" t="s">
        <v>74</v>
      </c>
      <c r="H321" t="s">
        <v>74</v>
      </c>
      <c r="I321" t="s">
        <v>6673</v>
      </c>
      <c r="J321" t="s">
        <v>2375</v>
      </c>
      <c r="K321" t="s">
        <v>74</v>
      </c>
      <c r="L321" t="s">
        <v>74</v>
      </c>
      <c r="M321" t="s">
        <v>78</v>
      </c>
      <c r="N321" t="s">
        <v>79</v>
      </c>
      <c r="O321" t="s">
        <v>74</v>
      </c>
      <c r="P321" t="s">
        <v>74</v>
      </c>
      <c r="Q321" t="s">
        <v>74</v>
      </c>
      <c r="R321" t="s">
        <v>74</v>
      </c>
      <c r="S321" t="s">
        <v>74</v>
      </c>
      <c r="T321" t="s">
        <v>6674</v>
      </c>
      <c r="U321" t="s">
        <v>6675</v>
      </c>
      <c r="V321" t="s">
        <v>6676</v>
      </c>
      <c r="W321" t="s">
        <v>6677</v>
      </c>
      <c r="X321" t="s">
        <v>6678</v>
      </c>
      <c r="Y321" t="s">
        <v>6679</v>
      </c>
      <c r="Z321" t="s">
        <v>6680</v>
      </c>
      <c r="AA321" t="s">
        <v>6681</v>
      </c>
      <c r="AB321" t="s">
        <v>6682</v>
      </c>
      <c r="AC321" t="s">
        <v>6683</v>
      </c>
      <c r="AD321" t="s">
        <v>6684</v>
      </c>
      <c r="AE321" t="s">
        <v>6685</v>
      </c>
      <c r="AF321" t="s">
        <v>74</v>
      </c>
      <c r="AG321">
        <v>39</v>
      </c>
      <c r="AH321">
        <v>1</v>
      </c>
      <c r="AI321">
        <v>2</v>
      </c>
      <c r="AJ321">
        <v>4</v>
      </c>
      <c r="AK321">
        <v>26</v>
      </c>
      <c r="AL321" t="s">
        <v>92</v>
      </c>
      <c r="AM321" t="s">
        <v>93</v>
      </c>
      <c r="AN321" t="s">
        <v>94</v>
      </c>
      <c r="AO321" t="s">
        <v>2388</v>
      </c>
      <c r="AP321" t="s">
        <v>2389</v>
      </c>
      <c r="AQ321" t="s">
        <v>74</v>
      </c>
      <c r="AR321" t="s">
        <v>2390</v>
      </c>
      <c r="AS321" t="s">
        <v>2391</v>
      </c>
      <c r="AT321" t="s">
        <v>4645</v>
      </c>
      <c r="AU321">
        <v>2022</v>
      </c>
      <c r="AV321">
        <v>195</v>
      </c>
      <c r="AW321" t="s">
        <v>74</v>
      </c>
      <c r="AX321" t="s">
        <v>74</v>
      </c>
      <c r="AY321" t="s">
        <v>74</v>
      </c>
      <c r="AZ321" t="s">
        <v>74</v>
      </c>
      <c r="BA321" t="s">
        <v>74</v>
      </c>
      <c r="BB321" t="s">
        <v>74</v>
      </c>
      <c r="BC321" t="s">
        <v>74</v>
      </c>
      <c r="BD321">
        <v>105000</v>
      </c>
      <c r="BE321" t="s">
        <v>6686</v>
      </c>
      <c r="BF321" t="str">
        <f>HYPERLINK("http://dx.doi.org/10.1016/j.dsr2.2021.105000","http://dx.doi.org/10.1016/j.dsr2.2021.105000")</f>
        <v>http://dx.doi.org/10.1016/j.dsr2.2021.105000</v>
      </c>
      <c r="BG321" t="s">
        <v>74</v>
      </c>
      <c r="BH321" t="s">
        <v>4536</v>
      </c>
      <c r="BI321">
        <v>12</v>
      </c>
      <c r="BJ321" t="s">
        <v>1131</v>
      </c>
      <c r="BK321" t="s">
        <v>103</v>
      </c>
      <c r="BL321" t="s">
        <v>1131</v>
      </c>
      <c r="BM321" t="s">
        <v>6687</v>
      </c>
      <c r="BN321" t="s">
        <v>74</v>
      </c>
      <c r="BO321" t="s">
        <v>948</v>
      </c>
      <c r="BP321" t="s">
        <v>74</v>
      </c>
      <c r="BQ321" t="s">
        <v>74</v>
      </c>
      <c r="BR321" t="s">
        <v>106</v>
      </c>
      <c r="BS321" t="s">
        <v>6688</v>
      </c>
      <c r="BT321" t="str">
        <f>HYPERLINK("https%3A%2F%2Fwww.webofscience.com%2Fwos%2Fwoscc%2Ffull-record%2FWOS:000744093700002","View Full Record in Web of Science")</f>
        <v>View Full Record in Web of Science</v>
      </c>
    </row>
    <row r="322" spans="1:72" x14ac:dyDescent="0.15">
      <c r="A322" t="s">
        <v>72</v>
      </c>
      <c r="B322" t="s">
        <v>6689</v>
      </c>
      <c r="C322" t="s">
        <v>74</v>
      </c>
      <c r="D322" t="s">
        <v>74</v>
      </c>
      <c r="E322" t="s">
        <v>74</v>
      </c>
      <c r="F322" t="s">
        <v>6690</v>
      </c>
      <c r="G322" t="s">
        <v>74</v>
      </c>
      <c r="H322" t="s">
        <v>74</v>
      </c>
      <c r="I322" t="s">
        <v>6691</v>
      </c>
      <c r="J322" t="s">
        <v>2532</v>
      </c>
      <c r="K322" t="s">
        <v>74</v>
      </c>
      <c r="L322" t="s">
        <v>74</v>
      </c>
      <c r="M322" t="s">
        <v>78</v>
      </c>
      <c r="N322" t="s">
        <v>79</v>
      </c>
      <c r="O322" t="s">
        <v>74</v>
      </c>
      <c r="P322" t="s">
        <v>74</v>
      </c>
      <c r="Q322" t="s">
        <v>74</v>
      </c>
      <c r="R322" t="s">
        <v>74</v>
      </c>
      <c r="S322" t="s">
        <v>74</v>
      </c>
      <c r="T322" t="s">
        <v>74</v>
      </c>
      <c r="U322" t="s">
        <v>6692</v>
      </c>
      <c r="V322" t="s">
        <v>6693</v>
      </c>
      <c r="W322" t="s">
        <v>6694</v>
      </c>
      <c r="X322" t="s">
        <v>6695</v>
      </c>
      <c r="Y322" t="s">
        <v>6696</v>
      </c>
      <c r="Z322" t="s">
        <v>6697</v>
      </c>
      <c r="AA322" t="s">
        <v>6698</v>
      </c>
      <c r="AB322" t="s">
        <v>6699</v>
      </c>
      <c r="AC322" t="s">
        <v>6700</v>
      </c>
      <c r="AD322" t="s">
        <v>6701</v>
      </c>
      <c r="AE322" t="s">
        <v>6702</v>
      </c>
      <c r="AF322" t="s">
        <v>74</v>
      </c>
      <c r="AG322">
        <v>80</v>
      </c>
      <c r="AH322">
        <v>16</v>
      </c>
      <c r="AI322">
        <v>16</v>
      </c>
      <c r="AJ322">
        <v>9</v>
      </c>
      <c r="AK322">
        <v>43</v>
      </c>
      <c r="AL322" t="s">
        <v>337</v>
      </c>
      <c r="AM322" t="s">
        <v>338</v>
      </c>
      <c r="AN322" t="s">
        <v>339</v>
      </c>
      <c r="AO322" t="s">
        <v>2543</v>
      </c>
      <c r="AP322" t="s">
        <v>74</v>
      </c>
      <c r="AQ322" t="s">
        <v>74</v>
      </c>
      <c r="AR322" t="s">
        <v>2544</v>
      </c>
      <c r="AS322" t="s">
        <v>2545</v>
      </c>
      <c r="AT322" t="s">
        <v>6631</v>
      </c>
      <c r="AU322">
        <v>2022</v>
      </c>
      <c r="AV322">
        <v>12</v>
      </c>
      <c r="AW322">
        <v>1</v>
      </c>
      <c r="AX322" t="s">
        <v>74</v>
      </c>
      <c r="AY322" t="s">
        <v>74</v>
      </c>
      <c r="AZ322" t="s">
        <v>74</v>
      </c>
      <c r="BA322" t="s">
        <v>74</v>
      </c>
      <c r="BB322" t="s">
        <v>74</v>
      </c>
      <c r="BC322" t="s">
        <v>74</v>
      </c>
      <c r="BD322">
        <v>644</v>
      </c>
      <c r="BE322" t="s">
        <v>6703</v>
      </c>
      <c r="BF322" t="str">
        <f>HYPERLINK("http://dx.doi.org/10.1038/s41598-021-04726-2","http://dx.doi.org/10.1038/s41598-021-04726-2")</f>
        <v>http://dx.doi.org/10.1038/s41598-021-04726-2</v>
      </c>
      <c r="BG322" t="s">
        <v>74</v>
      </c>
      <c r="BH322" t="s">
        <v>74</v>
      </c>
      <c r="BI322">
        <v>17</v>
      </c>
      <c r="BJ322" t="s">
        <v>289</v>
      </c>
      <c r="BK322" t="s">
        <v>103</v>
      </c>
      <c r="BL322" t="s">
        <v>290</v>
      </c>
      <c r="BM322" t="s">
        <v>6704</v>
      </c>
      <c r="BN322">
        <v>35022560</v>
      </c>
      <c r="BO322" t="s">
        <v>292</v>
      </c>
      <c r="BP322" t="s">
        <v>74</v>
      </c>
      <c r="BQ322" t="s">
        <v>74</v>
      </c>
      <c r="BR322" t="s">
        <v>106</v>
      </c>
      <c r="BS322" t="s">
        <v>6705</v>
      </c>
      <c r="BT322" t="str">
        <f>HYPERLINK("https%3A%2F%2Fwww.webofscience.com%2Fwos%2Fwoscc%2Ffull-record%2FWOS:000742155800033","View Full Record in Web of Science")</f>
        <v>View Full Record in Web of Science</v>
      </c>
    </row>
    <row r="323" spans="1:72" x14ac:dyDescent="0.15">
      <c r="A323" t="s">
        <v>72</v>
      </c>
      <c r="B323" t="s">
        <v>6706</v>
      </c>
      <c r="C323" t="s">
        <v>74</v>
      </c>
      <c r="D323" t="s">
        <v>74</v>
      </c>
      <c r="E323" t="s">
        <v>74</v>
      </c>
      <c r="F323" t="s">
        <v>6707</v>
      </c>
      <c r="G323" t="s">
        <v>74</v>
      </c>
      <c r="H323" t="s">
        <v>74</v>
      </c>
      <c r="I323" t="s">
        <v>6708</v>
      </c>
      <c r="J323" t="s">
        <v>6709</v>
      </c>
      <c r="K323" t="s">
        <v>74</v>
      </c>
      <c r="L323" t="s">
        <v>74</v>
      </c>
      <c r="M323" t="s">
        <v>78</v>
      </c>
      <c r="N323" t="s">
        <v>79</v>
      </c>
      <c r="O323" t="s">
        <v>74</v>
      </c>
      <c r="P323" t="s">
        <v>74</v>
      </c>
      <c r="Q323" t="s">
        <v>74</v>
      </c>
      <c r="R323" t="s">
        <v>74</v>
      </c>
      <c r="S323" t="s">
        <v>74</v>
      </c>
      <c r="T323" t="s">
        <v>6710</v>
      </c>
      <c r="U323" t="s">
        <v>6711</v>
      </c>
      <c r="V323" t="s">
        <v>6712</v>
      </c>
      <c r="W323" t="s">
        <v>6713</v>
      </c>
      <c r="X323" t="s">
        <v>6714</v>
      </c>
      <c r="Y323" t="s">
        <v>6715</v>
      </c>
      <c r="Z323" t="s">
        <v>6716</v>
      </c>
      <c r="AA323" t="s">
        <v>6717</v>
      </c>
      <c r="AB323" t="s">
        <v>6718</v>
      </c>
      <c r="AC323" t="s">
        <v>6719</v>
      </c>
      <c r="AD323" t="s">
        <v>6720</v>
      </c>
      <c r="AE323" t="s">
        <v>6721</v>
      </c>
      <c r="AF323" t="s">
        <v>74</v>
      </c>
      <c r="AG323">
        <v>126</v>
      </c>
      <c r="AH323">
        <v>12</v>
      </c>
      <c r="AI323">
        <v>13</v>
      </c>
      <c r="AJ323">
        <v>9</v>
      </c>
      <c r="AK323">
        <v>33</v>
      </c>
      <c r="AL323" t="s">
        <v>814</v>
      </c>
      <c r="AM323" t="s">
        <v>93</v>
      </c>
      <c r="AN323" t="s">
        <v>815</v>
      </c>
      <c r="AO323" t="s">
        <v>6722</v>
      </c>
      <c r="AP323" t="s">
        <v>6723</v>
      </c>
      <c r="AQ323" t="s">
        <v>74</v>
      </c>
      <c r="AR323" t="s">
        <v>6724</v>
      </c>
      <c r="AS323" t="s">
        <v>6725</v>
      </c>
      <c r="AT323" t="s">
        <v>840</v>
      </c>
      <c r="AU323">
        <v>2022</v>
      </c>
      <c r="AV323">
        <v>174</v>
      </c>
      <c r="AW323" t="s">
        <v>74</v>
      </c>
      <c r="AX323" t="s">
        <v>74</v>
      </c>
      <c r="AY323" t="s">
        <v>74</v>
      </c>
      <c r="AZ323" t="s">
        <v>74</v>
      </c>
      <c r="BA323" t="s">
        <v>74</v>
      </c>
      <c r="BB323" t="s">
        <v>74</v>
      </c>
      <c r="BC323" t="s">
        <v>74</v>
      </c>
      <c r="BD323">
        <v>105561</v>
      </c>
      <c r="BE323" t="s">
        <v>6726</v>
      </c>
      <c r="BF323" t="str">
        <f>HYPERLINK("http://dx.doi.org/10.1016/j.marenvres.2022.105561","http://dx.doi.org/10.1016/j.marenvres.2022.105561")</f>
        <v>http://dx.doi.org/10.1016/j.marenvres.2022.105561</v>
      </c>
      <c r="BG323" t="s">
        <v>74</v>
      </c>
      <c r="BH323" t="s">
        <v>4536</v>
      </c>
      <c r="BI323">
        <v>11</v>
      </c>
      <c r="BJ323" t="s">
        <v>6727</v>
      </c>
      <c r="BK323" t="s">
        <v>103</v>
      </c>
      <c r="BL323" t="s">
        <v>6728</v>
      </c>
      <c r="BM323" t="s">
        <v>6729</v>
      </c>
      <c r="BN323">
        <v>35026725</v>
      </c>
      <c r="BO323" t="s">
        <v>74</v>
      </c>
      <c r="BP323" t="s">
        <v>74</v>
      </c>
      <c r="BQ323" t="s">
        <v>74</v>
      </c>
      <c r="BR323" t="s">
        <v>106</v>
      </c>
      <c r="BS323" t="s">
        <v>6730</v>
      </c>
      <c r="BT323" t="str">
        <f>HYPERLINK("https%3A%2F%2Fwww.webofscience.com%2Fwos%2Fwoscc%2Ffull-record%2FWOS:000763709300001","View Full Record in Web of Science")</f>
        <v>View Full Record in Web of Science</v>
      </c>
    </row>
    <row r="324" spans="1:72" x14ac:dyDescent="0.15">
      <c r="A324" t="s">
        <v>72</v>
      </c>
      <c r="B324" t="s">
        <v>6731</v>
      </c>
      <c r="C324" t="s">
        <v>74</v>
      </c>
      <c r="D324" t="s">
        <v>74</v>
      </c>
      <c r="E324" t="s">
        <v>74</v>
      </c>
      <c r="F324" t="s">
        <v>6732</v>
      </c>
      <c r="G324" t="s">
        <v>74</v>
      </c>
      <c r="H324" t="s">
        <v>74</v>
      </c>
      <c r="I324" t="s">
        <v>6733</v>
      </c>
      <c r="J324" t="s">
        <v>1137</v>
      </c>
      <c r="K324" t="s">
        <v>74</v>
      </c>
      <c r="L324" t="s">
        <v>74</v>
      </c>
      <c r="M324" t="s">
        <v>78</v>
      </c>
      <c r="N324" t="s">
        <v>79</v>
      </c>
      <c r="O324" t="s">
        <v>74</v>
      </c>
      <c r="P324" t="s">
        <v>74</v>
      </c>
      <c r="Q324" t="s">
        <v>74</v>
      </c>
      <c r="R324" t="s">
        <v>74</v>
      </c>
      <c r="S324" t="s">
        <v>74</v>
      </c>
      <c r="T324" t="s">
        <v>6734</v>
      </c>
      <c r="U324" t="s">
        <v>6735</v>
      </c>
      <c r="V324" t="s">
        <v>6736</v>
      </c>
      <c r="W324" t="s">
        <v>6737</v>
      </c>
      <c r="X324" t="s">
        <v>6738</v>
      </c>
      <c r="Y324" t="s">
        <v>6739</v>
      </c>
      <c r="Z324" t="s">
        <v>6740</v>
      </c>
      <c r="AA324" t="s">
        <v>6741</v>
      </c>
      <c r="AB324" t="s">
        <v>6742</v>
      </c>
      <c r="AC324" t="s">
        <v>6743</v>
      </c>
      <c r="AD324" t="s">
        <v>6744</v>
      </c>
      <c r="AE324" t="s">
        <v>6745</v>
      </c>
      <c r="AF324" t="s">
        <v>74</v>
      </c>
      <c r="AG324">
        <v>79</v>
      </c>
      <c r="AH324">
        <v>5</v>
      </c>
      <c r="AI324">
        <v>5</v>
      </c>
      <c r="AJ324">
        <v>5</v>
      </c>
      <c r="AK324">
        <v>31</v>
      </c>
      <c r="AL324" t="s">
        <v>92</v>
      </c>
      <c r="AM324" t="s">
        <v>93</v>
      </c>
      <c r="AN324" t="s">
        <v>94</v>
      </c>
      <c r="AO324" t="s">
        <v>1149</v>
      </c>
      <c r="AP324" t="s">
        <v>1150</v>
      </c>
      <c r="AQ324" t="s">
        <v>74</v>
      </c>
      <c r="AR324" t="s">
        <v>1151</v>
      </c>
      <c r="AS324" t="s">
        <v>1152</v>
      </c>
      <c r="AT324" t="s">
        <v>889</v>
      </c>
      <c r="AU324">
        <v>2022</v>
      </c>
      <c r="AV324">
        <v>278</v>
      </c>
      <c r="AW324" t="s">
        <v>74</v>
      </c>
      <c r="AX324" t="s">
        <v>74</v>
      </c>
      <c r="AY324" t="s">
        <v>74</v>
      </c>
      <c r="AZ324" t="s">
        <v>74</v>
      </c>
      <c r="BA324" t="s">
        <v>74</v>
      </c>
      <c r="BB324" t="s">
        <v>74</v>
      </c>
      <c r="BC324" t="s">
        <v>74</v>
      </c>
      <c r="BD324">
        <v>107371</v>
      </c>
      <c r="BE324" t="s">
        <v>6746</v>
      </c>
      <c r="BF324" t="str">
        <f>HYPERLINK("http://dx.doi.org/10.1016/j.quascirev.2022.107371","http://dx.doi.org/10.1016/j.quascirev.2022.107371")</f>
        <v>http://dx.doi.org/10.1016/j.quascirev.2022.107371</v>
      </c>
      <c r="BG324" t="s">
        <v>74</v>
      </c>
      <c r="BH324" t="s">
        <v>4536</v>
      </c>
      <c r="BI324">
        <v>11</v>
      </c>
      <c r="BJ324" t="s">
        <v>208</v>
      </c>
      <c r="BK324" t="s">
        <v>103</v>
      </c>
      <c r="BL324" t="s">
        <v>209</v>
      </c>
      <c r="BM324" t="s">
        <v>5927</v>
      </c>
      <c r="BN324" t="s">
        <v>74</v>
      </c>
      <c r="BO324" t="s">
        <v>74</v>
      </c>
      <c r="BP324" t="s">
        <v>74</v>
      </c>
      <c r="BQ324" t="s">
        <v>74</v>
      </c>
      <c r="BR324" t="s">
        <v>106</v>
      </c>
      <c r="BS324" t="s">
        <v>6747</v>
      </c>
      <c r="BT324" t="str">
        <f>HYPERLINK("https%3A%2F%2Fwww.webofscience.com%2Fwos%2Fwoscc%2Ffull-record%2FWOS:000766911200008","View Full Record in Web of Science")</f>
        <v>View Full Record in Web of Science</v>
      </c>
    </row>
    <row r="325" spans="1:72" x14ac:dyDescent="0.15">
      <c r="A325" t="s">
        <v>72</v>
      </c>
      <c r="B325" t="s">
        <v>6748</v>
      </c>
      <c r="C325" t="s">
        <v>74</v>
      </c>
      <c r="D325" t="s">
        <v>74</v>
      </c>
      <c r="E325" t="s">
        <v>74</v>
      </c>
      <c r="F325" t="s">
        <v>6749</v>
      </c>
      <c r="G325" t="s">
        <v>74</v>
      </c>
      <c r="H325" t="s">
        <v>74</v>
      </c>
      <c r="I325" t="s">
        <v>6750</v>
      </c>
      <c r="J325" t="s">
        <v>5604</v>
      </c>
      <c r="K325" t="s">
        <v>74</v>
      </c>
      <c r="L325" t="s">
        <v>74</v>
      </c>
      <c r="M325" t="s">
        <v>78</v>
      </c>
      <c r="N325" t="s">
        <v>79</v>
      </c>
      <c r="O325" t="s">
        <v>74</v>
      </c>
      <c r="P325" t="s">
        <v>74</v>
      </c>
      <c r="Q325" t="s">
        <v>74</v>
      </c>
      <c r="R325" t="s">
        <v>74</v>
      </c>
      <c r="S325" t="s">
        <v>74</v>
      </c>
      <c r="T325" t="s">
        <v>6751</v>
      </c>
      <c r="U325" t="s">
        <v>6752</v>
      </c>
      <c r="V325" t="s">
        <v>6753</v>
      </c>
      <c r="W325" t="s">
        <v>6754</v>
      </c>
      <c r="X325" t="s">
        <v>6755</v>
      </c>
      <c r="Y325" t="s">
        <v>6756</v>
      </c>
      <c r="Z325" t="s">
        <v>6757</v>
      </c>
      <c r="AA325" t="s">
        <v>6758</v>
      </c>
      <c r="AB325" t="s">
        <v>6759</v>
      </c>
      <c r="AC325" t="s">
        <v>6760</v>
      </c>
      <c r="AD325" t="s">
        <v>6761</v>
      </c>
      <c r="AE325" t="s">
        <v>6762</v>
      </c>
      <c r="AF325" t="s">
        <v>74</v>
      </c>
      <c r="AG325">
        <v>74</v>
      </c>
      <c r="AH325">
        <v>8</v>
      </c>
      <c r="AI325">
        <v>8</v>
      </c>
      <c r="AJ325">
        <v>5</v>
      </c>
      <c r="AK325">
        <v>20</v>
      </c>
      <c r="AL325" t="s">
        <v>814</v>
      </c>
      <c r="AM325" t="s">
        <v>93</v>
      </c>
      <c r="AN325" t="s">
        <v>815</v>
      </c>
      <c r="AO325" t="s">
        <v>5617</v>
      </c>
      <c r="AP325" t="s">
        <v>5618</v>
      </c>
      <c r="AQ325" t="s">
        <v>74</v>
      </c>
      <c r="AR325" t="s">
        <v>5619</v>
      </c>
      <c r="AS325" t="s">
        <v>5620</v>
      </c>
      <c r="AT325" t="s">
        <v>1153</v>
      </c>
      <c r="AU325">
        <v>2022</v>
      </c>
      <c r="AV325">
        <v>297</v>
      </c>
      <c r="AW325" t="s">
        <v>74</v>
      </c>
      <c r="AX325" t="s">
        <v>74</v>
      </c>
      <c r="AY325" t="s">
        <v>74</v>
      </c>
      <c r="AZ325" t="s">
        <v>74</v>
      </c>
      <c r="BA325" t="s">
        <v>74</v>
      </c>
      <c r="BB325" t="s">
        <v>74</v>
      </c>
      <c r="BC325" t="s">
        <v>74</v>
      </c>
      <c r="BD325">
        <v>118841</v>
      </c>
      <c r="BE325" t="s">
        <v>6763</v>
      </c>
      <c r="BF325" t="str">
        <f>HYPERLINK("http://dx.doi.org/10.1016/j.envpol.2022.118841","http://dx.doi.org/10.1016/j.envpol.2022.118841")</f>
        <v>http://dx.doi.org/10.1016/j.envpol.2022.118841</v>
      </c>
      <c r="BG325" t="s">
        <v>74</v>
      </c>
      <c r="BH325" t="s">
        <v>4536</v>
      </c>
      <c r="BI325">
        <v>8</v>
      </c>
      <c r="BJ325" t="s">
        <v>1560</v>
      </c>
      <c r="BK325" t="s">
        <v>103</v>
      </c>
      <c r="BL325" t="s">
        <v>1561</v>
      </c>
      <c r="BM325" t="s">
        <v>6764</v>
      </c>
      <c r="BN325">
        <v>35026328</v>
      </c>
      <c r="BO325" t="s">
        <v>2069</v>
      </c>
      <c r="BP325" t="s">
        <v>74</v>
      </c>
      <c r="BQ325" t="s">
        <v>74</v>
      </c>
      <c r="BR325" t="s">
        <v>106</v>
      </c>
      <c r="BS325" t="s">
        <v>6765</v>
      </c>
      <c r="BT325" t="str">
        <f>HYPERLINK("https%3A%2F%2Fwww.webofscience.com%2Fwos%2Fwoscc%2Ffull-record%2FWOS:000760136500004","View Full Record in Web of Science")</f>
        <v>View Full Record in Web of Science</v>
      </c>
    </row>
    <row r="326" spans="1:72" x14ac:dyDescent="0.15">
      <c r="A326" t="s">
        <v>72</v>
      </c>
      <c r="B326" t="s">
        <v>6766</v>
      </c>
      <c r="C326" t="s">
        <v>74</v>
      </c>
      <c r="D326" t="s">
        <v>74</v>
      </c>
      <c r="E326" t="s">
        <v>74</v>
      </c>
      <c r="F326" t="s">
        <v>6767</v>
      </c>
      <c r="G326" t="s">
        <v>74</v>
      </c>
      <c r="H326" t="s">
        <v>74</v>
      </c>
      <c r="I326" t="s">
        <v>6768</v>
      </c>
      <c r="J326" t="s">
        <v>6769</v>
      </c>
      <c r="K326" t="s">
        <v>74</v>
      </c>
      <c r="L326" t="s">
        <v>74</v>
      </c>
      <c r="M326" t="s">
        <v>78</v>
      </c>
      <c r="N326" t="s">
        <v>79</v>
      </c>
      <c r="O326" t="s">
        <v>74</v>
      </c>
      <c r="P326" t="s">
        <v>74</v>
      </c>
      <c r="Q326" t="s">
        <v>74</v>
      </c>
      <c r="R326" t="s">
        <v>74</v>
      </c>
      <c r="S326" t="s">
        <v>74</v>
      </c>
      <c r="T326" t="s">
        <v>6770</v>
      </c>
      <c r="U326" t="s">
        <v>6771</v>
      </c>
      <c r="V326" t="s">
        <v>6772</v>
      </c>
      <c r="W326" t="s">
        <v>6773</v>
      </c>
      <c r="X326" t="s">
        <v>6774</v>
      </c>
      <c r="Y326" t="s">
        <v>6775</v>
      </c>
      <c r="Z326" t="s">
        <v>6776</v>
      </c>
      <c r="AA326" t="s">
        <v>6777</v>
      </c>
      <c r="AB326" t="s">
        <v>6778</v>
      </c>
      <c r="AC326" t="s">
        <v>6779</v>
      </c>
      <c r="AD326" t="s">
        <v>6780</v>
      </c>
      <c r="AE326" t="s">
        <v>6781</v>
      </c>
      <c r="AF326" t="s">
        <v>74</v>
      </c>
      <c r="AG326">
        <v>31</v>
      </c>
      <c r="AH326">
        <v>0</v>
      </c>
      <c r="AI326">
        <v>0</v>
      </c>
      <c r="AJ326">
        <v>0</v>
      </c>
      <c r="AK326">
        <v>1</v>
      </c>
      <c r="AL326" t="s">
        <v>6782</v>
      </c>
      <c r="AM326" t="s">
        <v>6783</v>
      </c>
      <c r="AN326" t="s">
        <v>6784</v>
      </c>
      <c r="AO326" t="s">
        <v>6785</v>
      </c>
      <c r="AP326" t="s">
        <v>6786</v>
      </c>
      <c r="AQ326" t="s">
        <v>74</v>
      </c>
      <c r="AR326" t="s">
        <v>6769</v>
      </c>
      <c r="AS326" t="s">
        <v>6787</v>
      </c>
      <c r="AT326" t="s">
        <v>6788</v>
      </c>
      <c r="AU326">
        <v>2022</v>
      </c>
      <c r="AV326">
        <v>530</v>
      </c>
      <c r="AW326">
        <v>3</v>
      </c>
      <c r="AX326" t="s">
        <v>74</v>
      </c>
      <c r="AY326" t="s">
        <v>74</v>
      </c>
      <c r="AZ326" t="s">
        <v>74</v>
      </c>
      <c r="BA326" t="s">
        <v>74</v>
      </c>
      <c r="BB326">
        <v>287</v>
      </c>
      <c r="BC326">
        <v>294</v>
      </c>
      <c r="BD326" t="s">
        <v>74</v>
      </c>
      <c r="BE326" t="s">
        <v>6789</v>
      </c>
      <c r="BF326" t="str">
        <f>HYPERLINK("http://dx.doi.org/10.11646/phytotaxa.530.3.4","http://dx.doi.org/10.11646/phytotaxa.530.3.4")</f>
        <v>http://dx.doi.org/10.11646/phytotaxa.530.3.4</v>
      </c>
      <c r="BG326" t="s">
        <v>74</v>
      </c>
      <c r="BH326" t="s">
        <v>74</v>
      </c>
      <c r="BI326">
        <v>8</v>
      </c>
      <c r="BJ326" t="s">
        <v>1473</v>
      </c>
      <c r="BK326" t="s">
        <v>103</v>
      </c>
      <c r="BL326" t="s">
        <v>1473</v>
      </c>
      <c r="BM326" t="s">
        <v>6790</v>
      </c>
      <c r="BN326" t="s">
        <v>74</v>
      </c>
      <c r="BO326" t="s">
        <v>74</v>
      </c>
      <c r="BP326" t="s">
        <v>74</v>
      </c>
      <c r="BQ326" t="s">
        <v>74</v>
      </c>
      <c r="BR326" t="s">
        <v>106</v>
      </c>
      <c r="BS326" t="s">
        <v>6791</v>
      </c>
      <c r="BT326" t="str">
        <f>HYPERLINK("https%3A%2F%2Fwww.webofscience.com%2Fwos%2Fwoscc%2Ffull-record%2FWOS:000743457300001","View Full Record in Web of Science")</f>
        <v>View Full Record in Web of Science</v>
      </c>
    </row>
    <row r="327" spans="1:72" x14ac:dyDescent="0.15">
      <c r="A327" t="s">
        <v>72</v>
      </c>
      <c r="B327" t="s">
        <v>6792</v>
      </c>
      <c r="C327" t="s">
        <v>74</v>
      </c>
      <c r="D327" t="s">
        <v>74</v>
      </c>
      <c r="E327" t="s">
        <v>74</v>
      </c>
      <c r="F327" t="s">
        <v>6793</v>
      </c>
      <c r="G327" t="s">
        <v>74</v>
      </c>
      <c r="H327" t="s">
        <v>74</v>
      </c>
      <c r="I327" t="s">
        <v>6794</v>
      </c>
      <c r="J327" t="s">
        <v>2305</v>
      </c>
      <c r="K327" t="s">
        <v>74</v>
      </c>
      <c r="L327" t="s">
        <v>74</v>
      </c>
      <c r="M327" t="s">
        <v>78</v>
      </c>
      <c r="N327" t="s">
        <v>79</v>
      </c>
      <c r="O327" t="s">
        <v>74</v>
      </c>
      <c r="P327" t="s">
        <v>74</v>
      </c>
      <c r="Q327" t="s">
        <v>74</v>
      </c>
      <c r="R327" t="s">
        <v>74</v>
      </c>
      <c r="S327" t="s">
        <v>74</v>
      </c>
      <c r="T327" t="s">
        <v>74</v>
      </c>
      <c r="U327" t="s">
        <v>6795</v>
      </c>
      <c r="V327" t="s">
        <v>6796</v>
      </c>
      <c r="W327" t="s">
        <v>6797</v>
      </c>
      <c r="X327" t="s">
        <v>6798</v>
      </c>
      <c r="Y327" t="s">
        <v>6799</v>
      </c>
      <c r="Z327" t="s">
        <v>6800</v>
      </c>
      <c r="AA327" t="s">
        <v>6801</v>
      </c>
      <c r="AB327" t="s">
        <v>6802</v>
      </c>
      <c r="AC327" t="s">
        <v>6803</v>
      </c>
      <c r="AD327" t="s">
        <v>6804</v>
      </c>
      <c r="AE327" t="s">
        <v>6805</v>
      </c>
      <c r="AF327" t="s">
        <v>74</v>
      </c>
      <c r="AG327">
        <v>59</v>
      </c>
      <c r="AH327">
        <v>24</v>
      </c>
      <c r="AI327">
        <v>24</v>
      </c>
      <c r="AJ327">
        <v>3</v>
      </c>
      <c r="AK327">
        <v>20</v>
      </c>
      <c r="AL327" t="s">
        <v>337</v>
      </c>
      <c r="AM327" t="s">
        <v>338</v>
      </c>
      <c r="AN327" t="s">
        <v>339</v>
      </c>
      <c r="AO327" t="s">
        <v>74</v>
      </c>
      <c r="AP327" t="s">
        <v>2316</v>
      </c>
      <c r="AQ327" t="s">
        <v>74</v>
      </c>
      <c r="AR327" t="s">
        <v>2317</v>
      </c>
      <c r="AS327" t="s">
        <v>2318</v>
      </c>
      <c r="AT327" t="s">
        <v>6788</v>
      </c>
      <c r="AU327">
        <v>2022</v>
      </c>
      <c r="AV327">
        <v>13</v>
      </c>
      <c r="AW327">
        <v>1</v>
      </c>
      <c r="AX327" t="s">
        <v>74</v>
      </c>
      <c r="AY327" t="s">
        <v>74</v>
      </c>
      <c r="AZ327" t="s">
        <v>74</v>
      </c>
      <c r="BA327" t="s">
        <v>74</v>
      </c>
      <c r="BB327" t="s">
        <v>74</v>
      </c>
      <c r="BC327" t="s">
        <v>74</v>
      </c>
      <c r="BD327">
        <v>214</v>
      </c>
      <c r="BE327" t="s">
        <v>6806</v>
      </c>
      <c r="BF327" t="str">
        <f>HYPERLINK("http://dx.doi.org/10.1038/s41467-021-27891-4","http://dx.doi.org/10.1038/s41467-021-27891-4")</f>
        <v>http://dx.doi.org/10.1038/s41467-021-27891-4</v>
      </c>
      <c r="BG327" t="s">
        <v>74</v>
      </c>
      <c r="BH327" t="s">
        <v>74</v>
      </c>
      <c r="BI327">
        <v>9</v>
      </c>
      <c r="BJ327" t="s">
        <v>289</v>
      </c>
      <c r="BK327" t="s">
        <v>103</v>
      </c>
      <c r="BL327" t="s">
        <v>290</v>
      </c>
      <c r="BM327" t="s">
        <v>6807</v>
      </c>
      <c r="BN327">
        <v>35017519</v>
      </c>
      <c r="BO327" t="s">
        <v>5849</v>
      </c>
      <c r="BP327" t="s">
        <v>74</v>
      </c>
      <c r="BQ327" t="s">
        <v>74</v>
      </c>
      <c r="BR327" t="s">
        <v>106</v>
      </c>
      <c r="BS327" t="s">
        <v>6808</v>
      </c>
      <c r="BT327" t="str">
        <f>HYPERLINK("https%3A%2F%2Fwww.webofscience.com%2Fwos%2Fwoscc%2Ffull-record%2FWOS:000741852200066","View Full Record in Web of Science")</f>
        <v>View Full Record in Web of Science</v>
      </c>
    </row>
    <row r="328" spans="1:72" x14ac:dyDescent="0.15">
      <c r="A328" t="s">
        <v>72</v>
      </c>
      <c r="B328" t="s">
        <v>6809</v>
      </c>
      <c r="C328" t="s">
        <v>74</v>
      </c>
      <c r="D328" t="s">
        <v>74</v>
      </c>
      <c r="E328" t="s">
        <v>74</v>
      </c>
      <c r="F328" t="s">
        <v>6810</v>
      </c>
      <c r="G328" t="s">
        <v>74</v>
      </c>
      <c r="H328" t="s">
        <v>74</v>
      </c>
      <c r="I328" t="s">
        <v>6811</v>
      </c>
      <c r="J328" t="s">
        <v>6812</v>
      </c>
      <c r="K328" t="s">
        <v>74</v>
      </c>
      <c r="L328" t="s">
        <v>74</v>
      </c>
      <c r="M328" t="s">
        <v>78</v>
      </c>
      <c r="N328" t="s">
        <v>1113</v>
      </c>
      <c r="O328" t="s">
        <v>74</v>
      </c>
      <c r="P328" t="s">
        <v>74</v>
      </c>
      <c r="Q328" t="s">
        <v>74</v>
      </c>
      <c r="R328" t="s">
        <v>74</v>
      </c>
      <c r="S328" t="s">
        <v>74</v>
      </c>
      <c r="T328" t="s">
        <v>74</v>
      </c>
      <c r="U328" t="s">
        <v>6813</v>
      </c>
      <c r="V328" t="s">
        <v>6814</v>
      </c>
      <c r="W328" t="s">
        <v>6815</v>
      </c>
      <c r="X328" t="s">
        <v>6816</v>
      </c>
      <c r="Y328" t="s">
        <v>6817</v>
      </c>
      <c r="Z328" t="s">
        <v>6818</v>
      </c>
      <c r="AA328" t="s">
        <v>6819</v>
      </c>
      <c r="AB328" t="s">
        <v>6820</v>
      </c>
      <c r="AC328" t="s">
        <v>6821</v>
      </c>
      <c r="AD328" t="s">
        <v>6822</v>
      </c>
      <c r="AE328" t="s">
        <v>6823</v>
      </c>
      <c r="AF328" t="s">
        <v>74</v>
      </c>
      <c r="AG328">
        <v>51</v>
      </c>
      <c r="AH328">
        <v>10</v>
      </c>
      <c r="AI328">
        <v>11</v>
      </c>
      <c r="AJ328">
        <v>7</v>
      </c>
      <c r="AK328">
        <v>96</v>
      </c>
      <c r="AL328" t="s">
        <v>6824</v>
      </c>
      <c r="AM328" t="s">
        <v>199</v>
      </c>
      <c r="AN328" t="s">
        <v>6825</v>
      </c>
      <c r="AO328" t="s">
        <v>6826</v>
      </c>
      <c r="AP328" t="s">
        <v>6827</v>
      </c>
      <c r="AQ328" t="s">
        <v>74</v>
      </c>
      <c r="AR328" t="s">
        <v>6828</v>
      </c>
      <c r="AS328" t="s">
        <v>6829</v>
      </c>
      <c r="AT328" t="s">
        <v>840</v>
      </c>
      <c r="AU328">
        <v>2022</v>
      </c>
      <c r="AV328">
        <v>37</v>
      </c>
      <c r="AW328">
        <v>2</v>
      </c>
      <c r="AX328" t="s">
        <v>74</v>
      </c>
      <c r="AY328" t="s">
        <v>74</v>
      </c>
      <c r="AZ328" t="s">
        <v>74</v>
      </c>
      <c r="BA328" t="s">
        <v>74</v>
      </c>
      <c r="BB328">
        <v>138</v>
      </c>
      <c r="BC328">
        <v>146</v>
      </c>
      <c r="BD328" t="s">
        <v>74</v>
      </c>
      <c r="BE328" t="s">
        <v>6830</v>
      </c>
      <c r="BF328" t="str">
        <f>HYPERLINK("http://dx.doi.org/10.1016/j.tree.2021.09.008","http://dx.doi.org/10.1016/j.tree.2021.09.008")</f>
        <v>http://dx.doi.org/10.1016/j.tree.2021.09.008</v>
      </c>
      <c r="BG328" t="s">
        <v>74</v>
      </c>
      <c r="BH328" t="s">
        <v>4536</v>
      </c>
      <c r="BI328">
        <v>9</v>
      </c>
      <c r="BJ328" t="s">
        <v>6831</v>
      </c>
      <c r="BK328" t="s">
        <v>103</v>
      </c>
      <c r="BL328" t="s">
        <v>6832</v>
      </c>
      <c r="BM328" t="s">
        <v>6833</v>
      </c>
      <c r="BN328">
        <v>34772522</v>
      </c>
      <c r="BO328" t="s">
        <v>3307</v>
      </c>
      <c r="BP328" t="s">
        <v>74</v>
      </c>
      <c r="BQ328" t="s">
        <v>74</v>
      </c>
      <c r="BR328" t="s">
        <v>106</v>
      </c>
      <c r="BS328" t="s">
        <v>6834</v>
      </c>
      <c r="BT328" t="str">
        <f>HYPERLINK("https%3A%2F%2Fwww.webofscience.com%2Fwos%2Fwoscc%2Ffull-record%2FWOS:000743511900006","View Full Record in Web of Science")</f>
        <v>View Full Record in Web of Science</v>
      </c>
    </row>
    <row r="329" spans="1:72" x14ac:dyDescent="0.15">
      <c r="A329" t="s">
        <v>72</v>
      </c>
      <c r="B329" t="s">
        <v>6835</v>
      </c>
      <c r="C329" t="s">
        <v>74</v>
      </c>
      <c r="D329" t="s">
        <v>74</v>
      </c>
      <c r="E329" t="s">
        <v>74</v>
      </c>
      <c r="F329" t="s">
        <v>6836</v>
      </c>
      <c r="G329" t="s">
        <v>74</v>
      </c>
      <c r="H329" t="s">
        <v>74</v>
      </c>
      <c r="I329" t="s">
        <v>6837</v>
      </c>
      <c r="J329" t="s">
        <v>1063</v>
      </c>
      <c r="K329" t="s">
        <v>74</v>
      </c>
      <c r="L329" t="s">
        <v>74</v>
      </c>
      <c r="M329" t="s">
        <v>78</v>
      </c>
      <c r="N329" t="s">
        <v>79</v>
      </c>
      <c r="O329" t="s">
        <v>74</v>
      </c>
      <c r="P329" t="s">
        <v>74</v>
      </c>
      <c r="Q329" t="s">
        <v>74</v>
      </c>
      <c r="R329" t="s">
        <v>74</v>
      </c>
      <c r="S329" t="s">
        <v>74</v>
      </c>
      <c r="T329" t="s">
        <v>6838</v>
      </c>
      <c r="U329" t="s">
        <v>6839</v>
      </c>
      <c r="V329" t="s">
        <v>6840</v>
      </c>
      <c r="W329" t="s">
        <v>6841</v>
      </c>
      <c r="X329" t="s">
        <v>6842</v>
      </c>
      <c r="Y329" t="s">
        <v>6843</v>
      </c>
      <c r="Z329" t="s">
        <v>6844</v>
      </c>
      <c r="AA329" t="s">
        <v>74</v>
      </c>
      <c r="AB329" t="s">
        <v>74</v>
      </c>
      <c r="AC329" t="s">
        <v>6845</v>
      </c>
      <c r="AD329" t="s">
        <v>577</v>
      </c>
      <c r="AE329" t="s">
        <v>6846</v>
      </c>
      <c r="AF329" t="s">
        <v>74</v>
      </c>
      <c r="AG329">
        <v>65</v>
      </c>
      <c r="AH329">
        <v>4</v>
      </c>
      <c r="AI329">
        <v>4</v>
      </c>
      <c r="AJ329">
        <v>0</v>
      </c>
      <c r="AK329">
        <v>8</v>
      </c>
      <c r="AL329" t="s">
        <v>1074</v>
      </c>
      <c r="AM329" t="s">
        <v>506</v>
      </c>
      <c r="AN329" t="s">
        <v>1075</v>
      </c>
      <c r="AO329" t="s">
        <v>1076</v>
      </c>
      <c r="AP329" t="s">
        <v>1077</v>
      </c>
      <c r="AQ329" t="s">
        <v>74</v>
      </c>
      <c r="AR329" t="s">
        <v>1078</v>
      </c>
      <c r="AS329" t="s">
        <v>1079</v>
      </c>
      <c r="AT329" t="s">
        <v>99</v>
      </c>
      <c r="AU329">
        <v>2022</v>
      </c>
      <c r="AV329">
        <v>45</v>
      </c>
      <c r="AW329">
        <v>3</v>
      </c>
      <c r="AX329" t="s">
        <v>74</v>
      </c>
      <c r="AY329" t="s">
        <v>74</v>
      </c>
      <c r="AZ329" t="s">
        <v>74</v>
      </c>
      <c r="BA329" t="s">
        <v>74</v>
      </c>
      <c r="BB329">
        <v>437</v>
      </c>
      <c r="BC329">
        <v>447</v>
      </c>
      <c r="BD329" t="s">
        <v>74</v>
      </c>
      <c r="BE329" t="s">
        <v>6847</v>
      </c>
      <c r="BF329" t="str">
        <f>HYPERLINK("http://dx.doi.org/10.1007/s00300-021-03001-4","http://dx.doi.org/10.1007/s00300-021-03001-4")</f>
        <v>http://dx.doi.org/10.1007/s00300-021-03001-4</v>
      </c>
      <c r="BG329" t="s">
        <v>74</v>
      </c>
      <c r="BH329" t="s">
        <v>4536</v>
      </c>
      <c r="BI329">
        <v>11</v>
      </c>
      <c r="BJ329" t="s">
        <v>1081</v>
      </c>
      <c r="BK329" t="s">
        <v>103</v>
      </c>
      <c r="BL329" t="s">
        <v>1082</v>
      </c>
      <c r="BM329" t="s">
        <v>4273</v>
      </c>
      <c r="BN329" t="s">
        <v>74</v>
      </c>
      <c r="BO329" t="s">
        <v>74</v>
      </c>
      <c r="BP329" t="s">
        <v>74</v>
      </c>
      <c r="BQ329" t="s">
        <v>74</v>
      </c>
      <c r="BR329" t="s">
        <v>106</v>
      </c>
      <c r="BS329" t="s">
        <v>6848</v>
      </c>
      <c r="BT329" t="str">
        <f>HYPERLINK("https%3A%2F%2Fwww.webofscience.com%2Fwos%2Fwoscc%2Ffull-record%2FWOS:000741604500001","View Full Record in Web of Science")</f>
        <v>View Full Record in Web of Science</v>
      </c>
    </row>
    <row r="330" spans="1:72" x14ac:dyDescent="0.15">
      <c r="A330" t="s">
        <v>72</v>
      </c>
      <c r="B330" t="s">
        <v>6849</v>
      </c>
      <c r="C330" t="s">
        <v>74</v>
      </c>
      <c r="D330" t="s">
        <v>74</v>
      </c>
      <c r="E330" t="s">
        <v>74</v>
      </c>
      <c r="F330" t="s">
        <v>6850</v>
      </c>
      <c r="G330" t="s">
        <v>74</v>
      </c>
      <c r="H330" t="s">
        <v>74</v>
      </c>
      <c r="I330" t="s">
        <v>6851</v>
      </c>
      <c r="J330" t="s">
        <v>6852</v>
      </c>
      <c r="K330" t="s">
        <v>74</v>
      </c>
      <c r="L330" t="s">
        <v>74</v>
      </c>
      <c r="M330" t="s">
        <v>78</v>
      </c>
      <c r="N330" t="s">
        <v>79</v>
      </c>
      <c r="O330" t="s">
        <v>74</v>
      </c>
      <c r="P330" t="s">
        <v>74</v>
      </c>
      <c r="Q330" t="s">
        <v>74</v>
      </c>
      <c r="R330" t="s">
        <v>74</v>
      </c>
      <c r="S330" t="s">
        <v>74</v>
      </c>
      <c r="T330" t="s">
        <v>6853</v>
      </c>
      <c r="U330" t="s">
        <v>6854</v>
      </c>
      <c r="V330" t="s">
        <v>6855</v>
      </c>
      <c r="W330" t="s">
        <v>6856</v>
      </c>
      <c r="X330" t="s">
        <v>6857</v>
      </c>
      <c r="Y330" t="s">
        <v>6858</v>
      </c>
      <c r="Z330" t="s">
        <v>6859</v>
      </c>
      <c r="AA330" t="s">
        <v>74</v>
      </c>
      <c r="AB330" t="s">
        <v>74</v>
      </c>
      <c r="AC330" t="s">
        <v>6860</v>
      </c>
      <c r="AD330" t="s">
        <v>6860</v>
      </c>
      <c r="AE330" t="s">
        <v>6861</v>
      </c>
      <c r="AF330" t="s">
        <v>74</v>
      </c>
      <c r="AG330">
        <v>72</v>
      </c>
      <c r="AH330">
        <v>2</v>
      </c>
      <c r="AI330">
        <v>2</v>
      </c>
      <c r="AJ330">
        <v>1</v>
      </c>
      <c r="AK330">
        <v>2</v>
      </c>
      <c r="AL330" t="s">
        <v>1074</v>
      </c>
      <c r="AM330" t="s">
        <v>506</v>
      </c>
      <c r="AN330" t="s">
        <v>1075</v>
      </c>
      <c r="AO330" t="s">
        <v>6862</v>
      </c>
      <c r="AP330" t="s">
        <v>6863</v>
      </c>
      <c r="AQ330" t="s">
        <v>74</v>
      </c>
      <c r="AR330" t="s">
        <v>6864</v>
      </c>
      <c r="AS330" t="s">
        <v>6865</v>
      </c>
      <c r="AT330" t="s">
        <v>537</v>
      </c>
      <c r="AU330">
        <v>2022</v>
      </c>
      <c r="AV330">
        <v>111</v>
      </c>
      <c r="AW330">
        <v>3</v>
      </c>
      <c r="AX330" t="s">
        <v>74</v>
      </c>
      <c r="AY330" t="s">
        <v>74</v>
      </c>
      <c r="AZ330" t="s">
        <v>74</v>
      </c>
      <c r="BA330" t="s">
        <v>74</v>
      </c>
      <c r="BB330">
        <v>891</v>
      </c>
      <c r="BC330">
        <v>904</v>
      </c>
      <c r="BD330" t="s">
        <v>74</v>
      </c>
      <c r="BE330" t="s">
        <v>6866</v>
      </c>
      <c r="BF330" t="str">
        <f>HYPERLINK("http://dx.doi.org/10.1007/s00531-021-02155-0","http://dx.doi.org/10.1007/s00531-021-02155-0")</f>
        <v>http://dx.doi.org/10.1007/s00531-021-02155-0</v>
      </c>
      <c r="BG330" t="s">
        <v>74</v>
      </c>
      <c r="BH330" t="s">
        <v>4536</v>
      </c>
      <c r="BI330">
        <v>14</v>
      </c>
      <c r="BJ330" t="s">
        <v>151</v>
      </c>
      <c r="BK330" t="s">
        <v>103</v>
      </c>
      <c r="BL330" t="s">
        <v>152</v>
      </c>
      <c r="BM330" t="s">
        <v>6867</v>
      </c>
      <c r="BN330" t="s">
        <v>74</v>
      </c>
      <c r="BO330" t="s">
        <v>796</v>
      </c>
      <c r="BP330" t="s">
        <v>74</v>
      </c>
      <c r="BQ330" t="s">
        <v>74</v>
      </c>
      <c r="BR330" t="s">
        <v>106</v>
      </c>
      <c r="BS330" t="s">
        <v>6868</v>
      </c>
      <c r="BT330" t="str">
        <f>HYPERLINK("https%3A%2F%2Fwww.webofscience.com%2Fwos%2Fwoscc%2Ffull-record%2FWOS:000741276300001","View Full Record in Web of Science")</f>
        <v>View Full Record in Web of Science</v>
      </c>
    </row>
    <row r="331" spans="1:72" x14ac:dyDescent="0.15">
      <c r="A331" t="s">
        <v>72</v>
      </c>
      <c r="B331" t="s">
        <v>6869</v>
      </c>
      <c r="C331" t="s">
        <v>74</v>
      </c>
      <c r="D331" t="s">
        <v>74</v>
      </c>
      <c r="E331" t="s">
        <v>74</v>
      </c>
      <c r="F331" t="s">
        <v>6870</v>
      </c>
      <c r="G331" t="s">
        <v>74</v>
      </c>
      <c r="H331" t="s">
        <v>74</v>
      </c>
      <c r="I331" t="s">
        <v>6871</v>
      </c>
      <c r="J331" t="s">
        <v>6872</v>
      </c>
      <c r="K331" t="s">
        <v>74</v>
      </c>
      <c r="L331" t="s">
        <v>74</v>
      </c>
      <c r="M331" t="s">
        <v>78</v>
      </c>
      <c r="N331" t="s">
        <v>79</v>
      </c>
      <c r="O331" t="s">
        <v>74</v>
      </c>
      <c r="P331" t="s">
        <v>74</v>
      </c>
      <c r="Q331" t="s">
        <v>74</v>
      </c>
      <c r="R331" t="s">
        <v>74</v>
      </c>
      <c r="S331" t="s">
        <v>74</v>
      </c>
      <c r="T331" t="s">
        <v>74</v>
      </c>
      <c r="U331" t="s">
        <v>6873</v>
      </c>
      <c r="V331" t="s">
        <v>6874</v>
      </c>
      <c r="W331" t="s">
        <v>6875</v>
      </c>
      <c r="X331" t="s">
        <v>6876</v>
      </c>
      <c r="Y331" t="s">
        <v>6877</v>
      </c>
      <c r="Z331" t="s">
        <v>6878</v>
      </c>
      <c r="AA331" t="s">
        <v>6879</v>
      </c>
      <c r="AB331" t="s">
        <v>6880</v>
      </c>
      <c r="AC331" t="s">
        <v>6881</v>
      </c>
      <c r="AD331" t="s">
        <v>6882</v>
      </c>
      <c r="AE331" t="s">
        <v>6883</v>
      </c>
      <c r="AF331" t="s">
        <v>74</v>
      </c>
      <c r="AG331">
        <v>53</v>
      </c>
      <c r="AH331">
        <v>4</v>
      </c>
      <c r="AI331">
        <v>5</v>
      </c>
      <c r="AJ331">
        <v>1</v>
      </c>
      <c r="AK331">
        <v>14</v>
      </c>
      <c r="AL331" t="s">
        <v>310</v>
      </c>
      <c r="AM331" t="s">
        <v>311</v>
      </c>
      <c r="AN331" t="s">
        <v>312</v>
      </c>
      <c r="AO331" t="s">
        <v>6884</v>
      </c>
      <c r="AP331" t="s">
        <v>6885</v>
      </c>
      <c r="AQ331" t="s">
        <v>74</v>
      </c>
      <c r="AR331" t="s">
        <v>6886</v>
      </c>
      <c r="AS331" t="s">
        <v>6887</v>
      </c>
      <c r="AT331" t="s">
        <v>840</v>
      </c>
      <c r="AU331">
        <v>2022</v>
      </c>
      <c r="AV331">
        <v>49</v>
      </c>
      <c r="AW331" t="s">
        <v>74</v>
      </c>
      <c r="AX331" t="s">
        <v>74</v>
      </c>
      <c r="AY331" t="s">
        <v>74</v>
      </c>
      <c r="AZ331" t="s">
        <v>74</v>
      </c>
      <c r="BA331" t="s">
        <v>74</v>
      </c>
      <c r="BB331">
        <v>101</v>
      </c>
      <c r="BC331">
        <v>107</v>
      </c>
      <c r="BD331" t="s">
        <v>74</v>
      </c>
      <c r="BE331" t="s">
        <v>6888</v>
      </c>
      <c r="BF331" t="str">
        <f>HYPERLINK("http://dx.doi.org/10.1016/j.cois.2021.12.009","http://dx.doi.org/10.1016/j.cois.2021.12.009")</f>
        <v>http://dx.doi.org/10.1016/j.cois.2021.12.009</v>
      </c>
      <c r="BG331" t="s">
        <v>74</v>
      </c>
      <c r="BH331" t="s">
        <v>4536</v>
      </c>
      <c r="BI331">
        <v>7</v>
      </c>
      <c r="BJ331" t="s">
        <v>6889</v>
      </c>
      <c r="BK331" t="s">
        <v>103</v>
      </c>
      <c r="BL331" t="s">
        <v>6890</v>
      </c>
      <c r="BM331" t="s">
        <v>6891</v>
      </c>
      <c r="BN331">
        <v>34990872</v>
      </c>
      <c r="BO331" t="s">
        <v>74</v>
      </c>
      <c r="BP331" t="s">
        <v>74</v>
      </c>
      <c r="BQ331" t="s">
        <v>74</v>
      </c>
      <c r="BR331" t="s">
        <v>106</v>
      </c>
      <c r="BS331" t="s">
        <v>6892</v>
      </c>
      <c r="BT331" t="str">
        <f>HYPERLINK("https%3A%2F%2Fwww.webofscience.com%2Fwos%2Fwoscc%2Ffull-record%2FWOS:000791548800009","View Full Record in Web of Science")</f>
        <v>View Full Record in Web of Science</v>
      </c>
    </row>
    <row r="332" spans="1:72" x14ac:dyDescent="0.15">
      <c r="A332" t="s">
        <v>72</v>
      </c>
      <c r="B332" t="s">
        <v>6893</v>
      </c>
      <c r="C332" t="s">
        <v>74</v>
      </c>
      <c r="D332" t="s">
        <v>74</v>
      </c>
      <c r="E332" t="s">
        <v>74</v>
      </c>
      <c r="F332" t="s">
        <v>6894</v>
      </c>
      <c r="G332" t="s">
        <v>74</v>
      </c>
      <c r="H332" t="s">
        <v>74</v>
      </c>
      <c r="I332" t="s">
        <v>6895</v>
      </c>
      <c r="J332" t="s">
        <v>6896</v>
      </c>
      <c r="K332" t="s">
        <v>74</v>
      </c>
      <c r="L332" t="s">
        <v>74</v>
      </c>
      <c r="M332" t="s">
        <v>78</v>
      </c>
      <c r="N332" t="s">
        <v>79</v>
      </c>
      <c r="O332" t="s">
        <v>74</v>
      </c>
      <c r="P332" t="s">
        <v>74</v>
      </c>
      <c r="Q332" t="s">
        <v>74</v>
      </c>
      <c r="R332" t="s">
        <v>74</v>
      </c>
      <c r="S332" t="s">
        <v>74</v>
      </c>
      <c r="T332" t="s">
        <v>6897</v>
      </c>
      <c r="U332" t="s">
        <v>6898</v>
      </c>
      <c r="V332" t="s">
        <v>6899</v>
      </c>
      <c r="W332" t="s">
        <v>6900</v>
      </c>
      <c r="X332" t="s">
        <v>6901</v>
      </c>
      <c r="Y332" t="s">
        <v>6902</v>
      </c>
      <c r="Z332" t="s">
        <v>6903</v>
      </c>
      <c r="AA332" t="s">
        <v>6904</v>
      </c>
      <c r="AB332" t="s">
        <v>6905</v>
      </c>
      <c r="AC332" t="s">
        <v>6906</v>
      </c>
      <c r="AD332" t="s">
        <v>6907</v>
      </c>
      <c r="AE332" t="s">
        <v>6908</v>
      </c>
      <c r="AF332" t="s">
        <v>74</v>
      </c>
      <c r="AG332">
        <v>94</v>
      </c>
      <c r="AH332">
        <v>1</v>
      </c>
      <c r="AI332">
        <v>1</v>
      </c>
      <c r="AJ332">
        <v>0</v>
      </c>
      <c r="AK332">
        <v>8</v>
      </c>
      <c r="AL332" t="s">
        <v>92</v>
      </c>
      <c r="AM332" t="s">
        <v>93</v>
      </c>
      <c r="AN332" t="s">
        <v>94</v>
      </c>
      <c r="AO332" t="s">
        <v>6909</v>
      </c>
      <c r="AP332" t="s">
        <v>6910</v>
      </c>
      <c r="AQ332" t="s">
        <v>74</v>
      </c>
      <c r="AR332" t="s">
        <v>6911</v>
      </c>
      <c r="AS332" t="s">
        <v>6912</v>
      </c>
      <c r="AT332" t="s">
        <v>5105</v>
      </c>
      <c r="AU332">
        <v>2022</v>
      </c>
      <c r="AV332">
        <v>226</v>
      </c>
      <c r="AW332" t="s">
        <v>74</v>
      </c>
      <c r="AX332" t="s">
        <v>74</v>
      </c>
      <c r="AY332" t="s">
        <v>74</v>
      </c>
      <c r="AZ332" t="s">
        <v>74</v>
      </c>
      <c r="BA332" t="s">
        <v>74</v>
      </c>
      <c r="BB332" t="s">
        <v>74</v>
      </c>
      <c r="BC332" t="s">
        <v>74</v>
      </c>
      <c r="BD332">
        <v>105086</v>
      </c>
      <c r="BE332" t="s">
        <v>6913</v>
      </c>
      <c r="BF332" t="str">
        <f>HYPERLINK("http://dx.doi.org/10.1016/j.jseaes.2022.105086","http://dx.doi.org/10.1016/j.jseaes.2022.105086")</f>
        <v>http://dx.doi.org/10.1016/j.jseaes.2022.105086</v>
      </c>
      <c r="BG332" t="s">
        <v>74</v>
      </c>
      <c r="BH332" t="s">
        <v>4536</v>
      </c>
      <c r="BI332">
        <v>12</v>
      </c>
      <c r="BJ332" t="s">
        <v>151</v>
      </c>
      <c r="BK332" t="s">
        <v>103</v>
      </c>
      <c r="BL332" t="s">
        <v>152</v>
      </c>
      <c r="BM332" t="s">
        <v>6914</v>
      </c>
      <c r="BN332" t="s">
        <v>74</v>
      </c>
      <c r="BO332" t="s">
        <v>74</v>
      </c>
      <c r="BP332" t="s">
        <v>74</v>
      </c>
      <c r="BQ332" t="s">
        <v>74</v>
      </c>
      <c r="BR332" t="s">
        <v>106</v>
      </c>
      <c r="BS332" t="s">
        <v>6915</v>
      </c>
      <c r="BT332" t="str">
        <f>HYPERLINK("https%3A%2F%2Fwww.webofscience.com%2Fwos%2Fwoscc%2Ffull-record%2FWOS:000789168800003","View Full Record in Web of Science")</f>
        <v>View Full Record in Web of Science</v>
      </c>
    </row>
    <row r="333" spans="1:72" x14ac:dyDescent="0.15">
      <c r="A333" t="s">
        <v>72</v>
      </c>
      <c r="B333" t="s">
        <v>6916</v>
      </c>
      <c r="C333" t="s">
        <v>74</v>
      </c>
      <c r="D333" t="s">
        <v>74</v>
      </c>
      <c r="E333" t="s">
        <v>74</v>
      </c>
      <c r="F333" t="s">
        <v>6917</v>
      </c>
      <c r="G333" t="s">
        <v>74</v>
      </c>
      <c r="H333" t="s">
        <v>74</v>
      </c>
      <c r="I333" t="s">
        <v>6918</v>
      </c>
      <c r="J333" t="s">
        <v>6919</v>
      </c>
      <c r="K333" t="s">
        <v>74</v>
      </c>
      <c r="L333" t="s">
        <v>74</v>
      </c>
      <c r="M333" t="s">
        <v>78</v>
      </c>
      <c r="N333" t="s">
        <v>79</v>
      </c>
      <c r="O333" t="s">
        <v>74</v>
      </c>
      <c r="P333" t="s">
        <v>74</v>
      </c>
      <c r="Q333" t="s">
        <v>74</v>
      </c>
      <c r="R333" t="s">
        <v>74</v>
      </c>
      <c r="S333" t="s">
        <v>74</v>
      </c>
      <c r="T333" t="s">
        <v>6920</v>
      </c>
      <c r="U333" t="s">
        <v>6921</v>
      </c>
      <c r="V333" t="s">
        <v>6922</v>
      </c>
      <c r="W333" t="s">
        <v>6923</v>
      </c>
      <c r="X333" t="s">
        <v>6924</v>
      </c>
      <c r="Y333" t="s">
        <v>6925</v>
      </c>
      <c r="Z333" t="s">
        <v>6926</v>
      </c>
      <c r="AA333" t="s">
        <v>6927</v>
      </c>
      <c r="AB333" t="s">
        <v>6928</v>
      </c>
      <c r="AC333" t="s">
        <v>6929</v>
      </c>
      <c r="AD333" t="s">
        <v>6930</v>
      </c>
      <c r="AE333" t="s">
        <v>6931</v>
      </c>
      <c r="AF333" t="s">
        <v>74</v>
      </c>
      <c r="AG333">
        <v>44</v>
      </c>
      <c r="AH333">
        <v>15</v>
      </c>
      <c r="AI333">
        <v>15</v>
      </c>
      <c r="AJ333">
        <v>2</v>
      </c>
      <c r="AK333">
        <v>93</v>
      </c>
      <c r="AL333" t="s">
        <v>310</v>
      </c>
      <c r="AM333" t="s">
        <v>311</v>
      </c>
      <c r="AN333" t="s">
        <v>312</v>
      </c>
      <c r="AO333" t="s">
        <v>6932</v>
      </c>
      <c r="AP333" t="s">
        <v>6933</v>
      </c>
      <c r="AQ333" t="s">
        <v>74</v>
      </c>
      <c r="AR333" t="s">
        <v>6934</v>
      </c>
      <c r="AS333" t="s">
        <v>6935</v>
      </c>
      <c r="AT333" t="s">
        <v>1153</v>
      </c>
      <c r="AU333">
        <v>2022</v>
      </c>
      <c r="AV333">
        <v>426</v>
      </c>
      <c r="AW333" t="s">
        <v>74</v>
      </c>
      <c r="AX333" t="s">
        <v>74</v>
      </c>
      <c r="AY333" t="s">
        <v>74</v>
      </c>
      <c r="AZ333" t="s">
        <v>74</v>
      </c>
      <c r="BA333" t="s">
        <v>74</v>
      </c>
      <c r="BB333" t="s">
        <v>74</v>
      </c>
      <c r="BC333" t="s">
        <v>74</v>
      </c>
      <c r="BD333">
        <v>127819</v>
      </c>
      <c r="BE333" t="s">
        <v>6936</v>
      </c>
      <c r="BF333" t="str">
        <f>HYPERLINK("http://dx.doi.org/10.1016/j.jhazmat.2021.127819","http://dx.doi.org/10.1016/j.jhazmat.2021.127819")</f>
        <v>http://dx.doi.org/10.1016/j.jhazmat.2021.127819</v>
      </c>
      <c r="BG333" t="s">
        <v>74</v>
      </c>
      <c r="BH333" t="s">
        <v>4536</v>
      </c>
      <c r="BI333">
        <v>9</v>
      </c>
      <c r="BJ333" t="s">
        <v>6937</v>
      </c>
      <c r="BK333" t="s">
        <v>103</v>
      </c>
      <c r="BL333" t="s">
        <v>6938</v>
      </c>
      <c r="BM333" t="s">
        <v>6939</v>
      </c>
      <c r="BN333">
        <v>34838356</v>
      </c>
      <c r="BO333" t="s">
        <v>74</v>
      </c>
      <c r="BP333" t="s">
        <v>74</v>
      </c>
      <c r="BQ333" t="s">
        <v>74</v>
      </c>
      <c r="BR333" t="s">
        <v>106</v>
      </c>
      <c r="BS333" t="s">
        <v>6940</v>
      </c>
      <c r="BT333" t="str">
        <f>HYPERLINK("https%3A%2F%2Fwww.webofscience.com%2Fwos%2Fwoscc%2Ffull-record%2FWOS:000752472900004","View Full Record in Web of Science")</f>
        <v>View Full Record in Web of Science</v>
      </c>
    </row>
    <row r="334" spans="1:72" x14ac:dyDescent="0.15">
      <c r="A334" t="s">
        <v>72</v>
      </c>
      <c r="B334" t="s">
        <v>6941</v>
      </c>
      <c r="C334" t="s">
        <v>74</v>
      </c>
      <c r="D334" t="s">
        <v>74</v>
      </c>
      <c r="E334" t="s">
        <v>74</v>
      </c>
      <c r="F334" t="s">
        <v>6942</v>
      </c>
      <c r="G334" t="s">
        <v>74</v>
      </c>
      <c r="H334" t="s">
        <v>74</v>
      </c>
      <c r="I334" t="s">
        <v>6943</v>
      </c>
      <c r="J334" t="s">
        <v>1375</v>
      </c>
      <c r="K334" t="s">
        <v>74</v>
      </c>
      <c r="L334" t="s">
        <v>74</v>
      </c>
      <c r="M334" t="s">
        <v>78</v>
      </c>
      <c r="N334" t="s">
        <v>79</v>
      </c>
      <c r="O334" t="s">
        <v>74</v>
      </c>
      <c r="P334" t="s">
        <v>74</v>
      </c>
      <c r="Q334" t="s">
        <v>74</v>
      </c>
      <c r="R334" t="s">
        <v>74</v>
      </c>
      <c r="S334" t="s">
        <v>74</v>
      </c>
      <c r="T334" t="s">
        <v>6944</v>
      </c>
      <c r="U334" t="s">
        <v>6945</v>
      </c>
      <c r="V334" t="s">
        <v>6946</v>
      </c>
      <c r="W334" t="s">
        <v>6947</v>
      </c>
      <c r="X334" t="s">
        <v>6948</v>
      </c>
      <c r="Y334" t="s">
        <v>6949</v>
      </c>
      <c r="Z334" t="s">
        <v>6950</v>
      </c>
      <c r="AA334" t="s">
        <v>6951</v>
      </c>
      <c r="AB334" t="s">
        <v>6952</v>
      </c>
      <c r="AC334" t="s">
        <v>74</v>
      </c>
      <c r="AD334" t="s">
        <v>74</v>
      </c>
      <c r="AE334" t="s">
        <v>74</v>
      </c>
      <c r="AF334" t="s">
        <v>74</v>
      </c>
      <c r="AG334">
        <v>52</v>
      </c>
      <c r="AH334">
        <v>0</v>
      </c>
      <c r="AI334">
        <v>0</v>
      </c>
      <c r="AJ334">
        <v>3</v>
      </c>
      <c r="AK334">
        <v>27</v>
      </c>
      <c r="AL334" t="s">
        <v>363</v>
      </c>
      <c r="AM334" t="s">
        <v>364</v>
      </c>
      <c r="AN334" t="s">
        <v>365</v>
      </c>
      <c r="AO334" t="s">
        <v>74</v>
      </c>
      <c r="AP334" t="s">
        <v>1388</v>
      </c>
      <c r="AQ334" t="s">
        <v>74</v>
      </c>
      <c r="AR334" t="s">
        <v>1389</v>
      </c>
      <c r="AS334" t="s">
        <v>1390</v>
      </c>
      <c r="AT334" t="s">
        <v>6953</v>
      </c>
      <c r="AU334">
        <v>2022</v>
      </c>
      <c r="AV334">
        <v>9</v>
      </c>
      <c r="AW334" t="s">
        <v>74</v>
      </c>
      <c r="AX334" t="s">
        <v>74</v>
      </c>
      <c r="AY334" t="s">
        <v>74</v>
      </c>
      <c r="AZ334" t="s">
        <v>74</v>
      </c>
      <c r="BA334" t="s">
        <v>74</v>
      </c>
      <c r="BB334" t="s">
        <v>74</v>
      </c>
      <c r="BC334" t="s">
        <v>74</v>
      </c>
      <c r="BD334">
        <v>806204</v>
      </c>
      <c r="BE334" t="s">
        <v>6954</v>
      </c>
      <c r="BF334" t="str">
        <f>HYPERLINK("http://dx.doi.org/10.3389/feart.2021.806204","http://dx.doi.org/10.3389/feart.2021.806204")</f>
        <v>http://dx.doi.org/10.3389/feart.2021.806204</v>
      </c>
      <c r="BG334" t="s">
        <v>74</v>
      </c>
      <c r="BH334" t="s">
        <v>74</v>
      </c>
      <c r="BI334">
        <v>13</v>
      </c>
      <c r="BJ334" t="s">
        <v>151</v>
      </c>
      <c r="BK334" t="s">
        <v>103</v>
      </c>
      <c r="BL334" t="s">
        <v>152</v>
      </c>
      <c r="BM334" t="s">
        <v>6955</v>
      </c>
      <c r="BN334" t="s">
        <v>74</v>
      </c>
      <c r="BO334" t="s">
        <v>445</v>
      </c>
      <c r="BP334" t="s">
        <v>74</v>
      </c>
      <c r="BQ334" t="s">
        <v>74</v>
      </c>
      <c r="BR334" t="s">
        <v>106</v>
      </c>
      <c r="BS334" t="s">
        <v>6956</v>
      </c>
      <c r="BT334" t="str">
        <f>HYPERLINK("https%3A%2F%2Fwww.webofscience.com%2Fwos%2Fwoscc%2Ffull-record%2FWOS:000748031300001","View Full Record in Web of Science")</f>
        <v>View Full Record in Web of Science</v>
      </c>
    </row>
    <row r="335" spans="1:72" x14ac:dyDescent="0.15">
      <c r="A335" t="s">
        <v>72</v>
      </c>
      <c r="B335" t="s">
        <v>6957</v>
      </c>
      <c r="C335" t="s">
        <v>74</v>
      </c>
      <c r="D335" t="s">
        <v>74</v>
      </c>
      <c r="E335" t="s">
        <v>74</v>
      </c>
      <c r="F335" t="s">
        <v>6958</v>
      </c>
      <c r="G335" t="s">
        <v>74</v>
      </c>
      <c r="H335" t="s">
        <v>74</v>
      </c>
      <c r="I335" t="s">
        <v>6959</v>
      </c>
      <c r="J335" t="s">
        <v>2532</v>
      </c>
      <c r="K335" t="s">
        <v>74</v>
      </c>
      <c r="L335" t="s">
        <v>74</v>
      </c>
      <c r="M335" t="s">
        <v>78</v>
      </c>
      <c r="N335" t="s">
        <v>79</v>
      </c>
      <c r="O335" t="s">
        <v>74</v>
      </c>
      <c r="P335" t="s">
        <v>74</v>
      </c>
      <c r="Q335" t="s">
        <v>74</v>
      </c>
      <c r="R335" t="s">
        <v>74</v>
      </c>
      <c r="S335" t="s">
        <v>74</v>
      </c>
      <c r="T335" t="s">
        <v>74</v>
      </c>
      <c r="U335" t="s">
        <v>6960</v>
      </c>
      <c r="V335" t="s">
        <v>6961</v>
      </c>
      <c r="W335" t="s">
        <v>6962</v>
      </c>
      <c r="X335" t="s">
        <v>6963</v>
      </c>
      <c r="Y335" t="s">
        <v>6964</v>
      </c>
      <c r="Z335" t="s">
        <v>6965</v>
      </c>
      <c r="AA335" t="s">
        <v>74</v>
      </c>
      <c r="AB335" t="s">
        <v>6966</v>
      </c>
      <c r="AC335" t="s">
        <v>6967</v>
      </c>
      <c r="AD335" t="s">
        <v>6968</v>
      </c>
      <c r="AE335" t="s">
        <v>6969</v>
      </c>
      <c r="AF335" t="s">
        <v>74</v>
      </c>
      <c r="AG335">
        <v>46</v>
      </c>
      <c r="AH335">
        <v>5</v>
      </c>
      <c r="AI335">
        <v>6</v>
      </c>
      <c r="AJ335">
        <v>0</v>
      </c>
      <c r="AK335">
        <v>4</v>
      </c>
      <c r="AL335" t="s">
        <v>337</v>
      </c>
      <c r="AM335" t="s">
        <v>338</v>
      </c>
      <c r="AN335" t="s">
        <v>339</v>
      </c>
      <c r="AO335" t="s">
        <v>2543</v>
      </c>
      <c r="AP335" t="s">
        <v>74</v>
      </c>
      <c r="AQ335" t="s">
        <v>74</v>
      </c>
      <c r="AR335" t="s">
        <v>2544</v>
      </c>
      <c r="AS335" t="s">
        <v>2545</v>
      </c>
      <c r="AT335" t="s">
        <v>6953</v>
      </c>
      <c r="AU335">
        <v>2022</v>
      </c>
      <c r="AV335">
        <v>12</v>
      </c>
      <c r="AW335">
        <v>1</v>
      </c>
      <c r="AX335" t="s">
        <v>74</v>
      </c>
      <c r="AY335" t="s">
        <v>74</v>
      </c>
      <c r="AZ335" t="s">
        <v>74</v>
      </c>
      <c r="BA335" t="s">
        <v>74</v>
      </c>
      <c r="BB335" t="s">
        <v>74</v>
      </c>
      <c r="BC335" t="s">
        <v>74</v>
      </c>
      <c r="BD335">
        <v>383</v>
      </c>
      <c r="BE335" t="s">
        <v>6970</v>
      </c>
      <c r="BF335" t="str">
        <f>HYPERLINK("http://dx.doi.org/10.1038/s41598-021-04231-6","http://dx.doi.org/10.1038/s41598-021-04231-6")</f>
        <v>http://dx.doi.org/10.1038/s41598-021-04231-6</v>
      </c>
      <c r="BG335" t="s">
        <v>74</v>
      </c>
      <c r="BH335" t="s">
        <v>74</v>
      </c>
      <c r="BI335">
        <v>10</v>
      </c>
      <c r="BJ335" t="s">
        <v>289</v>
      </c>
      <c r="BK335" t="s">
        <v>103</v>
      </c>
      <c r="BL335" t="s">
        <v>290</v>
      </c>
      <c r="BM335" t="s">
        <v>6971</v>
      </c>
      <c r="BN335">
        <v>35013425</v>
      </c>
      <c r="BO335" t="s">
        <v>6972</v>
      </c>
      <c r="BP335" t="s">
        <v>74</v>
      </c>
      <c r="BQ335" t="s">
        <v>74</v>
      </c>
      <c r="BR335" t="s">
        <v>106</v>
      </c>
      <c r="BS335" t="s">
        <v>6973</v>
      </c>
      <c r="BT335" t="str">
        <f>HYPERLINK("https%3A%2F%2Fwww.webofscience.com%2Fwos%2Fwoscc%2Ffull-record%2FWOS:000741645800180","View Full Record in Web of Science")</f>
        <v>View Full Record in Web of Science</v>
      </c>
    </row>
    <row r="336" spans="1:72" x14ac:dyDescent="0.15">
      <c r="A336" t="s">
        <v>72</v>
      </c>
      <c r="B336" t="s">
        <v>6974</v>
      </c>
      <c r="C336" t="s">
        <v>74</v>
      </c>
      <c r="D336" t="s">
        <v>74</v>
      </c>
      <c r="E336" t="s">
        <v>74</v>
      </c>
      <c r="F336" t="s">
        <v>6975</v>
      </c>
      <c r="G336" t="s">
        <v>74</v>
      </c>
      <c r="H336" t="s">
        <v>74</v>
      </c>
      <c r="I336" t="s">
        <v>6976</v>
      </c>
      <c r="J336" t="s">
        <v>4601</v>
      </c>
      <c r="K336" t="s">
        <v>74</v>
      </c>
      <c r="L336" t="s">
        <v>74</v>
      </c>
      <c r="M336" t="s">
        <v>78</v>
      </c>
      <c r="N336" t="s">
        <v>79</v>
      </c>
      <c r="O336" t="s">
        <v>74</v>
      </c>
      <c r="P336" t="s">
        <v>74</v>
      </c>
      <c r="Q336" t="s">
        <v>74</v>
      </c>
      <c r="R336" t="s">
        <v>74</v>
      </c>
      <c r="S336" t="s">
        <v>74</v>
      </c>
      <c r="T336" t="s">
        <v>6977</v>
      </c>
      <c r="U336" t="s">
        <v>6978</v>
      </c>
      <c r="V336" t="s">
        <v>6979</v>
      </c>
      <c r="W336" t="s">
        <v>6980</v>
      </c>
      <c r="X336" t="s">
        <v>6981</v>
      </c>
      <c r="Y336" t="s">
        <v>6982</v>
      </c>
      <c r="Z336" t="s">
        <v>6983</v>
      </c>
      <c r="AA336" t="s">
        <v>6984</v>
      </c>
      <c r="AB336" t="s">
        <v>6985</v>
      </c>
      <c r="AC336" t="s">
        <v>6986</v>
      </c>
      <c r="AD336" t="s">
        <v>6987</v>
      </c>
      <c r="AE336" t="s">
        <v>6988</v>
      </c>
      <c r="AF336" t="s">
        <v>74</v>
      </c>
      <c r="AG336">
        <v>58</v>
      </c>
      <c r="AH336">
        <v>2</v>
      </c>
      <c r="AI336">
        <v>2</v>
      </c>
      <c r="AJ336">
        <v>5</v>
      </c>
      <c r="AK336">
        <v>22</v>
      </c>
      <c r="AL336" t="s">
        <v>1074</v>
      </c>
      <c r="AM336" t="s">
        <v>506</v>
      </c>
      <c r="AN336" t="s">
        <v>1075</v>
      </c>
      <c r="AO336" t="s">
        <v>4614</v>
      </c>
      <c r="AP336" t="s">
        <v>4615</v>
      </c>
      <c r="AQ336" t="s">
        <v>74</v>
      </c>
      <c r="AR336" t="s">
        <v>4616</v>
      </c>
      <c r="AS336" t="s">
        <v>4617</v>
      </c>
      <c r="AT336" t="s">
        <v>483</v>
      </c>
      <c r="AU336">
        <v>2022</v>
      </c>
      <c r="AV336">
        <v>59</v>
      </c>
      <c r="AW336" t="s">
        <v>6989</v>
      </c>
      <c r="AX336" t="s">
        <v>74</v>
      </c>
      <c r="AY336" t="s">
        <v>74</v>
      </c>
      <c r="AZ336" t="s">
        <v>74</v>
      </c>
      <c r="BA336" t="s">
        <v>74</v>
      </c>
      <c r="BB336">
        <v>315</v>
      </c>
      <c r="BC336">
        <v>329</v>
      </c>
      <c r="BD336" t="s">
        <v>74</v>
      </c>
      <c r="BE336" t="s">
        <v>6990</v>
      </c>
      <c r="BF336" t="str">
        <f>HYPERLINK("http://dx.doi.org/10.1007/s00382-021-06131-x","http://dx.doi.org/10.1007/s00382-021-06131-x")</f>
        <v>http://dx.doi.org/10.1007/s00382-021-06131-x</v>
      </c>
      <c r="BG336" t="s">
        <v>74</v>
      </c>
      <c r="BH336" t="s">
        <v>4536</v>
      </c>
      <c r="BI336">
        <v>15</v>
      </c>
      <c r="BJ336" t="s">
        <v>514</v>
      </c>
      <c r="BK336" t="s">
        <v>103</v>
      </c>
      <c r="BL336" t="s">
        <v>514</v>
      </c>
      <c r="BM336" t="s">
        <v>6991</v>
      </c>
      <c r="BN336" t="s">
        <v>74</v>
      </c>
      <c r="BO336" t="s">
        <v>6992</v>
      </c>
      <c r="BP336" t="s">
        <v>74</v>
      </c>
      <c r="BQ336" t="s">
        <v>74</v>
      </c>
      <c r="BR336" t="s">
        <v>106</v>
      </c>
      <c r="BS336" t="s">
        <v>6993</v>
      </c>
      <c r="BT336" t="str">
        <f>HYPERLINK("https%3A%2F%2Fwww.webofscience.com%2Fwos%2Fwoscc%2Ffull-record%2FWOS:000741640700001","View Full Record in Web of Science")</f>
        <v>View Full Record in Web of Science</v>
      </c>
    </row>
    <row r="337" spans="1:72" x14ac:dyDescent="0.15">
      <c r="A337" t="s">
        <v>72</v>
      </c>
      <c r="B337" t="s">
        <v>6994</v>
      </c>
      <c r="C337" t="s">
        <v>74</v>
      </c>
      <c r="D337" t="s">
        <v>74</v>
      </c>
      <c r="E337" t="s">
        <v>74</v>
      </c>
      <c r="F337" t="s">
        <v>6995</v>
      </c>
      <c r="G337" t="s">
        <v>74</v>
      </c>
      <c r="H337" t="s">
        <v>74</v>
      </c>
      <c r="I337" t="s">
        <v>6996</v>
      </c>
      <c r="J337" t="s">
        <v>6997</v>
      </c>
      <c r="K337" t="s">
        <v>74</v>
      </c>
      <c r="L337" t="s">
        <v>74</v>
      </c>
      <c r="M337" t="s">
        <v>78</v>
      </c>
      <c r="N337" t="s">
        <v>79</v>
      </c>
      <c r="O337" t="s">
        <v>74</v>
      </c>
      <c r="P337" t="s">
        <v>74</v>
      </c>
      <c r="Q337" t="s">
        <v>74</v>
      </c>
      <c r="R337" t="s">
        <v>74</v>
      </c>
      <c r="S337" t="s">
        <v>74</v>
      </c>
      <c r="T337" t="s">
        <v>74</v>
      </c>
      <c r="U337" t="s">
        <v>6998</v>
      </c>
      <c r="V337" t="s">
        <v>6999</v>
      </c>
      <c r="W337" t="s">
        <v>7000</v>
      </c>
      <c r="X337" t="s">
        <v>7001</v>
      </c>
      <c r="Y337" t="s">
        <v>7002</v>
      </c>
      <c r="Z337" t="s">
        <v>7003</v>
      </c>
      <c r="AA337" t="s">
        <v>7004</v>
      </c>
      <c r="AB337" t="s">
        <v>7005</v>
      </c>
      <c r="AC337" t="s">
        <v>7006</v>
      </c>
      <c r="AD337" t="s">
        <v>7007</v>
      </c>
      <c r="AE337" t="s">
        <v>7008</v>
      </c>
      <c r="AF337" t="s">
        <v>74</v>
      </c>
      <c r="AG337">
        <v>58</v>
      </c>
      <c r="AH337">
        <v>33</v>
      </c>
      <c r="AI337">
        <v>35</v>
      </c>
      <c r="AJ337">
        <v>21</v>
      </c>
      <c r="AK337">
        <v>66</v>
      </c>
      <c r="AL337" t="s">
        <v>337</v>
      </c>
      <c r="AM337" t="s">
        <v>338</v>
      </c>
      <c r="AN337" t="s">
        <v>339</v>
      </c>
      <c r="AO337" t="s">
        <v>7009</v>
      </c>
      <c r="AP337" t="s">
        <v>7010</v>
      </c>
      <c r="AQ337" t="s">
        <v>74</v>
      </c>
      <c r="AR337" t="s">
        <v>7011</v>
      </c>
      <c r="AS337" t="s">
        <v>7012</v>
      </c>
      <c r="AT337" t="s">
        <v>4645</v>
      </c>
      <c r="AU337">
        <v>2022</v>
      </c>
      <c r="AV337">
        <v>12</v>
      </c>
      <c r="AW337">
        <v>1</v>
      </c>
      <c r="AX337" t="s">
        <v>74</v>
      </c>
      <c r="AY337" t="s">
        <v>74</v>
      </c>
      <c r="AZ337" t="s">
        <v>74</v>
      </c>
      <c r="BA337" t="s">
        <v>74</v>
      </c>
      <c r="BB337">
        <v>54</v>
      </c>
      <c r="BC337" t="s">
        <v>5868</v>
      </c>
      <c r="BD337" t="s">
        <v>74</v>
      </c>
      <c r="BE337" t="s">
        <v>7013</v>
      </c>
      <c r="BF337" t="str">
        <f>HYPERLINK("http://dx.doi.org/10.1038/s41558-021-01254-9","http://dx.doi.org/10.1038/s41558-021-01254-9")</f>
        <v>http://dx.doi.org/10.1038/s41558-021-01254-9</v>
      </c>
      <c r="BG337" t="s">
        <v>74</v>
      </c>
      <c r="BH337" t="s">
        <v>4536</v>
      </c>
      <c r="BI337">
        <v>14</v>
      </c>
      <c r="BJ337" t="s">
        <v>7014</v>
      </c>
      <c r="BK337" t="s">
        <v>1034</v>
      </c>
      <c r="BL337" t="s">
        <v>130</v>
      </c>
      <c r="BM337" t="s">
        <v>7015</v>
      </c>
      <c r="BN337" t="s">
        <v>74</v>
      </c>
      <c r="BO337" t="s">
        <v>4950</v>
      </c>
      <c r="BP337" t="s">
        <v>74</v>
      </c>
      <c r="BQ337" t="s">
        <v>74</v>
      </c>
      <c r="BR337" t="s">
        <v>106</v>
      </c>
      <c r="BS337" t="s">
        <v>7016</v>
      </c>
      <c r="BT337" t="str">
        <f>HYPERLINK("https%3A%2F%2Fwww.webofscience.com%2Fwos%2Fwoscc%2Ffull-record%2FWOS:000741629200003","View Full Record in Web of Science")</f>
        <v>View Full Record in Web of Science</v>
      </c>
    </row>
    <row r="338" spans="1:72" x14ac:dyDescent="0.15">
      <c r="A338" t="s">
        <v>72</v>
      </c>
      <c r="B338" t="s">
        <v>7017</v>
      </c>
      <c r="C338" t="s">
        <v>74</v>
      </c>
      <c r="D338" t="s">
        <v>74</v>
      </c>
      <c r="E338" t="s">
        <v>74</v>
      </c>
      <c r="F338" t="s">
        <v>7018</v>
      </c>
      <c r="G338" t="s">
        <v>74</v>
      </c>
      <c r="H338" t="s">
        <v>74</v>
      </c>
      <c r="I338" t="s">
        <v>7019</v>
      </c>
      <c r="J338" t="s">
        <v>2305</v>
      </c>
      <c r="K338" t="s">
        <v>74</v>
      </c>
      <c r="L338" t="s">
        <v>74</v>
      </c>
      <c r="M338" t="s">
        <v>78</v>
      </c>
      <c r="N338" t="s">
        <v>932</v>
      </c>
      <c r="O338" t="s">
        <v>74</v>
      </c>
      <c r="P338" t="s">
        <v>74</v>
      </c>
      <c r="Q338" t="s">
        <v>74</v>
      </c>
      <c r="R338" t="s">
        <v>74</v>
      </c>
      <c r="S338" t="s">
        <v>74</v>
      </c>
      <c r="T338" t="s">
        <v>74</v>
      </c>
      <c r="U338" t="s">
        <v>74</v>
      </c>
      <c r="V338" t="s">
        <v>74</v>
      </c>
      <c r="W338" t="s">
        <v>74</v>
      </c>
      <c r="X338" t="s">
        <v>74</v>
      </c>
      <c r="Y338" t="s">
        <v>74</v>
      </c>
      <c r="Z338" t="s">
        <v>7020</v>
      </c>
      <c r="AA338" t="s">
        <v>7021</v>
      </c>
      <c r="AB338" t="s">
        <v>7022</v>
      </c>
      <c r="AC338" t="s">
        <v>74</v>
      </c>
      <c r="AD338" t="s">
        <v>74</v>
      </c>
      <c r="AE338" t="s">
        <v>74</v>
      </c>
      <c r="AF338" t="s">
        <v>74</v>
      </c>
      <c r="AG338">
        <v>1</v>
      </c>
      <c r="AH338">
        <v>0</v>
      </c>
      <c r="AI338">
        <v>0</v>
      </c>
      <c r="AJ338">
        <v>0</v>
      </c>
      <c r="AK338">
        <v>16</v>
      </c>
      <c r="AL338" t="s">
        <v>337</v>
      </c>
      <c r="AM338" t="s">
        <v>338</v>
      </c>
      <c r="AN338" t="s">
        <v>339</v>
      </c>
      <c r="AO338" t="s">
        <v>74</v>
      </c>
      <c r="AP338" t="s">
        <v>2316</v>
      </c>
      <c r="AQ338" t="s">
        <v>74</v>
      </c>
      <c r="AR338" t="s">
        <v>2317</v>
      </c>
      <c r="AS338" t="s">
        <v>2318</v>
      </c>
      <c r="AT338" t="s">
        <v>6953</v>
      </c>
      <c r="AU338">
        <v>2022</v>
      </c>
      <c r="AV338">
        <v>13</v>
      </c>
      <c r="AW338">
        <v>1</v>
      </c>
      <c r="AX338" t="s">
        <v>74</v>
      </c>
      <c r="AY338" t="s">
        <v>74</v>
      </c>
      <c r="AZ338" t="s">
        <v>74</v>
      </c>
      <c r="BA338" t="s">
        <v>74</v>
      </c>
      <c r="BB338" t="s">
        <v>74</v>
      </c>
      <c r="BC338" t="s">
        <v>74</v>
      </c>
      <c r="BD338">
        <v>309</v>
      </c>
      <c r="BE338" t="s">
        <v>7023</v>
      </c>
      <c r="BF338" t="str">
        <f>HYPERLINK("http://dx.doi.org/10.1038/s41467-021-27840-1","http://dx.doi.org/10.1038/s41467-021-27840-1")</f>
        <v>http://dx.doi.org/10.1038/s41467-021-27840-1</v>
      </c>
      <c r="BG338" t="s">
        <v>74</v>
      </c>
      <c r="BH338" t="s">
        <v>74</v>
      </c>
      <c r="BI338">
        <v>1</v>
      </c>
      <c r="BJ338" t="s">
        <v>289</v>
      </c>
      <c r="BK338" t="s">
        <v>103</v>
      </c>
      <c r="BL338" t="s">
        <v>290</v>
      </c>
      <c r="BM338" t="s">
        <v>7024</v>
      </c>
      <c r="BN338">
        <v>35022407</v>
      </c>
      <c r="BO338" t="s">
        <v>292</v>
      </c>
      <c r="BP338" t="s">
        <v>74</v>
      </c>
      <c r="BQ338" t="s">
        <v>74</v>
      </c>
      <c r="BR338" t="s">
        <v>106</v>
      </c>
      <c r="BS338" t="s">
        <v>7025</v>
      </c>
      <c r="BT338" t="str">
        <f>HYPERLINK("https%3A%2F%2Fwww.webofscience.com%2Fwos%2Fwoscc%2Ffull-record%2FWOS:000742154900001","View Full Record in Web of Science")</f>
        <v>View Full Record in Web of Science</v>
      </c>
    </row>
    <row r="339" spans="1:72" x14ac:dyDescent="0.15">
      <c r="A339" t="s">
        <v>72</v>
      </c>
      <c r="B339" t="s">
        <v>7026</v>
      </c>
      <c r="C339" t="s">
        <v>74</v>
      </c>
      <c r="D339" t="s">
        <v>74</v>
      </c>
      <c r="E339" t="s">
        <v>74</v>
      </c>
      <c r="F339" t="s">
        <v>7027</v>
      </c>
      <c r="G339" t="s">
        <v>74</v>
      </c>
      <c r="H339" t="s">
        <v>74</v>
      </c>
      <c r="I339" t="s">
        <v>7028</v>
      </c>
      <c r="J339" t="s">
        <v>7029</v>
      </c>
      <c r="K339" t="s">
        <v>74</v>
      </c>
      <c r="L339" t="s">
        <v>74</v>
      </c>
      <c r="M339" t="s">
        <v>78</v>
      </c>
      <c r="N339" t="s">
        <v>1113</v>
      </c>
      <c r="O339" t="s">
        <v>74</v>
      </c>
      <c r="P339" t="s">
        <v>74</v>
      </c>
      <c r="Q339" t="s">
        <v>74</v>
      </c>
      <c r="R339" t="s">
        <v>74</v>
      </c>
      <c r="S339" t="s">
        <v>74</v>
      </c>
      <c r="T339" t="s">
        <v>7030</v>
      </c>
      <c r="U339" t="s">
        <v>7031</v>
      </c>
      <c r="V339" t="s">
        <v>7032</v>
      </c>
      <c r="W339" t="s">
        <v>7033</v>
      </c>
      <c r="X339" t="s">
        <v>7034</v>
      </c>
      <c r="Y339" t="s">
        <v>7035</v>
      </c>
      <c r="Z339" t="s">
        <v>7036</v>
      </c>
      <c r="AA339" t="s">
        <v>7037</v>
      </c>
      <c r="AB339" t="s">
        <v>7038</v>
      </c>
      <c r="AC339" t="s">
        <v>7039</v>
      </c>
      <c r="AD339" t="s">
        <v>7040</v>
      </c>
      <c r="AE339" t="s">
        <v>7041</v>
      </c>
      <c r="AF339" t="s">
        <v>74</v>
      </c>
      <c r="AG339">
        <v>109</v>
      </c>
      <c r="AH339">
        <v>3</v>
      </c>
      <c r="AI339">
        <v>3</v>
      </c>
      <c r="AJ339">
        <v>4</v>
      </c>
      <c r="AK339">
        <v>44</v>
      </c>
      <c r="AL339" t="s">
        <v>435</v>
      </c>
      <c r="AM339" t="s">
        <v>436</v>
      </c>
      <c r="AN339" t="s">
        <v>437</v>
      </c>
      <c r="AO339" t="s">
        <v>7042</v>
      </c>
      <c r="AP339" t="s">
        <v>7043</v>
      </c>
      <c r="AQ339" t="s">
        <v>74</v>
      </c>
      <c r="AR339" t="s">
        <v>7044</v>
      </c>
      <c r="AS339" t="s">
        <v>7045</v>
      </c>
      <c r="AT339" t="s">
        <v>205</v>
      </c>
      <c r="AU339">
        <v>2021</v>
      </c>
      <c r="AV339">
        <v>31</v>
      </c>
      <c r="AW339">
        <v>5</v>
      </c>
      <c r="AX339" t="s">
        <v>74</v>
      </c>
      <c r="AY339" t="s">
        <v>74</v>
      </c>
      <c r="AZ339" t="s">
        <v>74</v>
      </c>
      <c r="BA339" t="s">
        <v>74</v>
      </c>
      <c r="BB339">
        <v>531</v>
      </c>
      <c r="BC339">
        <v>560</v>
      </c>
      <c r="BD339" t="s">
        <v>74</v>
      </c>
      <c r="BE339" t="s">
        <v>7046</v>
      </c>
      <c r="BF339" t="str">
        <f>HYPERLINK("http://dx.doi.org/10.1007/s43450-021-00203-z","http://dx.doi.org/10.1007/s43450-021-00203-z")</f>
        <v>http://dx.doi.org/10.1007/s43450-021-00203-z</v>
      </c>
      <c r="BG339" t="s">
        <v>74</v>
      </c>
      <c r="BH339" t="s">
        <v>4536</v>
      </c>
      <c r="BI339">
        <v>30</v>
      </c>
      <c r="BJ339" t="s">
        <v>7047</v>
      </c>
      <c r="BK339" t="s">
        <v>103</v>
      </c>
      <c r="BL339" t="s">
        <v>7048</v>
      </c>
      <c r="BM339" t="s">
        <v>7049</v>
      </c>
      <c r="BN339" t="s">
        <v>74</v>
      </c>
      <c r="BO339" t="s">
        <v>74</v>
      </c>
      <c r="BP339" t="s">
        <v>74</v>
      </c>
      <c r="BQ339" t="s">
        <v>74</v>
      </c>
      <c r="BR339" t="s">
        <v>106</v>
      </c>
      <c r="BS339" t="s">
        <v>7050</v>
      </c>
      <c r="BT339" t="str">
        <f>HYPERLINK("https%3A%2F%2Fwww.webofscience.com%2Fwos%2Fwoscc%2Ffull-record%2FWOS:000741580100001","View Full Record in Web of Science")</f>
        <v>View Full Record in Web of Science</v>
      </c>
    </row>
    <row r="340" spans="1:72" x14ac:dyDescent="0.15">
      <c r="A340" t="s">
        <v>72</v>
      </c>
      <c r="B340" t="s">
        <v>7051</v>
      </c>
      <c r="C340" t="s">
        <v>74</v>
      </c>
      <c r="D340" t="s">
        <v>74</v>
      </c>
      <c r="E340" t="s">
        <v>74</v>
      </c>
      <c r="F340" t="s">
        <v>7052</v>
      </c>
      <c r="G340" t="s">
        <v>74</v>
      </c>
      <c r="H340" t="s">
        <v>74</v>
      </c>
      <c r="I340" t="s">
        <v>7053</v>
      </c>
      <c r="J340" t="s">
        <v>7054</v>
      </c>
      <c r="K340" t="s">
        <v>74</v>
      </c>
      <c r="L340" t="s">
        <v>74</v>
      </c>
      <c r="M340" t="s">
        <v>78</v>
      </c>
      <c r="N340" t="s">
        <v>79</v>
      </c>
      <c r="O340" t="s">
        <v>74</v>
      </c>
      <c r="P340" t="s">
        <v>74</v>
      </c>
      <c r="Q340" t="s">
        <v>74</v>
      </c>
      <c r="R340" t="s">
        <v>74</v>
      </c>
      <c r="S340" t="s">
        <v>74</v>
      </c>
      <c r="T340" t="s">
        <v>7055</v>
      </c>
      <c r="U340" t="s">
        <v>7056</v>
      </c>
      <c r="V340" t="s">
        <v>7057</v>
      </c>
      <c r="W340" t="s">
        <v>7058</v>
      </c>
      <c r="X340" t="s">
        <v>7059</v>
      </c>
      <c r="Y340" t="s">
        <v>7060</v>
      </c>
      <c r="Z340" t="s">
        <v>7061</v>
      </c>
      <c r="AA340" t="s">
        <v>74</v>
      </c>
      <c r="AB340" t="s">
        <v>7062</v>
      </c>
      <c r="AC340" t="s">
        <v>7063</v>
      </c>
      <c r="AD340" t="s">
        <v>7064</v>
      </c>
      <c r="AE340" t="s">
        <v>7065</v>
      </c>
      <c r="AF340" t="s">
        <v>74</v>
      </c>
      <c r="AG340">
        <v>48</v>
      </c>
      <c r="AH340">
        <v>3</v>
      </c>
      <c r="AI340">
        <v>3</v>
      </c>
      <c r="AJ340">
        <v>1</v>
      </c>
      <c r="AK340">
        <v>10</v>
      </c>
      <c r="AL340" t="s">
        <v>171</v>
      </c>
      <c r="AM340" t="s">
        <v>172</v>
      </c>
      <c r="AN340" t="s">
        <v>173</v>
      </c>
      <c r="AO340" t="s">
        <v>7066</v>
      </c>
      <c r="AP340" t="s">
        <v>7067</v>
      </c>
      <c r="AQ340" t="s">
        <v>74</v>
      </c>
      <c r="AR340" t="s">
        <v>7068</v>
      </c>
      <c r="AS340" t="s">
        <v>7069</v>
      </c>
      <c r="AT340" t="s">
        <v>4645</v>
      </c>
      <c r="AU340">
        <v>2022</v>
      </c>
      <c r="AV340">
        <v>148</v>
      </c>
      <c r="AW340">
        <v>743</v>
      </c>
      <c r="AX340" t="s">
        <v>74</v>
      </c>
      <c r="AY340" t="s">
        <v>74</v>
      </c>
      <c r="AZ340" t="s">
        <v>74</v>
      </c>
      <c r="BA340" t="s">
        <v>74</v>
      </c>
      <c r="BB340">
        <v>727</v>
      </c>
      <c r="BC340">
        <v>746</v>
      </c>
      <c r="BD340" t="s">
        <v>74</v>
      </c>
      <c r="BE340" t="s">
        <v>7070</v>
      </c>
      <c r="BF340" t="str">
        <f>HYPERLINK("http://dx.doi.org/10.1002/qj.4226","http://dx.doi.org/10.1002/qj.4226")</f>
        <v>http://dx.doi.org/10.1002/qj.4226</v>
      </c>
      <c r="BG340" t="s">
        <v>74</v>
      </c>
      <c r="BH340" t="s">
        <v>4536</v>
      </c>
      <c r="BI340">
        <v>20</v>
      </c>
      <c r="BJ340" t="s">
        <v>514</v>
      </c>
      <c r="BK340" t="s">
        <v>103</v>
      </c>
      <c r="BL340" t="s">
        <v>514</v>
      </c>
      <c r="BM340" t="s">
        <v>7071</v>
      </c>
      <c r="BN340" t="s">
        <v>74</v>
      </c>
      <c r="BO340" t="s">
        <v>74</v>
      </c>
      <c r="BP340" t="s">
        <v>74</v>
      </c>
      <c r="BQ340" t="s">
        <v>74</v>
      </c>
      <c r="BR340" t="s">
        <v>106</v>
      </c>
      <c r="BS340" t="s">
        <v>7072</v>
      </c>
      <c r="BT340" t="str">
        <f>HYPERLINK("https%3A%2F%2Fwww.webofscience.com%2Fwos%2Fwoscc%2Ffull-record%2FWOS:000740872500001","View Full Record in Web of Science")</f>
        <v>View Full Record in Web of Science</v>
      </c>
    </row>
    <row r="341" spans="1:72" x14ac:dyDescent="0.15">
      <c r="A341" t="s">
        <v>72</v>
      </c>
      <c r="B341" t="s">
        <v>7073</v>
      </c>
      <c r="C341" t="s">
        <v>74</v>
      </c>
      <c r="D341" t="s">
        <v>74</v>
      </c>
      <c r="E341" t="s">
        <v>74</v>
      </c>
      <c r="F341" t="s">
        <v>7074</v>
      </c>
      <c r="G341" t="s">
        <v>74</v>
      </c>
      <c r="H341" t="s">
        <v>74</v>
      </c>
      <c r="I341" t="s">
        <v>7075</v>
      </c>
      <c r="J341" t="s">
        <v>7076</v>
      </c>
      <c r="K341" t="s">
        <v>74</v>
      </c>
      <c r="L341" t="s">
        <v>74</v>
      </c>
      <c r="M341" t="s">
        <v>78</v>
      </c>
      <c r="N341" t="s">
        <v>79</v>
      </c>
      <c r="O341" t="s">
        <v>74</v>
      </c>
      <c r="P341" t="s">
        <v>74</v>
      </c>
      <c r="Q341" t="s">
        <v>74</v>
      </c>
      <c r="R341" t="s">
        <v>74</v>
      </c>
      <c r="S341" t="s">
        <v>74</v>
      </c>
      <c r="T341" t="s">
        <v>7077</v>
      </c>
      <c r="U341" t="s">
        <v>74</v>
      </c>
      <c r="V341" t="s">
        <v>7078</v>
      </c>
      <c r="W341" t="s">
        <v>74</v>
      </c>
      <c r="X341" t="s">
        <v>74</v>
      </c>
      <c r="Y341" t="s">
        <v>74</v>
      </c>
      <c r="Z341" t="s">
        <v>7079</v>
      </c>
      <c r="AA341" t="s">
        <v>74</v>
      </c>
      <c r="AB341" t="s">
        <v>7080</v>
      </c>
      <c r="AC341" t="s">
        <v>74</v>
      </c>
      <c r="AD341" t="s">
        <v>74</v>
      </c>
      <c r="AE341" t="s">
        <v>74</v>
      </c>
      <c r="AF341" t="s">
        <v>74</v>
      </c>
      <c r="AG341">
        <v>21</v>
      </c>
      <c r="AH341">
        <v>0</v>
      </c>
      <c r="AI341">
        <v>0</v>
      </c>
      <c r="AJ341">
        <v>1</v>
      </c>
      <c r="AK341">
        <v>1</v>
      </c>
      <c r="AL341" t="s">
        <v>198</v>
      </c>
      <c r="AM341" t="s">
        <v>506</v>
      </c>
      <c r="AN341" t="s">
        <v>1695</v>
      </c>
      <c r="AO341" t="s">
        <v>7081</v>
      </c>
      <c r="AP341" t="s">
        <v>7082</v>
      </c>
      <c r="AQ341" t="s">
        <v>74</v>
      </c>
      <c r="AR341" t="s">
        <v>7083</v>
      </c>
      <c r="AS341" t="s">
        <v>7084</v>
      </c>
      <c r="AT341" t="s">
        <v>6953</v>
      </c>
      <c r="AU341">
        <v>2022</v>
      </c>
      <c r="AV341">
        <v>58</v>
      </c>
      <c r="AW341" t="s">
        <v>74</v>
      </c>
      <c r="AX341" t="s">
        <v>74</v>
      </c>
      <c r="AY341" t="s">
        <v>74</v>
      </c>
      <c r="AZ341" t="s">
        <v>74</v>
      </c>
      <c r="BA341" t="s">
        <v>74</v>
      </c>
      <c r="BB341" t="s">
        <v>74</v>
      </c>
      <c r="BC341" t="s">
        <v>74</v>
      </c>
      <c r="BD341" t="s">
        <v>7085</v>
      </c>
      <c r="BE341" t="s">
        <v>7086</v>
      </c>
      <c r="BF341" t="str">
        <f>HYPERLINK("http://dx.doi.org/10.1017/S0032247421000723","http://dx.doi.org/10.1017/S0032247421000723")</f>
        <v>http://dx.doi.org/10.1017/S0032247421000723</v>
      </c>
      <c r="BG341" t="s">
        <v>74</v>
      </c>
      <c r="BH341" t="s">
        <v>74</v>
      </c>
      <c r="BI341">
        <v>18</v>
      </c>
      <c r="BJ341" t="s">
        <v>4039</v>
      </c>
      <c r="BK341" t="s">
        <v>103</v>
      </c>
      <c r="BL341" t="s">
        <v>1561</v>
      </c>
      <c r="BM341" t="s">
        <v>7087</v>
      </c>
      <c r="BN341" t="s">
        <v>74</v>
      </c>
      <c r="BO341" t="s">
        <v>74</v>
      </c>
      <c r="BP341" t="s">
        <v>74</v>
      </c>
      <c r="BQ341" t="s">
        <v>74</v>
      </c>
      <c r="BR341" t="s">
        <v>106</v>
      </c>
      <c r="BS341" t="s">
        <v>7088</v>
      </c>
      <c r="BT341" t="str">
        <f>HYPERLINK("https%3A%2F%2Fwww.webofscience.com%2Fwos%2Fwoscc%2Ffull-record%2FWOS:000740678600001","View Full Record in Web of Science")</f>
        <v>View Full Record in Web of Science</v>
      </c>
    </row>
    <row r="342" spans="1:72" x14ac:dyDescent="0.15">
      <c r="A342" t="s">
        <v>72</v>
      </c>
      <c r="B342" t="s">
        <v>7089</v>
      </c>
      <c r="C342" t="s">
        <v>74</v>
      </c>
      <c r="D342" t="s">
        <v>74</v>
      </c>
      <c r="E342" t="s">
        <v>74</v>
      </c>
      <c r="F342" t="s">
        <v>7090</v>
      </c>
      <c r="G342" t="s">
        <v>74</v>
      </c>
      <c r="H342" t="s">
        <v>74</v>
      </c>
      <c r="I342" t="s">
        <v>7091</v>
      </c>
      <c r="J342" t="s">
        <v>7092</v>
      </c>
      <c r="K342" t="s">
        <v>74</v>
      </c>
      <c r="L342" t="s">
        <v>74</v>
      </c>
      <c r="M342" t="s">
        <v>78</v>
      </c>
      <c r="N342" t="s">
        <v>79</v>
      </c>
      <c r="O342" t="s">
        <v>74</v>
      </c>
      <c r="P342" t="s">
        <v>74</v>
      </c>
      <c r="Q342" t="s">
        <v>74</v>
      </c>
      <c r="R342" t="s">
        <v>74</v>
      </c>
      <c r="S342" t="s">
        <v>74</v>
      </c>
      <c r="T342" t="s">
        <v>7093</v>
      </c>
      <c r="U342" t="s">
        <v>7094</v>
      </c>
      <c r="V342" t="s">
        <v>7095</v>
      </c>
      <c r="W342" t="s">
        <v>7096</v>
      </c>
      <c r="X342" t="s">
        <v>7097</v>
      </c>
      <c r="Y342" t="s">
        <v>7098</v>
      </c>
      <c r="Z342" t="s">
        <v>7099</v>
      </c>
      <c r="AA342" t="s">
        <v>7100</v>
      </c>
      <c r="AB342" t="s">
        <v>7101</v>
      </c>
      <c r="AC342" t="s">
        <v>7102</v>
      </c>
      <c r="AD342" t="s">
        <v>7103</v>
      </c>
      <c r="AE342" t="s">
        <v>7104</v>
      </c>
      <c r="AF342" t="s">
        <v>74</v>
      </c>
      <c r="AG342">
        <v>78</v>
      </c>
      <c r="AH342">
        <v>1</v>
      </c>
      <c r="AI342">
        <v>2</v>
      </c>
      <c r="AJ342">
        <v>8</v>
      </c>
      <c r="AK342">
        <v>12</v>
      </c>
      <c r="AL342" t="s">
        <v>363</v>
      </c>
      <c r="AM342" t="s">
        <v>364</v>
      </c>
      <c r="AN342" t="s">
        <v>365</v>
      </c>
      <c r="AO342" t="s">
        <v>74</v>
      </c>
      <c r="AP342" t="s">
        <v>7105</v>
      </c>
      <c r="AQ342" t="s">
        <v>74</v>
      </c>
      <c r="AR342" t="s">
        <v>7106</v>
      </c>
      <c r="AS342" t="s">
        <v>7107</v>
      </c>
      <c r="AT342" t="s">
        <v>6953</v>
      </c>
      <c r="AU342">
        <v>2022</v>
      </c>
      <c r="AV342">
        <v>3</v>
      </c>
      <c r="AW342" t="s">
        <v>74</v>
      </c>
      <c r="AX342" t="s">
        <v>74</v>
      </c>
      <c r="AY342" t="s">
        <v>74</v>
      </c>
      <c r="AZ342" t="s">
        <v>74</v>
      </c>
      <c r="BA342" t="s">
        <v>74</v>
      </c>
      <c r="BB342" t="s">
        <v>74</v>
      </c>
      <c r="BC342" t="s">
        <v>74</v>
      </c>
      <c r="BD342">
        <v>733755</v>
      </c>
      <c r="BE342" t="s">
        <v>7108</v>
      </c>
      <c r="BF342" t="str">
        <f>HYPERLINK("http://dx.doi.org/10.3389/fclim.2021.733755","http://dx.doi.org/10.3389/fclim.2021.733755")</f>
        <v>http://dx.doi.org/10.3389/fclim.2021.733755</v>
      </c>
      <c r="BG342" t="s">
        <v>74</v>
      </c>
      <c r="BH342" t="s">
        <v>74</v>
      </c>
      <c r="BI342">
        <v>11</v>
      </c>
      <c r="BJ342" t="s">
        <v>7109</v>
      </c>
      <c r="BK342" t="s">
        <v>724</v>
      </c>
      <c r="BL342" t="s">
        <v>1561</v>
      </c>
      <c r="BM342" t="s">
        <v>7110</v>
      </c>
      <c r="BN342" t="s">
        <v>74</v>
      </c>
      <c r="BO342" t="s">
        <v>292</v>
      </c>
      <c r="BP342" t="s">
        <v>74</v>
      </c>
      <c r="BQ342" t="s">
        <v>74</v>
      </c>
      <c r="BR342" t="s">
        <v>106</v>
      </c>
      <c r="BS342" t="s">
        <v>7111</v>
      </c>
      <c r="BT342" t="str">
        <f>HYPERLINK("https%3A%2F%2Fwww.webofscience.com%2Fwos%2Fwoscc%2Ffull-record%2FWOS:001021845300001","View Full Record in Web of Science")</f>
        <v>View Full Record in Web of Science</v>
      </c>
    </row>
    <row r="343" spans="1:72" x14ac:dyDescent="0.15">
      <c r="A343" t="s">
        <v>72</v>
      </c>
      <c r="B343" t="s">
        <v>7112</v>
      </c>
      <c r="C343" t="s">
        <v>74</v>
      </c>
      <c r="D343" t="s">
        <v>74</v>
      </c>
      <c r="E343" t="s">
        <v>74</v>
      </c>
      <c r="F343" t="s">
        <v>7113</v>
      </c>
      <c r="G343" t="s">
        <v>74</v>
      </c>
      <c r="H343" t="s">
        <v>74</v>
      </c>
      <c r="I343" t="s">
        <v>7114</v>
      </c>
      <c r="J343" t="s">
        <v>1265</v>
      </c>
      <c r="K343" t="s">
        <v>74</v>
      </c>
      <c r="L343" t="s">
        <v>74</v>
      </c>
      <c r="M343" t="s">
        <v>78</v>
      </c>
      <c r="N343" t="s">
        <v>1113</v>
      </c>
      <c r="O343" t="s">
        <v>74</v>
      </c>
      <c r="P343" t="s">
        <v>74</v>
      </c>
      <c r="Q343" t="s">
        <v>74</v>
      </c>
      <c r="R343" t="s">
        <v>74</v>
      </c>
      <c r="S343" t="s">
        <v>74</v>
      </c>
      <c r="T343" t="s">
        <v>7115</v>
      </c>
      <c r="U343" t="s">
        <v>7116</v>
      </c>
      <c r="V343" t="s">
        <v>7117</v>
      </c>
      <c r="W343" t="s">
        <v>7118</v>
      </c>
      <c r="X343" t="s">
        <v>7119</v>
      </c>
      <c r="Y343" t="s">
        <v>7120</v>
      </c>
      <c r="Z343" t="s">
        <v>7121</v>
      </c>
      <c r="AA343" t="s">
        <v>7122</v>
      </c>
      <c r="AB343" t="s">
        <v>7123</v>
      </c>
      <c r="AC343" t="s">
        <v>7124</v>
      </c>
      <c r="AD343" t="s">
        <v>7125</v>
      </c>
      <c r="AE343" t="s">
        <v>7126</v>
      </c>
      <c r="AF343" t="s">
        <v>74</v>
      </c>
      <c r="AG343">
        <v>234</v>
      </c>
      <c r="AH343">
        <v>26</v>
      </c>
      <c r="AI343">
        <v>30</v>
      </c>
      <c r="AJ343">
        <v>34</v>
      </c>
      <c r="AK343">
        <v>179</v>
      </c>
      <c r="AL343" t="s">
        <v>171</v>
      </c>
      <c r="AM343" t="s">
        <v>172</v>
      </c>
      <c r="AN343" t="s">
        <v>173</v>
      </c>
      <c r="AO343" t="s">
        <v>1278</v>
      </c>
      <c r="AP343" t="s">
        <v>1279</v>
      </c>
      <c r="AQ343" t="s">
        <v>74</v>
      </c>
      <c r="AR343" t="s">
        <v>1280</v>
      </c>
      <c r="AS343" t="s">
        <v>1281</v>
      </c>
      <c r="AT343" t="s">
        <v>537</v>
      </c>
      <c r="AU343">
        <v>2022</v>
      </c>
      <c r="AV343">
        <v>28</v>
      </c>
      <c r="AW343">
        <v>8</v>
      </c>
      <c r="AX343" t="s">
        <v>74</v>
      </c>
      <c r="AY343" t="s">
        <v>74</v>
      </c>
      <c r="AZ343" t="s">
        <v>74</v>
      </c>
      <c r="BA343" t="s">
        <v>74</v>
      </c>
      <c r="BB343">
        <v>2555</v>
      </c>
      <c r="BC343">
        <v>2577</v>
      </c>
      <c r="BD343" t="s">
        <v>74</v>
      </c>
      <c r="BE343" t="s">
        <v>7127</v>
      </c>
      <c r="BF343" t="str">
        <f>HYPERLINK("http://dx.doi.org/10.1111/gcb.16056","http://dx.doi.org/10.1111/gcb.16056")</f>
        <v>http://dx.doi.org/10.1111/gcb.16056</v>
      </c>
      <c r="BG343" t="s">
        <v>74</v>
      </c>
      <c r="BH343" t="s">
        <v>4536</v>
      </c>
      <c r="BI343">
        <v>23</v>
      </c>
      <c r="BJ343" t="s">
        <v>1283</v>
      </c>
      <c r="BK343" t="s">
        <v>1034</v>
      </c>
      <c r="BL343" t="s">
        <v>1082</v>
      </c>
      <c r="BM343" t="s">
        <v>2599</v>
      </c>
      <c r="BN343">
        <v>34951743</v>
      </c>
      <c r="BO343" t="s">
        <v>796</v>
      </c>
      <c r="BP343" t="s">
        <v>74</v>
      </c>
      <c r="BQ343" t="s">
        <v>74</v>
      </c>
      <c r="BR343" t="s">
        <v>106</v>
      </c>
      <c r="BS343" t="s">
        <v>7128</v>
      </c>
      <c r="BT343" t="str">
        <f>HYPERLINK("https%3A%2F%2Fwww.webofscience.com%2Fwos%2Fwoscc%2Ffull-record%2FWOS:000740891100001","View Full Record in Web of Science")</f>
        <v>View Full Record in Web of Science</v>
      </c>
    </row>
    <row r="344" spans="1:72" x14ac:dyDescent="0.15">
      <c r="A344" t="s">
        <v>72</v>
      </c>
      <c r="B344" t="s">
        <v>7129</v>
      </c>
      <c r="C344" t="s">
        <v>74</v>
      </c>
      <c r="D344" t="s">
        <v>74</v>
      </c>
      <c r="E344" t="s">
        <v>74</v>
      </c>
      <c r="F344" t="s">
        <v>7130</v>
      </c>
      <c r="G344" t="s">
        <v>74</v>
      </c>
      <c r="H344" t="s">
        <v>74</v>
      </c>
      <c r="I344" t="s">
        <v>7131</v>
      </c>
      <c r="J344" t="s">
        <v>2305</v>
      </c>
      <c r="K344" t="s">
        <v>74</v>
      </c>
      <c r="L344" t="s">
        <v>74</v>
      </c>
      <c r="M344" t="s">
        <v>78</v>
      </c>
      <c r="N344" t="s">
        <v>79</v>
      </c>
      <c r="O344" t="s">
        <v>74</v>
      </c>
      <c r="P344" t="s">
        <v>74</v>
      </c>
      <c r="Q344" t="s">
        <v>74</v>
      </c>
      <c r="R344" t="s">
        <v>74</v>
      </c>
      <c r="S344" t="s">
        <v>74</v>
      </c>
      <c r="T344" t="s">
        <v>74</v>
      </c>
      <c r="U344" t="s">
        <v>7132</v>
      </c>
      <c r="V344" t="s">
        <v>7133</v>
      </c>
      <c r="W344" t="s">
        <v>7134</v>
      </c>
      <c r="X344" t="s">
        <v>7135</v>
      </c>
      <c r="Y344" t="s">
        <v>7136</v>
      </c>
      <c r="Z344" t="s">
        <v>7137</v>
      </c>
      <c r="AA344" t="s">
        <v>7138</v>
      </c>
      <c r="AB344" t="s">
        <v>7139</v>
      </c>
      <c r="AC344" t="s">
        <v>7140</v>
      </c>
      <c r="AD344" t="s">
        <v>7141</v>
      </c>
      <c r="AE344" t="s">
        <v>7142</v>
      </c>
      <c r="AF344" t="s">
        <v>74</v>
      </c>
      <c r="AG344">
        <v>119</v>
      </c>
      <c r="AH344">
        <v>14</v>
      </c>
      <c r="AI344">
        <v>14</v>
      </c>
      <c r="AJ344">
        <v>6</v>
      </c>
      <c r="AK344">
        <v>27</v>
      </c>
      <c r="AL344" t="s">
        <v>337</v>
      </c>
      <c r="AM344" t="s">
        <v>338</v>
      </c>
      <c r="AN344" t="s">
        <v>339</v>
      </c>
      <c r="AO344" t="s">
        <v>74</v>
      </c>
      <c r="AP344" t="s">
        <v>2316</v>
      </c>
      <c r="AQ344" t="s">
        <v>74</v>
      </c>
      <c r="AR344" t="s">
        <v>2317</v>
      </c>
      <c r="AS344" t="s">
        <v>2318</v>
      </c>
      <c r="AT344" t="s">
        <v>6953</v>
      </c>
      <c r="AU344">
        <v>2022</v>
      </c>
      <c r="AV344">
        <v>13</v>
      </c>
      <c r="AW344">
        <v>1</v>
      </c>
      <c r="AX344" t="s">
        <v>74</v>
      </c>
      <c r="AY344" t="s">
        <v>74</v>
      </c>
      <c r="AZ344" t="s">
        <v>74</v>
      </c>
      <c r="BA344" t="s">
        <v>74</v>
      </c>
      <c r="BB344" t="s">
        <v>74</v>
      </c>
      <c r="BC344" t="s">
        <v>74</v>
      </c>
      <c r="BD344" t="s">
        <v>74</v>
      </c>
      <c r="BE344" t="s">
        <v>7143</v>
      </c>
      <c r="BF344" t="str">
        <f>HYPERLINK("http://dx.doi.org/10.1038/s41467-021-27769-5","http://dx.doi.org/10.1038/s41467-021-27769-5")</f>
        <v>http://dx.doi.org/10.1038/s41467-021-27769-5</v>
      </c>
      <c r="BG344" t="s">
        <v>74</v>
      </c>
      <c r="BH344" t="s">
        <v>74</v>
      </c>
      <c r="BI344">
        <v>15</v>
      </c>
      <c r="BJ344" t="s">
        <v>289</v>
      </c>
      <c r="BK344" t="s">
        <v>103</v>
      </c>
      <c r="BL344" t="s">
        <v>290</v>
      </c>
      <c r="BM344" t="s">
        <v>7144</v>
      </c>
      <c r="BN344">
        <v>35013291</v>
      </c>
      <c r="BO344" t="s">
        <v>292</v>
      </c>
      <c r="BP344" t="s">
        <v>74</v>
      </c>
      <c r="BQ344" t="s">
        <v>74</v>
      </c>
      <c r="BR344" t="s">
        <v>106</v>
      </c>
      <c r="BS344" t="s">
        <v>7145</v>
      </c>
      <c r="BT344" t="str">
        <f>HYPERLINK("https%3A%2F%2Fwww.webofscience.com%2Fwos%2Fwoscc%2Ffull-record%2FWOS:001028243400003","View Full Record in Web of Science")</f>
        <v>View Full Record in Web of Science</v>
      </c>
    </row>
    <row r="345" spans="1:72" x14ac:dyDescent="0.15">
      <c r="A345" t="s">
        <v>72</v>
      </c>
      <c r="B345" t="s">
        <v>7146</v>
      </c>
      <c r="C345" t="s">
        <v>74</v>
      </c>
      <c r="D345" t="s">
        <v>74</v>
      </c>
      <c r="E345" t="s">
        <v>74</v>
      </c>
      <c r="F345" t="s">
        <v>7147</v>
      </c>
      <c r="G345" t="s">
        <v>74</v>
      </c>
      <c r="H345" t="s">
        <v>74</v>
      </c>
      <c r="I345" t="s">
        <v>7148</v>
      </c>
      <c r="J345" t="s">
        <v>4601</v>
      </c>
      <c r="K345" t="s">
        <v>74</v>
      </c>
      <c r="L345" t="s">
        <v>74</v>
      </c>
      <c r="M345" t="s">
        <v>78</v>
      </c>
      <c r="N345" t="s">
        <v>79</v>
      </c>
      <c r="O345" t="s">
        <v>74</v>
      </c>
      <c r="P345" t="s">
        <v>74</v>
      </c>
      <c r="Q345" t="s">
        <v>74</v>
      </c>
      <c r="R345" t="s">
        <v>74</v>
      </c>
      <c r="S345" t="s">
        <v>74</v>
      </c>
      <c r="T345" t="s">
        <v>74</v>
      </c>
      <c r="U345" t="s">
        <v>7149</v>
      </c>
      <c r="V345" t="s">
        <v>7150</v>
      </c>
      <c r="W345" t="s">
        <v>7151</v>
      </c>
      <c r="X345" t="s">
        <v>7152</v>
      </c>
      <c r="Y345" t="s">
        <v>7153</v>
      </c>
      <c r="Z345" t="s">
        <v>7154</v>
      </c>
      <c r="AA345" t="s">
        <v>74</v>
      </c>
      <c r="AB345" t="s">
        <v>7155</v>
      </c>
      <c r="AC345" t="s">
        <v>7156</v>
      </c>
      <c r="AD345" t="s">
        <v>7157</v>
      </c>
      <c r="AE345" t="s">
        <v>7158</v>
      </c>
      <c r="AF345" t="s">
        <v>74</v>
      </c>
      <c r="AG345">
        <v>68</v>
      </c>
      <c r="AH345">
        <v>17</v>
      </c>
      <c r="AI345">
        <v>20</v>
      </c>
      <c r="AJ345">
        <v>5</v>
      </c>
      <c r="AK345">
        <v>35</v>
      </c>
      <c r="AL345" t="s">
        <v>1074</v>
      </c>
      <c r="AM345" t="s">
        <v>506</v>
      </c>
      <c r="AN345" t="s">
        <v>1075</v>
      </c>
      <c r="AO345" t="s">
        <v>4614</v>
      </c>
      <c r="AP345" t="s">
        <v>4615</v>
      </c>
      <c r="AQ345" t="s">
        <v>74</v>
      </c>
      <c r="AR345" t="s">
        <v>4616</v>
      </c>
      <c r="AS345" t="s">
        <v>4617</v>
      </c>
      <c r="AT345" t="s">
        <v>1674</v>
      </c>
      <c r="AU345">
        <v>2022</v>
      </c>
      <c r="AV345">
        <v>58</v>
      </c>
      <c r="AW345" t="s">
        <v>7159</v>
      </c>
      <c r="AX345" t="s">
        <v>74</v>
      </c>
      <c r="AY345" t="s">
        <v>74</v>
      </c>
      <c r="AZ345" t="s">
        <v>74</v>
      </c>
      <c r="BA345" t="s">
        <v>74</v>
      </c>
      <c r="BB345">
        <v>3155</v>
      </c>
      <c r="BC345">
        <v>3171</v>
      </c>
      <c r="BD345" t="s">
        <v>74</v>
      </c>
      <c r="BE345" t="s">
        <v>7160</v>
      </c>
      <c r="BF345" t="str">
        <f>HYPERLINK("http://dx.doi.org/10.1007/s00382-021-06088-x","http://dx.doi.org/10.1007/s00382-021-06088-x")</f>
        <v>http://dx.doi.org/10.1007/s00382-021-06088-x</v>
      </c>
      <c r="BG345" t="s">
        <v>74</v>
      </c>
      <c r="BH345" t="s">
        <v>4536</v>
      </c>
      <c r="BI345">
        <v>17</v>
      </c>
      <c r="BJ345" t="s">
        <v>514</v>
      </c>
      <c r="BK345" t="s">
        <v>103</v>
      </c>
      <c r="BL345" t="s">
        <v>514</v>
      </c>
      <c r="BM345" t="s">
        <v>7161</v>
      </c>
      <c r="BN345" t="s">
        <v>74</v>
      </c>
      <c r="BO345" t="s">
        <v>74</v>
      </c>
      <c r="BP345" t="s">
        <v>74</v>
      </c>
      <c r="BQ345" t="s">
        <v>74</v>
      </c>
      <c r="BR345" t="s">
        <v>106</v>
      </c>
      <c r="BS345" t="s">
        <v>7162</v>
      </c>
      <c r="BT345" t="str">
        <f>HYPERLINK("https%3A%2F%2Fwww.webofscience.com%2Fwos%2Fwoscc%2Ffull-record%2FWOS:000740428700001","View Full Record in Web of Science")</f>
        <v>View Full Record in Web of Science</v>
      </c>
    </row>
    <row r="346" spans="1:72" x14ac:dyDescent="0.15">
      <c r="A346" t="s">
        <v>72</v>
      </c>
      <c r="B346" t="s">
        <v>7163</v>
      </c>
      <c r="C346" t="s">
        <v>74</v>
      </c>
      <c r="D346" t="s">
        <v>74</v>
      </c>
      <c r="E346" t="s">
        <v>74</v>
      </c>
      <c r="F346" t="s">
        <v>7164</v>
      </c>
      <c r="G346" t="s">
        <v>74</v>
      </c>
      <c r="H346" t="s">
        <v>74</v>
      </c>
      <c r="I346" t="s">
        <v>7165</v>
      </c>
      <c r="J346" t="s">
        <v>1063</v>
      </c>
      <c r="K346" t="s">
        <v>74</v>
      </c>
      <c r="L346" t="s">
        <v>74</v>
      </c>
      <c r="M346" t="s">
        <v>78</v>
      </c>
      <c r="N346" t="s">
        <v>79</v>
      </c>
      <c r="O346" t="s">
        <v>74</v>
      </c>
      <c r="P346" t="s">
        <v>74</v>
      </c>
      <c r="Q346" t="s">
        <v>74</v>
      </c>
      <c r="R346" t="s">
        <v>74</v>
      </c>
      <c r="S346" t="s">
        <v>74</v>
      </c>
      <c r="T346" t="s">
        <v>7166</v>
      </c>
      <c r="U346" t="s">
        <v>7167</v>
      </c>
      <c r="V346" t="s">
        <v>7168</v>
      </c>
      <c r="W346" t="s">
        <v>7169</v>
      </c>
      <c r="X346" t="s">
        <v>7170</v>
      </c>
      <c r="Y346" t="s">
        <v>7171</v>
      </c>
      <c r="Z346" t="s">
        <v>7172</v>
      </c>
      <c r="AA346" t="s">
        <v>7173</v>
      </c>
      <c r="AB346" t="s">
        <v>7174</v>
      </c>
      <c r="AC346" t="s">
        <v>7175</v>
      </c>
      <c r="AD346" t="s">
        <v>7176</v>
      </c>
      <c r="AE346" t="s">
        <v>7177</v>
      </c>
      <c r="AF346" t="s">
        <v>74</v>
      </c>
      <c r="AG346">
        <v>65</v>
      </c>
      <c r="AH346">
        <v>0</v>
      </c>
      <c r="AI346">
        <v>0</v>
      </c>
      <c r="AJ346">
        <v>3</v>
      </c>
      <c r="AK346">
        <v>7</v>
      </c>
      <c r="AL346" t="s">
        <v>1074</v>
      </c>
      <c r="AM346" t="s">
        <v>506</v>
      </c>
      <c r="AN346" t="s">
        <v>1075</v>
      </c>
      <c r="AO346" t="s">
        <v>1076</v>
      </c>
      <c r="AP346" t="s">
        <v>1077</v>
      </c>
      <c r="AQ346" t="s">
        <v>74</v>
      </c>
      <c r="AR346" t="s">
        <v>1078</v>
      </c>
      <c r="AS346" t="s">
        <v>1079</v>
      </c>
      <c r="AT346" t="s">
        <v>840</v>
      </c>
      <c r="AU346">
        <v>2022</v>
      </c>
      <c r="AV346">
        <v>45</v>
      </c>
      <c r="AW346">
        <v>2</v>
      </c>
      <c r="AX346" t="s">
        <v>74</v>
      </c>
      <c r="AY346" t="s">
        <v>74</v>
      </c>
      <c r="AZ346" t="s">
        <v>74</v>
      </c>
      <c r="BA346" t="s">
        <v>74</v>
      </c>
      <c r="BB346">
        <v>191</v>
      </c>
      <c r="BC346">
        <v>201</v>
      </c>
      <c r="BD346" t="s">
        <v>74</v>
      </c>
      <c r="BE346" t="s">
        <v>7178</v>
      </c>
      <c r="BF346" t="str">
        <f>HYPERLINK("http://dx.doi.org/10.1007/s00300-021-02983-5","http://dx.doi.org/10.1007/s00300-021-02983-5")</f>
        <v>http://dx.doi.org/10.1007/s00300-021-02983-5</v>
      </c>
      <c r="BG346" t="s">
        <v>74</v>
      </c>
      <c r="BH346" t="s">
        <v>4536</v>
      </c>
      <c r="BI346">
        <v>11</v>
      </c>
      <c r="BJ346" t="s">
        <v>1081</v>
      </c>
      <c r="BK346" t="s">
        <v>103</v>
      </c>
      <c r="BL346" t="s">
        <v>1082</v>
      </c>
      <c r="BM346" t="s">
        <v>4821</v>
      </c>
      <c r="BN346" t="s">
        <v>74</v>
      </c>
      <c r="BO346" t="s">
        <v>74</v>
      </c>
      <c r="BP346" t="s">
        <v>74</v>
      </c>
      <c r="BQ346" t="s">
        <v>74</v>
      </c>
      <c r="BR346" t="s">
        <v>106</v>
      </c>
      <c r="BS346" t="s">
        <v>7179</v>
      </c>
      <c r="BT346" t="str">
        <f>HYPERLINK("https%3A%2F%2Fwww.webofscience.com%2Fwos%2Fwoscc%2Ffull-record%2FWOS:000740397500001","View Full Record in Web of Science")</f>
        <v>View Full Record in Web of Science</v>
      </c>
    </row>
    <row r="347" spans="1:72" x14ac:dyDescent="0.15">
      <c r="A347" t="s">
        <v>72</v>
      </c>
      <c r="B347" t="s">
        <v>7180</v>
      </c>
      <c r="C347" t="s">
        <v>74</v>
      </c>
      <c r="D347" t="s">
        <v>74</v>
      </c>
      <c r="E347" t="s">
        <v>74</v>
      </c>
      <c r="F347" t="s">
        <v>7181</v>
      </c>
      <c r="G347" t="s">
        <v>74</v>
      </c>
      <c r="H347" t="s">
        <v>74</v>
      </c>
      <c r="I347" t="s">
        <v>7182</v>
      </c>
      <c r="J347" t="s">
        <v>7183</v>
      </c>
      <c r="K347" t="s">
        <v>74</v>
      </c>
      <c r="L347" t="s">
        <v>74</v>
      </c>
      <c r="M347" t="s">
        <v>78</v>
      </c>
      <c r="N347" t="s">
        <v>79</v>
      </c>
      <c r="O347" t="s">
        <v>74</v>
      </c>
      <c r="P347" t="s">
        <v>74</v>
      </c>
      <c r="Q347" t="s">
        <v>74</v>
      </c>
      <c r="R347" t="s">
        <v>74</v>
      </c>
      <c r="S347" t="s">
        <v>74</v>
      </c>
      <c r="T347" t="s">
        <v>7184</v>
      </c>
      <c r="U347" t="s">
        <v>7185</v>
      </c>
      <c r="V347" t="s">
        <v>7186</v>
      </c>
      <c r="W347" t="s">
        <v>7187</v>
      </c>
      <c r="X347" t="s">
        <v>7188</v>
      </c>
      <c r="Y347" t="s">
        <v>7189</v>
      </c>
      <c r="Z347" t="s">
        <v>6716</v>
      </c>
      <c r="AA347" t="s">
        <v>7190</v>
      </c>
      <c r="AB347" t="s">
        <v>7191</v>
      </c>
      <c r="AC347" t="s">
        <v>7192</v>
      </c>
      <c r="AD347" t="s">
        <v>7193</v>
      </c>
      <c r="AE347" t="s">
        <v>7194</v>
      </c>
      <c r="AF347" t="s">
        <v>74</v>
      </c>
      <c r="AG347">
        <v>92</v>
      </c>
      <c r="AH347">
        <v>16</v>
      </c>
      <c r="AI347">
        <v>16</v>
      </c>
      <c r="AJ347">
        <v>3</v>
      </c>
      <c r="AK347">
        <v>53</v>
      </c>
      <c r="AL347" t="s">
        <v>171</v>
      </c>
      <c r="AM347" t="s">
        <v>172</v>
      </c>
      <c r="AN347" t="s">
        <v>173</v>
      </c>
      <c r="AO347" t="s">
        <v>7195</v>
      </c>
      <c r="AP347" t="s">
        <v>7196</v>
      </c>
      <c r="AQ347" t="s">
        <v>74</v>
      </c>
      <c r="AR347" t="s">
        <v>7197</v>
      </c>
      <c r="AS347" t="s">
        <v>7198</v>
      </c>
      <c r="AT347" t="s">
        <v>99</v>
      </c>
      <c r="AU347">
        <v>2022</v>
      </c>
      <c r="AV347">
        <v>91</v>
      </c>
      <c r="AW347">
        <v>3</v>
      </c>
      <c r="AX347" t="s">
        <v>74</v>
      </c>
      <c r="AY347" t="s">
        <v>74</v>
      </c>
      <c r="AZ347" t="s">
        <v>74</v>
      </c>
      <c r="BA347" t="s">
        <v>74</v>
      </c>
      <c r="BB347">
        <v>630</v>
      </c>
      <c r="BC347">
        <v>642</v>
      </c>
      <c r="BD347" t="s">
        <v>74</v>
      </c>
      <c r="BE347" t="s">
        <v>7199</v>
      </c>
      <c r="BF347" t="str">
        <f>HYPERLINK("http://dx.doi.org/10.1111/1365-2656.13652","http://dx.doi.org/10.1111/1365-2656.13652")</f>
        <v>http://dx.doi.org/10.1111/1365-2656.13652</v>
      </c>
      <c r="BG347" t="s">
        <v>74</v>
      </c>
      <c r="BH347" t="s">
        <v>4536</v>
      </c>
      <c r="BI347">
        <v>13</v>
      </c>
      <c r="BJ347" t="s">
        <v>7200</v>
      </c>
      <c r="BK347" t="s">
        <v>103</v>
      </c>
      <c r="BL347" t="s">
        <v>7201</v>
      </c>
      <c r="BM347" t="s">
        <v>7202</v>
      </c>
      <c r="BN347">
        <v>34951015</v>
      </c>
      <c r="BO347" t="s">
        <v>640</v>
      </c>
      <c r="BP347" t="s">
        <v>74</v>
      </c>
      <c r="BQ347" t="s">
        <v>74</v>
      </c>
      <c r="BR347" t="s">
        <v>106</v>
      </c>
      <c r="BS347" t="s">
        <v>7203</v>
      </c>
      <c r="BT347" t="str">
        <f>HYPERLINK("https%3A%2F%2Fwww.webofscience.com%2Fwos%2Fwoscc%2Ffull-record%2FWOS:000740543600001","View Full Record in Web of Science")</f>
        <v>View Full Record in Web of Science</v>
      </c>
    </row>
    <row r="348" spans="1:72" x14ac:dyDescent="0.15">
      <c r="A348" t="s">
        <v>72</v>
      </c>
      <c r="B348" t="s">
        <v>7204</v>
      </c>
      <c r="C348" t="s">
        <v>74</v>
      </c>
      <c r="D348" t="s">
        <v>74</v>
      </c>
      <c r="E348" t="s">
        <v>74</v>
      </c>
      <c r="F348" t="s">
        <v>7205</v>
      </c>
      <c r="G348" t="s">
        <v>74</v>
      </c>
      <c r="H348" t="s">
        <v>74</v>
      </c>
      <c r="I348" t="s">
        <v>7206</v>
      </c>
      <c r="J348" t="s">
        <v>1318</v>
      </c>
      <c r="K348" t="s">
        <v>74</v>
      </c>
      <c r="L348" t="s">
        <v>74</v>
      </c>
      <c r="M348" t="s">
        <v>78</v>
      </c>
      <c r="N348" t="s">
        <v>79</v>
      </c>
      <c r="O348" t="s">
        <v>74</v>
      </c>
      <c r="P348" t="s">
        <v>74</v>
      </c>
      <c r="Q348" t="s">
        <v>74</v>
      </c>
      <c r="R348" t="s">
        <v>74</v>
      </c>
      <c r="S348" t="s">
        <v>74</v>
      </c>
      <c r="T348" t="s">
        <v>7207</v>
      </c>
      <c r="U348" t="s">
        <v>7208</v>
      </c>
      <c r="V348" t="s">
        <v>7209</v>
      </c>
      <c r="W348" t="s">
        <v>7210</v>
      </c>
      <c r="X348" t="s">
        <v>7211</v>
      </c>
      <c r="Y348" t="s">
        <v>959</v>
      </c>
      <c r="Z348" t="s">
        <v>960</v>
      </c>
      <c r="AA348" t="s">
        <v>74</v>
      </c>
      <c r="AB348" t="s">
        <v>7212</v>
      </c>
      <c r="AC348" t="s">
        <v>7213</v>
      </c>
      <c r="AD348" t="s">
        <v>7214</v>
      </c>
      <c r="AE348" t="s">
        <v>7215</v>
      </c>
      <c r="AF348" t="s">
        <v>74</v>
      </c>
      <c r="AG348">
        <v>56</v>
      </c>
      <c r="AH348">
        <v>4</v>
      </c>
      <c r="AI348">
        <v>4</v>
      </c>
      <c r="AJ348">
        <v>6</v>
      </c>
      <c r="AK348">
        <v>25</v>
      </c>
      <c r="AL348" t="s">
        <v>505</v>
      </c>
      <c r="AM348" t="s">
        <v>506</v>
      </c>
      <c r="AN348" t="s">
        <v>507</v>
      </c>
      <c r="AO348" t="s">
        <v>1328</v>
      </c>
      <c r="AP348" t="s">
        <v>1329</v>
      </c>
      <c r="AQ348" t="s">
        <v>74</v>
      </c>
      <c r="AR348" t="s">
        <v>1330</v>
      </c>
      <c r="AS348" t="s">
        <v>1331</v>
      </c>
      <c r="AT348" t="s">
        <v>583</v>
      </c>
      <c r="AU348">
        <v>2022</v>
      </c>
      <c r="AV348">
        <v>270</v>
      </c>
      <c r="AW348" t="s">
        <v>74</v>
      </c>
      <c r="AX348" t="s">
        <v>74</v>
      </c>
      <c r="AY348" t="s">
        <v>74</v>
      </c>
      <c r="AZ348" t="s">
        <v>74</v>
      </c>
      <c r="BA348" t="s">
        <v>74</v>
      </c>
      <c r="BB348" t="s">
        <v>74</v>
      </c>
      <c r="BC348" t="s">
        <v>74</v>
      </c>
      <c r="BD348">
        <v>112854</v>
      </c>
      <c r="BE348" t="s">
        <v>7216</v>
      </c>
      <c r="BF348" t="str">
        <f>HYPERLINK("http://dx.doi.org/10.1016/j.rse.2021.112854","http://dx.doi.org/10.1016/j.rse.2021.112854")</f>
        <v>http://dx.doi.org/10.1016/j.rse.2021.112854</v>
      </c>
      <c r="BG348" t="s">
        <v>74</v>
      </c>
      <c r="BH348" t="s">
        <v>4536</v>
      </c>
      <c r="BI348">
        <v>15</v>
      </c>
      <c r="BJ348" t="s">
        <v>1333</v>
      </c>
      <c r="BK348" t="s">
        <v>103</v>
      </c>
      <c r="BL348" t="s">
        <v>1334</v>
      </c>
      <c r="BM348" t="s">
        <v>7217</v>
      </c>
      <c r="BN348" t="s">
        <v>74</v>
      </c>
      <c r="BO348" t="s">
        <v>74</v>
      </c>
      <c r="BP348" t="s">
        <v>74</v>
      </c>
      <c r="BQ348" t="s">
        <v>74</v>
      </c>
      <c r="BR348" t="s">
        <v>106</v>
      </c>
      <c r="BS348" t="s">
        <v>7218</v>
      </c>
      <c r="BT348" t="str">
        <f>HYPERLINK("https%3A%2F%2Fwww.webofscience.com%2Fwos%2Fwoscc%2Ffull-record%2FWOS:000759732100001","View Full Record in Web of Science")</f>
        <v>View Full Record in Web of Science</v>
      </c>
    </row>
    <row r="349" spans="1:72" x14ac:dyDescent="0.15">
      <c r="A349" t="s">
        <v>72</v>
      </c>
      <c r="B349" t="s">
        <v>7219</v>
      </c>
      <c r="C349" t="s">
        <v>74</v>
      </c>
      <c r="D349" t="s">
        <v>74</v>
      </c>
      <c r="E349" t="s">
        <v>74</v>
      </c>
      <c r="F349" t="s">
        <v>7220</v>
      </c>
      <c r="G349" t="s">
        <v>74</v>
      </c>
      <c r="H349" t="s">
        <v>74</v>
      </c>
      <c r="I349" t="s">
        <v>7221</v>
      </c>
      <c r="J349" t="s">
        <v>1063</v>
      </c>
      <c r="K349" t="s">
        <v>74</v>
      </c>
      <c r="L349" t="s">
        <v>74</v>
      </c>
      <c r="M349" t="s">
        <v>78</v>
      </c>
      <c r="N349" t="s">
        <v>79</v>
      </c>
      <c r="O349" t="s">
        <v>74</v>
      </c>
      <c r="P349" t="s">
        <v>74</v>
      </c>
      <c r="Q349" t="s">
        <v>74</v>
      </c>
      <c r="R349" t="s">
        <v>74</v>
      </c>
      <c r="S349" t="s">
        <v>74</v>
      </c>
      <c r="T349" t="s">
        <v>7222</v>
      </c>
      <c r="U349" t="s">
        <v>7223</v>
      </c>
      <c r="V349" t="s">
        <v>7224</v>
      </c>
      <c r="W349" t="s">
        <v>7225</v>
      </c>
      <c r="X349" t="s">
        <v>7226</v>
      </c>
      <c r="Y349" t="s">
        <v>7227</v>
      </c>
      <c r="Z349" t="s">
        <v>7228</v>
      </c>
      <c r="AA349" t="s">
        <v>7229</v>
      </c>
      <c r="AB349" t="s">
        <v>7230</v>
      </c>
      <c r="AC349" t="s">
        <v>7231</v>
      </c>
      <c r="AD349" t="s">
        <v>7232</v>
      </c>
      <c r="AE349" t="s">
        <v>7233</v>
      </c>
      <c r="AF349" t="s">
        <v>74</v>
      </c>
      <c r="AG349">
        <v>152</v>
      </c>
      <c r="AH349">
        <v>7</v>
      </c>
      <c r="AI349">
        <v>7</v>
      </c>
      <c r="AJ349">
        <v>3</v>
      </c>
      <c r="AK349">
        <v>19</v>
      </c>
      <c r="AL349" t="s">
        <v>1074</v>
      </c>
      <c r="AM349" t="s">
        <v>506</v>
      </c>
      <c r="AN349" t="s">
        <v>1075</v>
      </c>
      <c r="AO349" t="s">
        <v>1076</v>
      </c>
      <c r="AP349" t="s">
        <v>1077</v>
      </c>
      <c r="AQ349" t="s">
        <v>74</v>
      </c>
      <c r="AR349" t="s">
        <v>1078</v>
      </c>
      <c r="AS349" t="s">
        <v>1079</v>
      </c>
      <c r="AT349" t="s">
        <v>840</v>
      </c>
      <c r="AU349">
        <v>2022</v>
      </c>
      <c r="AV349">
        <v>45</v>
      </c>
      <c r="AW349">
        <v>2</v>
      </c>
      <c r="AX349" t="s">
        <v>74</v>
      </c>
      <c r="AY349" t="s">
        <v>74</v>
      </c>
      <c r="AZ349" t="s">
        <v>74</v>
      </c>
      <c r="BA349" t="s">
        <v>74</v>
      </c>
      <c r="BB349">
        <v>203</v>
      </c>
      <c r="BC349">
        <v>224</v>
      </c>
      <c r="BD349" t="s">
        <v>74</v>
      </c>
      <c r="BE349" t="s">
        <v>7234</v>
      </c>
      <c r="BF349" t="str">
        <f>HYPERLINK("http://dx.doi.org/10.1007/s00300-021-02984-4","http://dx.doi.org/10.1007/s00300-021-02984-4")</f>
        <v>http://dx.doi.org/10.1007/s00300-021-02984-4</v>
      </c>
      <c r="BG349" t="s">
        <v>74</v>
      </c>
      <c r="BH349" t="s">
        <v>4536</v>
      </c>
      <c r="BI349">
        <v>22</v>
      </c>
      <c r="BJ349" t="s">
        <v>1081</v>
      </c>
      <c r="BK349" t="s">
        <v>103</v>
      </c>
      <c r="BL349" t="s">
        <v>1082</v>
      </c>
      <c r="BM349" t="s">
        <v>4821</v>
      </c>
      <c r="BN349">
        <v>35210695</v>
      </c>
      <c r="BO349" t="s">
        <v>749</v>
      </c>
      <c r="BP349" t="s">
        <v>74</v>
      </c>
      <c r="BQ349" t="s">
        <v>74</v>
      </c>
      <c r="BR349" t="s">
        <v>106</v>
      </c>
      <c r="BS349" t="s">
        <v>7235</v>
      </c>
      <c r="BT349" t="str">
        <f>HYPERLINK("https%3A%2F%2Fwww.webofscience.com%2Fwos%2Fwoscc%2Ffull-record%2FWOS:000740155200001","View Full Record in Web of Science")</f>
        <v>View Full Record in Web of Science</v>
      </c>
    </row>
    <row r="350" spans="1:72" x14ac:dyDescent="0.15">
      <c r="A350" t="s">
        <v>72</v>
      </c>
      <c r="B350" t="s">
        <v>7236</v>
      </c>
      <c r="C350" t="s">
        <v>74</v>
      </c>
      <c r="D350" t="s">
        <v>74</v>
      </c>
      <c r="E350" t="s">
        <v>74</v>
      </c>
      <c r="F350" t="s">
        <v>7237</v>
      </c>
      <c r="G350" t="s">
        <v>74</v>
      </c>
      <c r="H350" t="s">
        <v>74</v>
      </c>
      <c r="I350" t="s">
        <v>7238</v>
      </c>
      <c r="J350" t="s">
        <v>6303</v>
      </c>
      <c r="K350" t="s">
        <v>74</v>
      </c>
      <c r="L350" t="s">
        <v>74</v>
      </c>
      <c r="M350" t="s">
        <v>78</v>
      </c>
      <c r="N350" t="s">
        <v>1113</v>
      </c>
      <c r="O350" t="s">
        <v>74</v>
      </c>
      <c r="P350" t="s">
        <v>74</v>
      </c>
      <c r="Q350" t="s">
        <v>74</v>
      </c>
      <c r="R350" t="s">
        <v>74</v>
      </c>
      <c r="S350" t="s">
        <v>74</v>
      </c>
      <c r="T350" t="s">
        <v>7239</v>
      </c>
      <c r="U350" t="s">
        <v>7240</v>
      </c>
      <c r="V350" t="s">
        <v>7241</v>
      </c>
      <c r="W350" t="s">
        <v>7242</v>
      </c>
      <c r="X350" t="s">
        <v>1598</v>
      </c>
      <c r="Y350" t="s">
        <v>7243</v>
      </c>
      <c r="Z350" t="s">
        <v>7244</v>
      </c>
      <c r="AA350" t="s">
        <v>74</v>
      </c>
      <c r="AB350" t="s">
        <v>74</v>
      </c>
      <c r="AC350" t="s">
        <v>7245</v>
      </c>
      <c r="AD350" t="s">
        <v>7246</v>
      </c>
      <c r="AE350" t="s">
        <v>7247</v>
      </c>
      <c r="AF350" t="s">
        <v>74</v>
      </c>
      <c r="AG350">
        <v>86</v>
      </c>
      <c r="AH350">
        <v>13</v>
      </c>
      <c r="AI350">
        <v>14</v>
      </c>
      <c r="AJ350">
        <v>8</v>
      </c>
      <c r="AK350">
        <v>24</v>
      </c>
      <c r="AL350" t="s">
        <v>310</v>
      </c>
      <c r="AM350" t="s">
        <v>311</v>
      </c>
      <c r="AN350" t="s">
        <v>312</v>
      </c>
      <c r="AO350" t="s">
        <v>6316</v>
      </c>
      <c r="AP350" t="s">
        <v>6317</v>
      </c>
      <c r="AQ350" t="s">
        <v>74</v>
      </c>
      <c r="AR350" t="s">
        <v>6303</v>
      </c>
      <c r="AS350" t="s">
        <v>6318</v>
      </c>
      <c r="AT350" t="s">
        <v>1153</v>
      </c>
      <c r="AU350">
        <v>2022</v>
      </c>
      <c r="AV350">
        <v>550</v>
      </c>
      <c r="AW350" t="s">
        <v>74</v>
      </c>
      <c r="AX350" t="s">
        <v>74</v>
      </c>
      <c r="AY350" t="s">
        <v>74</v>
      </c>
      <c r="AZ350" t="s">
        <v>74</v>
      </c>
      <c r="BA350" t="s">
        <v>74</v>
      </c>
      <c r="BB350" t="s">
        <v>74</v>
      </c>
      <c r="BC350" t="s">
        <v>74</v>
      </c>
      <c r="BD350">
        <v>737875</v>
      </c>
      <c r="BE350" t="s">
        <v>7248</v>
      </c>
      <c r="BF350" t="str">
        <f>HYPERLINK("http://dx.doi.org/10.1016/j.aquaculture.2021.737875","http://dx.doi.org/10.1016/j.aquaculture.2021.737875")</f>
        <v>http://dx.doi.org/10.1016/j.aquaculture.2021.737875</v>
      </c>
      <c r="BG350" t="s">
        <v>74</v>
      </c>
      <c r="BH350" t="s">
        <v>4536</v>
      </c>
      <c r="BI350">
        <v>7</v>
      </c>
      <c r="BJ350" t="s">
        <v>5087</v>
      </c>
      <c r="BK350" t="s">
        <v>1034</v>
      </c>
      <c r="BL350" t="s">
        <v>5087</v>
      </c>
      <c r="BM350" t="s">
        <v>7249</v>
      </c>
      <c r="BN350" t="s">
        <v>74</v>
      </c>
      <c r="BO350" t="s">
        <v>74</v>
      </c>
      <c r="BP350" t="s">
        <v>74</v>
      </c>
      <c r="BQ350" t="s">
        <v>74</v>
      </c>
      <c r="BR350" t="s">
        <v>106</v>
      </c>
      <c r="BS350" t="s">
        <v>7250</v>
      </c>
      <c r="BT350" t="str">
        <f>HYPERLINK("https%3A%2F%2Fwww.webofscience.com%2Fwos%2Fwoscc%2Ffull-record%2FWOS:000765399400002","View Full Record in Web of Science")</f>
        <v>View Full Record in Web of Science</v>
      </c>
    </row>
    <row r="351" spans="1:72" x14ac:dyDescent="0.15">
      <c r="A351" t="s">
        <v>72</v>
      </c>
      <c r="B351" t="s">
        <v>7251</v>
      </c>
      <c r="C351" t="s">
        <v>74</v>
      </c>
      <c r="D351" t="s">
        <v>74</v>
      </c>
      <c r="E351" t="s">
        <v>74</v>
      </c>
      <c r="F351" t="s">
        <v>7252</v>
      </c>
      <c r="G351" t="s">
        <v>74</v>
      </c>
      <c r="H351" t="s">
        <v>74</v>
      </c>
      <c r="I351" t="s">
        <v>7253</v>
      </c>
      <c r="J351" t="s">
        <v>1137</v>
      </c>
      <c r="K351" t="s">
        <v>74</v>
      </c>
      <c r="L351" t="s">
        <v>74</v>
      </c>
      <c r="M351" t="s">
        <v>78</v>
      </c>
      <c r="N351" t="s">
        <v>79</v>
      </c>
      <c r="O351" t="s">
        <v>74</v>
      </c>
      <c r="P351" t="s">
        <v>74</v>
      </c>
      <c r="Q351" t="s">
        <v>74</v>
      </c>
      <c r="R351" t="s">
        <v>74</v>
      </c>
      <c r="S351" t="s">
        <v>74</v>
      </c>
      <c r="T351" t="s">
        <v>74</v>
      </c>
      <c r="U351" t="s">
        <v>7254</v>
      </c>
      <c r="V351" t="s">
        <v>7255</v>
      </c>
      <c r="W351" t="s">
        <v>7256</v>
      </c>
      <c r="X351" t="s">
        <v>7257</v>
      </c>
      <c r="Y351" t="s">
        <v>7258</v>
      </c>
      <c r="Z351" t="s">
        <v>7259</v>
      </c>
      <c r="AA351" t="s">
        <v>7260</v>
      </c>
      <c r="AB351" t="s">
        <v>7261</v>
      </c>
      <c r="AC351" t="s">
        <v>7262</v>
      </c>
      <c r="AD351" t="s">
        <v>7263</v>
      </c>
      <c r="AE351" t="s">
        <v>7264</v>
      </c>
      <c r="AF351" t="s">
        <v>74</v>
      </c>
      <c r="AG351">
        <v>65</v>
      </c>
      <c r="AH351">
        <v>2</v>
      </c>
      <c r="AI351">
        <v>2</v>
      </c>
      <c r="AJ351">
        <v>2</v>
      </c>
      <c r="AK351">
        <v>4</v>
      </c>
      <c r="AL351" t="s">
        <v>92</v>
      </c>
      <c r="AM351" t="s">
        <v>93</v>
      </c>
      <c r="AN351" t="s">
        <v>94</v>
      </c>
      <c r="AO351" t="s">
        <v>1149</v>
      </c>
      <c r="AP351" t="s">
        <v>1150</v>
      </c>
      <c r="AQ351" t="s">
        <v>74</v>
      </c>
      <c r="AR351" t="s">
        <v>1151</v>
      </c>
      <c r="AS351" t="s">
        <v>1152</v>
      </c>
      <c r="AT351" t="s">
        <v>3228</v>
      </c>
      <c r="AU351">
        <v>2022</v>
      </c>
      <c r="AV351">
        <v>277</v>
      </c>
      <c r="AW351" t="s">
        <v>74</v>
      </c>
      <c r="AX351" t="s">
        <v>74</v>
      </c>
      <c r="AY351" t="s">
        <v>74</v>
      </c>
      <c r="AZ351" t="s">
        <v>74</v>
      </c>
      <c r="BA351" t="s">
        <v>74</v>
      </c>
      <c r="BB351" t="s">
        <v>74</v>
      </c>
      <c r="BC351" t="s">
        <v>74</v>
      </c>
      <c r="BD351">
        <v>107366</v>
      </c>
      <c r="BE351" t="s">
        <v>7265</v>
      </c>
      <c r="BF351" t="str">
        <f>HYPERLINK("http://dx.doi.org/10.1016/j.quascirev.2021.107366","http://dx.doi.org/10.1016/j.quascirev.2021.107366")</f>
        <v>http://dx.doi.org/10.1016/j.quascirev.2021.107366</v>
      </c>
      <c r="BG351" t="s">
        <v>74</v>
      </c>
      <c r="BH351" t="s">
        <v>4536</v>
      </c>
      <c r="BI351">
        <v>13</v>
      </c>
      <c r="BJ351" t="s">
        <v>208</v>
      </c>
      <c r="BK351" t="s">
        <v>103</v>
      </c>
      <c r="BL351" t="s">
        <v>209</v>
      </c>
      <c r="BM351" t="s">
        <v>3230</v>
      </c>
      <c r="BN351" t="s">
        <v>74</v>
      </c>
      <c r="BO351" t="s">
        <v>1890</v>
      </c>
      <c r="BP351" t="s">
        <v>74</v>
      </c>
      <c r="BQ351" t="s">
        <v>74</v>
      </c>
      <c r="BR351" t="s">
        <v>106</v>
      </c>
      <c r="BS351" t="s">
        <v>7266</v>
      </c>
      <c r="BT351" t="str">
        <f>HYPERLINK("https%3A%2F%2Fwww.webofscience.com%2Fwos%2Fwoscc%2Ffull-record%2FWOS:000766906200019","View Full Record in Web of Science")</f>
        <v>View Full Record in Web of Science</v>
      </c>
    </row>
    <row r="352" spans="1:72" x14ac:dyDescent="0.15">
      <c r="A352" t="s">
        <v>72</v>
      </c>
      <c r="B352" t="s">
        <v>7267</v>
      </c>
      <c r="C352" t="s">
        <v>74</v>
      </c>
      <c r="D352" t="s">
        <v>74</v>
      </c>
      <c r="E352" t="s">
        <v>74</v>
      </c>
      <c r="F352" t="s">
        <v>7268</v>
      </c>
      <c r="G352" t="s">
        <v>74</v>
      </c>
      <c r="H352" t="s">
        <v>74</v>
      </c>
      <c r="I352" t="s">
        <v>7269</v>
      </c>
      <c r="J352" t="s">
        <v>5604</v>
      </c>
      <c r="K352" t="s">
        <v>74</v>
      </c>
      <c r="L352" t="s">
        <v>74</v>
      </c>
      <c r="M352" t="s">
        <v>78</v>
      </c>
      <c r="N352" t="s">
        <v>79</v>
      </c>
      <c r="O352" t="s">
        <v>74</v>
      </c>
      <c r="P352" t="s">
        <v>74</v>
      </c>
      <c r="Q352" t="s">
        <v>74</v>
      </c>
      <c r="R352" t="s">
        <v>74</v>
      </c>
      <c r="S352" t="s">
        <v>74</v>
      </c>
      <c r="T352" t="s">
        <v>7270</v>
      </c>
      <c r="U352" t="s">
        <v>7271</v>
      </c>
      <c r="V352" t="s">
        <v>7272</v>
      </c>
      <c r="W352" t="s">
        <v>7273</v>
      </c>
      <c r="X352" t="s">
        <v>7274</v>
      </c>
      <c r="Y352" t="s">
        <v>7275</v>
      </c>
      <c r="Z352" t="s">
        <v>7276</v>
      </c>
      <c r="AA352" t="s">
        <v>74</v>
      </c>
      <c r="AB352" t="s">
        <v>74</v>
      </c>
      <c r="AC352" t="s">
        <v>7277</v>
      </c>
      <c r="AD352" t="s">
        <v>7278</v>
      </c>
      <c r="AE352" t="s">
        <v>7279</v>
      </c>
      <c r="AF352" t="s">
        <v>74</v>
      </c>
      <c r="AG352">
        <v>47</v>
      </c>
      <c r="AH352">
        <v>3</v>
      </c>
      <c r="AI352">
        <v>3</v>
      </c>
      <c r="AJ352">
        <v>4</v>
      </c>
      <c r="AK352">
        <v>58</v>
      </c>
      <c r="AL352" t="s">
        <v>814</v>
      </c>
      <c r="AM352" t="s">
        <v>93</v>
      </c>
      <c r="AN352" t="s">
        <v>815</v>
      </c>
      <c r="AO352" t="s">
        <v>5617</v>
      </c>
      <c r="AP352" t="s">
        <v>5618</v>
      </c>
      <c r="AQ352" t="s">
        <v>74</v>
      </c>
      <c r="AR352" t="s">
        <v>5619</v>
      </c>
      <c r="AS352" t="s">
        <v>5620</v>
      </c>
      <c r="AT352" t="s">
        <v>1153</v>
      </c>
      <c r="AU352">
        <v>2022</v>
      </c>
      <c r="AV352">
        <v>297</v>
      </c>
      <c r="AW352" t="s">
        <v>74</v>
      </c>
      <c r="AX352" t="s">
        <v>74</v>
      </c>
      <c r="AY352" t="s">
        <v>74</v>
      </c>
      <c r="AZ352" t="s">
        <v>74</v>
      </c>
      <c r="BA352" t="s">
        <v>74</v>
      </c>
      <c r="BB352" t="s">
        <v>74</v>
      </c>
      <c r="BC352" t="s">
        <v>74</v>
      </c>
      <c r="BD352">
        <v>118783</v>
      </c>
      <c r="BE352" t="s">
        <v>7280</v>
      </c>
      <c r="BF352" t="str">
        <f>HYPERLINK("http://dx.doi.org/10.1016/j.envpol.2021.118783","http://dx.doi.org/10.1016/j.envpol.2021.118783")</f>
        <v>http://dx.doi.org/10.1016/j.envpol.2021.118783</v>
      </c>
      <c r="BG352" t="s">
        <v>74</v>
      </c>
      <c r="BH352" t="s">
        <v>4536</v>
      </c>
      <c r="BI352">
        <v>10</v>
      </c>
      <c r="BJ352" t="s">
        <v>1560</v>
      </c>
      <c r="BK352" t="s">
        <v>103</v>
      </c>
      <c r="BL352" t="s">
        <v>1561</v>
      </c>
      <c r="BM352" t="s">
        <v>7281</v>
      </c>
      <c r="BN352">
        <v>34974086</v>
      </c>
      <c r="BO352" t="s">
        <v>640</v>
      </c>
      <c r="BP352" t="s">
        <v>74</v>
      </c>
      <c r="BQ352" t="s">
        <v>74</v>
      </c>
      <c r="BR352" t="s">
        <v>106</v>
      </c>
      <c r="BS352" t="s">
        <v>7282</v>
      </c>
      <c r="BT352" t="str">
        <f>HYPERLINK("https%3A%2F%2Fwww.webofscience.com%2Fwos%2Fwoscc%2Ffull-record%2FWOS:000766394900005","View Full Record in Web of Science")</f>
        <v>View Full Record in Web of Science</v>
      </c>
    </row>
    <row r="353" spans="1:72" x14ac:dyDescent="0.15">
      <c r="A353" t="s">
        <v>72</v>
      </c>
      <c r="B353" t="s">
        <v>7283</v>
      </c>
      <c r="C353" t="s">
        <v>74</v>
      </c>
      <c r="D353" t="s">
        <v>74</v>
      </c>
      <c r="E353" t="s">
        <v>74</v>
      </c>
      <c r="F353" t="s">
        <v>7284</v>
      </c>
      <c r="G353" t="s">
        <v>74</v>
      </c>
      <c r="H353" t="s">
        <v>74</v>
      </c>
      <c r="I353" t="s">
        <v>7285</v>
      </c>
      <c r="J353" t="s">
        <v>2012</v>
      </c>
      <c r="K353" t="s">
        <v>74</v>
      </c>
      <c r="L353" t="s">
        <v>74</v>
      </c>
      <c r="M353" t="s">
        <v>78</v>
      </c>
      <c r="N353" t="s">
        <v>779</v>
      </c>
      <c r="O353" t="s">
        <v>74</v>
      </c>
      <c r="P353" t="s">
        <v>74</v>
      </c>
      <c r="Q353" t="s">
        <v>74</v>
      </c>
      <c r="R353" t="s">
        <v>74</v>
      </c>
      <c r="S353" t="s">
        <v>74</v>
      </c>
      <c r="T353" t="s">
        <v>7286</v>
      </c>
      <c r="U353" t="s">
        <v>7287</v>
      </c>
      <c r="V353" t="s">
        <v>7288</v>
      </c>
      <c r="W353" t="s">
        <v>7289</v>
      </c>
      <c r="X353" t="s">
        <v>7290</v>
      </c>
      <c r="Y353" t="s">
        <v>7291</v>
      </c>
      <c r="Z353" t="s">
        <v>7292</v>
      </c>
      <c r="AA353" t="s">
        <v>7293</v>
      </c>
      <c r="AB353" t="s">
        <v>7294</v>
      </c>
      <c r="AC353" t="s">
        <v>7295</v>
      </c>
      <c r="AD353" t="s">
        <v>7296</v>
      </c>
      <c r="AE353" t="s">
        <v>7297</v>
      </c>
      <c r="AF353" t="s">
        <v>74</v>
      </c>
      <c r="AG353">
        <v>308</v>
      </c>
      <c r="AH353">
        <v>9</v>
      </c>
      <c r="AI353">
        <v>9</v>
      </c>
      <c r="AJ353">
        <v>3</v>
      </c>
      <c r="AK353">
        <v>29</v>
      </c>
      <c r="AL353" t="s">
        <v>2025</v>
      </c>
      <c r="AM353" t="s">
        <v>2026</v>
      </c>
      <c r="AN353" t="s">
        <v>2027</v>
      </c>
      <c r="AO353" t="s">
        <v>2028</v>
      </c>
      <c r="AP353" t="s">
        <v>74</v>
      </c>
      <c r="AQ353" t="s">
        <v>74</v>
      </c>
      <c r="AR353" t="s">
        <v>2029</v>
      </c>
      <c r="AS353" t="s">
        <v>2030</v>
      </c>
      <c r="AT353" t="s">
        <v>7298</v>
      </c>
      <c r="AU353">
        <v>2022</v>
      </c>
      <c r="AV353">
        <v>10</v>
      </c>
      <c r="AW353">
        <v>1</v>
      </c>
      <c r="AX353" t="s">
        <v>74</v>
      </c>
      <c r="AY353" t="s">
        <v>74</v>
      </c>
      <c r="AZ353" t="s">
        <v>74</v>
      </c>
      <c r="BA353" t="s">
        <v>74</v>
      </c>
      <c r="BB353" t="s">
        <v>74</v>
      </c>
      <c r="BC353" t="s">
        <v>74</v>
      </c>
      <c r="BD353">
        <v>1</v>
      </c>
      <c r="BE353" t="s">
        <v>7299</v>
      </c>
      <c r="BF353" t="str">
        <f>HYPERLINK("http://dx.doi.org/10.1525/elementa.2021.00050","http://dx.doi.org/10.1525/elementa.2021.00050")</f>
        <v>http://dx.doi.org/10.1525/elementa.2021.00050</v>
      </c>
      <c r="BG353" t="s">
        <v>74</v>
      </c>
      <c r="BH353" t="s">
        <v>74</v>
      </c>
      <c r="BI353">
        <v>35</v>
      </c>
      <c r="BJ353" t="s">
        <v>129</v>
      </c>
      <c r="BK353" t="s">
        <v>103</v>
      </c>
      <c r="BL353" t="s">
        <v>130</v>
      </c>
      <c r="BM353" t="s">
        <v>7300</v>
      </c>
      <c r="BN353" t="s">
        <v>74</v>
      </c>
      <c r="BO353" t="s">
        <v>132</v>
      </c>
      <c r="BP353" t="s">
        <v>74</v>
      </c>
      <c r="BQ353" t="s">
        <v>74</v>
      </c>
      <c r="BR353" t="s">
        <v>106</v>
      </c>
      <c r="BS353" t="s">
        <v>7301</v>
      </c>
      <c r="BT353" t="str">
        <f>HYPERLINK("https%3A%2F%2Fwww.webofscience.com%2Fwos%2Fwoscc%2Ffull-record%2FWOS:000751890400001","View Full Record in Web of Science")</f>
        <v>View Full Record in Web of Science</v>
      </c>
    </row>
    <row r="354" spans="1:72" x14ac:dyDescent="0.15">
      <c r="A354" t="s">
        <v>72</v>
      </c>
      <c r="B354" t="s">
        <v>7302</v>
      </c>
      <c r="C354" t="s">
        <v>74</v>
      </c>
      <c r="D354" t="s">
        <v>74</v>
      </c>
      <c r="E354" t="s">
        <v>74</v>
      </c>
      <c r="F354" t="s">
        <v>7303</v>
      </c>
      <c r="G354" t="s">
        <v>74</v>
      </c>
      <c r="H354" t="s">
        <v>74</v>
      </c>
      <c r="I354" t="s">
        <v>7304</v>
      </c>
      <c r="J354" t="s">
        <v>5250</v>
      </c>
      <c r="K354" t="s">
        <v>74</v>
      </c>
      <c r="L354" t="s">
        <v>74</v>
      </c>
      <c r="M354" t="s">
        <v>78</v>
      </c>
      <c r="N354" t="s">
        <v>79</v>
      </c>
      <c r="O354" t="s">
        <v>74</v>
      </c>
      <c r="P354" t="s">
        <v>74</v>
      </c>
      <c r="Q354" t="s">
        <v>74</v>
      </c>
      <c r="R354" t="s">
        <v>74</v>
      </c>
      <c r="S354" t="s">
        <v>74</v>
      </c>
      <c r="T354" t="s">
        <v>7305</v>
      </c>
      <c r="U354" t="s">
        <v>7306</v>
      </c>
      <c r="V354" t="s">
        <v>7307</v>
      </c>
      <c r="W354" t="s">
        <v>7308</v>
      </c>
      <c r="X354" t="s">
        <v>7309</v>
      </c>
      <c r="Y354" t="s">
        <v>7310</v>
      </c>
      <c r="Z354" t="s">
        <v>7311</v>
      </c>
      <c r="AA354" t="s">
        <v>7312</v>
      </c>
      <c r="AB354" t="s">
        <v>7313</v>
      </c>
      <c r="AC354" t="s">
        <v>7314</v>
      </c>
      <c r="AD354" t="s">
        <v>7315</v>
      </c>
      <c r="AE354" t="s">
        <v>7316</v>
      </c>
      <c r="AF354" t="s">
        <v>74</v>
      </c>
      <c r="AG354">
        <v>115</v>
      </c>
      <c r="AH354">
        <v>3</v>
      </c>
      <c r="AI354">
        <v>3</v>
      </c>
      <c r="AJ354">
        <v>1</v>
      </c>
      <c r="AK354">
        <v>7</v>
      </c>
      <c r="AL354" t="s">
        <v>92</v>
      </c>
      <c r="AM354" t="s">
        <v>93</v>
      </c>
      <c r="AN354" t="s">
        <v>94</v>
      </c>
      <c r="AO354" t="s">
        <v>5263</v>
      </c>
      <c r="AP354" t="s">
        <v>5264</v>
      </c>
      <c r="AQ354" t="s">
        <v>74</v>
      </c>
      <c r="AR354" t="s">
        <v>5265</v>
      </c>
      <c r="AS354" t="s">
        <v>5266</v>
      </c>
      <c r="AT354" t="s">
        <v>889</v>
      </c>
      <c r="AU354">
        <v>2022</v>
      </c>
      <c r="AV354">
        <v>319</v>
      </c>
      <c r="AW354" t="s">
        <v>74</v>
      </c>
      <c r="AX354" t="s">
        <v>74</v>
      </c>
      <c r="AY354" t="s">
        <v>74</v>
      </c>
      <c r="AZ354" t="s">
        <v>74</v>
      </c>
      <c r="BA354" t="s">
        <v>74</v>
      </c>
      <c r="BB354">
        <v>1</v>
      </c>
      <c r="BC354">
        <v>29</v>
      </c>
      <c r="BD354" t="s">
        <v>74</v>
      </c>
      <c r="BE354" t="s">
        <v>7317</v>
      </c>
      <c r="BF354" t="str">
        <f>HYPERLINK("http://dx.doi.org/10.1016/j.gca.2021.12.021","http://dx.doi.org/10.1016/j.gca.2021.12.021")</f>
        <v>http://dx.doi.org/10.1016/j.gca.2021.12.021</v>
      </c>
      <c r="BG354" t="s">
        <v>74</v>
      </c>
      <c r="BH354" t="s">
        <v>4536</v>
      </c>
      <c r="BI354">
        <v>29</v>
      </c>
      <c r="BJ354" t="s">
        <v>1014</v>
      </c>
      <c r="BK354" t="s">
        <v>103</v>
      </c>
      <c r="BL354" t="s">
        <v>1014</v>
      </c>
      <c r="BM354" t="s">
        <v>7318</v>
      </c>
      <c r="BN354" t="s">
        <v>74</v>
      </c>
      <c r="BO354" t="s">
        <v>948</v>
      </c>
      <c r="BP354" t="s">
        <v>74</v>
      </c>
      <c r="BQ354" t="s">
        <v>74</v>
      </c>
      <c r="BR354" t="s">
        <v>106</v>
      </c>
      <c r="BS354" t="s">
        <v>7319</v>
      </c>
      <c r="BT354" t="str">
        <f>HYPERLINK("https%3A%2F%2Fwww.webofscience.com%2Fwos%2Fwoscc%2Ffull-record%2FWOS:000744157500001","View Full Record in Web of Science")</f>
        <v>View Full Record in Web of Science</v>
      </c>
    </row>
    <row r="355" spans="1:72" x14ac:dyDescent="0.15">
      <c r="A355" t="s">
        <v>72</v>
      </c>
      <c r="B355" t="s">
        <v>7320</v>
      </c>
      <c r="C355" t="s">
        <v>74</v>
      </c>
      <c r="D355" t="s">
        <v>74</v>
      </c>
      <c r="E355" t="s">
        <v>74</v>
      </c>
      <c r="F355" t="s">
        <v>7321</v>
      </c>
      <c r="G355" t="s">
        <v>74</v>
      </c>
      <c r="H355" t="s">
        <v>74</v>
      </c>
      <c r="I355" t="s">
        <v>7322</v>
      </c>
      <c r="J355" t="s">
        <v>111</v>
      </c>
      <c r="K355" t="s">
        <v>74</v>
      </c>
      <c r="L355" t="s">
        <v>74</v>
      </c>
      <c r="M355" t="s">
        <v>78</v>
      </c>
      <c r="N355" t="s">
        <v>79</v>
      </c>
      <c r="O355" t="s">
        <v>74</v>
      </c>
      <c r="P355" t="s">
        <v>74</v>
      </c>
      <c r="Q355" t="s">
        <v>74</v>
      </c>
      <c r="R355" t="s">
        <v>74</v>
      </c>
      <c r="S355" t="s">
        <v>74</v>
      </c>
      <c r="T355" t="s">
        <v>74</v>
      </c>
      <c r="U355" t="s">
        <v>7323</v>
      </c>
      <c r="V355" t="s">
        <v>7324</v>
      </c>
      <c r="W355" t="s">
        <v>7325</v>
      </c>
      <c r="X355" t="s">
        <v>7326</v>
      </c>
      <c r="Y355" t="s">
        <v>7327</v>
      </c>
      <c r="Z355" t="s">
        <v>7328</v>
      </c>
      <c r="AA355" t="s">
        <v>74</v>
      </c>
      <c r="AB355" t="s">
        <v>7329</v>
      </c>
      <c r="AC355" t="s">
        <v>74</v>
      </c>
      <c r="AD355" t="s">
        <v>74</v>
      </c>
      <c r="AE355" t="s">
        <v>74</v>
      </c>
      <c r="AF355" t="s">
        <v>74</v>
      </c>
      <c r="AG355">
        <v>72</v>
      </c>
      <c r="AH355">
        <v>1</v>
      </c>
      <c r="AI355">
        <v>1</v>
      </c>
      <c r="AJ355">
        <v>2</v>
      </c>
      <c r="AK355">
        <v>12</v>
      </c>
      <c r="AL355" t="s">
        <v>120</v>
      </c>
      <c r="AM355" t="s">
        <v>121</v>
      </c>
      <c r="AN355" t="s">
        <v>122</v>
      </c>
      <c r="AO355" t="s">
        <v>123</v>
      </c>
      <c r="AP355" t="s">
        <v>124</v>
      </c>
      <c r="AQ355" t="s">
        <v>74</v>
      </c>
      <c r="AR355" t="s">
        <v>125</v>
      </c>
      <c r="AS355" t="s">
        <v>126</v>
      </c>
      <c r="AT355" t="s">
        <v>7298</v>
      </c>
      <c r="AU355">
        <v>2022</v>
      </c>
      <c r="AV355">
        <v>22</v>
      </c>
      <c r="AW355">
        <v>1</v>
      </c>
      <c r="AX355" t="s">
        <v>74</v>
      </c>
      <c r="AY355" t="s">
        <v>74</v>
      </c>
      <c r="AZ355" t="s">
        <v>74</v>
      </c>
      <c r="BA355" t="s">
        <v>74</v>
      </c>
      <c r="BB355">
        <v>245</v>
      </c>
      <c r="BC355">
        <v>272</v>
      </c>
      <c r="BD355" t="s">
        <v>74</v>
      </c>
      <c r="BE355" t="s">
        <v>7330</v>
      </c>
      <c r="BF355" t="str">
        <f>HYPERLINK("http://dx.doi.org/10.5194/acp-22-245-2022","http://dx.doi.org/10.5194/acp-22-245-2022")</f>
        <v>http://dx.doi.org/10.5194/acp-22-245-2022</v>
      </c>
      <c r="BG355" t="s">
        <v>74</v>
      </c>
      <c r="BH355" t="s">
        <v>74</v>
      </c>
      <c r="BI355">
        <v>28</v>
      </c>
      <c r="BJ355" t="s">
        <v>129</v>
      </c>
      <c r="BK355" t="s">
        <v>103</v>
      </c>
      <c r="BL355" t="s">
        <v>130</v>
      </c>
      <c r="BM355" t="s">
        <v>7331</v>
      </c>
      <c r="BN355" t="s">
        <v>74</v>
      </c>
      <c r="BO355" t="s">
        <v>132</v>
      </c>
      <c r="BP355" t="s">
        <v>74</v>
      </c>
      <c r="BQ355" t="s">
        <v>74</v>
      </c>
      <c r="BR355" t="s">
        <v>106</v>
      </c>
      <c r="BS355" t="s">
        <v>7332</v>
      </c>
      <c r="BT355" t="str">
        <f>HYPERLINK("https%3A%2F%2Fwww.webofscience.com%2Fwos%2Fwoscc%2Ffull-record%2FWOS:000740532800001","View Full Record in Web of Science")</f>
        <v>View Full Record in Web of Science</v>
      </c>
    </row>
    <row r="356" spans="1:72" x14ac:dyDescent="0.15">
      <c r="A356" t="s">
        <v>72</v>
      </c>
      <c r="B356" t="s">
        <v>7333</v>
      </c>
      <c r="C356" t="s">
        <v>74</v>
      </c>
      <c r="D356" t="s">
        <v>74</v>
      </c>
      <c r="E356" t="s">
        <v>74</v>
      </c>
      <c r="F356" t="s">
        <v>7334</v>
      </c>
      <c r="G356" t="s">
        <v>74</v>
      </c>
      <c r="H356" t="s">
        <v>74</v>
      </c>
      <c r="I356" t="s">
        <v>7335</v>
      </c>
      <c r="J356" t="s">
        <v>4601</v>
      </c>
      <c r="K356" t="s">
        <v>74</v>
      </c>
      <c r="L356" t="s">
        <v>74</v>
      </c>
      <c r="M356" t="s">
        <v>78</v>
      </c>
      <c r="N356" t="s">
        <v>79</v>
      </c>
      <c r="O356" t="s">
        <v>74</v>
      </c>
      <c r="P356" t="s">
        <v>74</v>
      </c>
      <c r="Q356" t="s">
        <v>74</v>
      </c>
      <c r="R356" t="s">
        <v>74</v>
      </c>
      <c r="S356" t="s">
        <v>74</v>
      </c>
      <c r="T356" t="s">
        <v>7336</v>
      </c>
      <c r="U356" t="s">
        <v>7337</v>
      </c>
      <c r="V356" t="s">
        <v>7338</v>
      </c>
      <c r="W356" t="s">
        <v>7339</v>
      </c>
      <c r="X356" t="s">
        <v>7340</v>
      </c>
      <c r="Y356" t="s">
        <v>7341</v>
      </c>
      <c r="Z356" t="s">
        <v>7342</v>
      </c>
      <c r="AA356" t="s">
        <v>7343</v>
      </c>
      <c r="AB356" t="s">
        <v>7344</v>
      </c>
      <c r="AC356" t="s">
        <v>7345</v>
      </c>
      <c r="AD356" t="s">
        <v>7346</v>
      </c>
      <c r="AE356" t="s">
        <v>7347</v>
      </c>
      <c r="AF356" t="s">
        <v>74</v>
      </c>
      <c r="AG356">
        <v>108</v>
      </c>
      <c r="AH356">
        <v>3</v>
      </c>
      <c r="AI356">
        <v>3</v>
      </c>
      <c r="AJ356">
        <v>13</v>
      </c>
      <c r="AK356">
        <v>40</v>
      </c>
      <c r="AL356" t="s">
        <v>1074</v>
      </c>
      <c r="AM356" t="s">
        <v>506</v>
      </c>
      <c r="AN356" t="s">
        <v>1075</v>
      </c>
      <c r="AO356" t="s">
        <v>4614</v>
      </c>
      <c r="AP356" t="s">
        <v>4615</v>
      </c>
      <c r="AQ356" t="s">
        <v>74</v>
      </c>
      <c r="AR356" t="s">
        <v>4616</v>
      </c>
      <c r="AS356" t="s">
        <v>4617</v>
      </c>
      <c r="AT356" t="s">
        <v>1674</v>
      </c>
      <c r="AU356">
        <v>2022</v>
      </c>
      <c r="AV356">
        <v>58</v>
      </c>
      <c r="AW356" t="s">
        <v>7159</v>
      </c>
      <c r="AX356" t="s">
        <v>74</v>
      </c>
      <c r="AY356" t="s">
        <v>74</v>
      </c>
      <c r="AZ356" t="s">
        <v>74</v>
      </c>
      <c r="BA356" t="s">
        <v>74</v>
      </c>
      <c r="BB356">
        <v>2957</v>
      </c>
      <c r="BC356">
        <v>2979</v>
      </c>
      <c r="BD356" t="s">
        <v>74</v>
      </c>
      <c r="BE356" t="s">
        <v>7348</v>
      </c>
      <c r="BF356" t="str">
        <f>HYPERLINK("http://dx.doi.org/10.1007/s00382-021-06078-z","http://dx.doi.org/10.1007/s00382-021-06078-z")</f>
        <v>http://dx.doi.org/10.1007/s00382-021-06078-z</v>
      </c>
      <c r="BG356" t="s">
        <v>74</v>
      </c>
      <c r="BH356" t="s">
        <v>4536</v>
      </c>
      <c r="BI356">
        <v>23</v>
      </c>
      <c r="BJ356" t="s">
        <v>514</v>
      </c>
      <c r="BK356" t="s">
        <v>103</v>
      </c>
      <c r="BL356" t="s">
        <v>514</v>
      </c>
      <c r="BM356" t="s">
        <v>7161</v>
      </c>
      <c r="BN356" t="s">
        <v>74</v>
      </c>
      <c r="BO356" t="s">
        <v>74</v>
      </c>
      <c r="BP356" t="s">
        <v>74</v>
      </c>
      <c r="BQ356" t="s">
        <v>74</v>
      </c>
      <c r="BR356" t="s">
        <v>106</v>
      </c>
      <c r="BS356" t="s">
        <v>7349</v>
      </c>
      <c r="BT356" t="str">
        <f>HYPERLINK("https%3A%2F%2Fwww.webofscience.com%2Fwos%2Fwoscc%2Ffull-record%2FWOS:000739773100001","View Full Record in Web of Science")</f>
        <v>View Full Record in Web of Science</v>
      </c>
    </row>
    <row r="357" spans="1:72" x14ac:dyDescent="0.15">
      <c r="A357" t="s">
        <v>72</v>
      </c>
      <c r="B357" t="s">
        <v>7350</v>
      </c>
      <c r="C357" t="s">
        <v>74</v>
      </c>
      <c r="D357" t="s">
        <v>74</v>
      </c>
      <c r="E357" t="s">
        <v>74</v>
      </c>
      <c r="F357" t="s">
        <v>7351</v>
      </c>
      <c r="G357" t="s">
        <v>74</v>
      </c>
      <c r="H357" t="s">
        <v>74</v>
      </c>
      <c r="I357" t="s">
        <v>7352</v>
      </c>
      <c r="J357" t="s">
        <v>7353</v>
      </c>
      <c r="K357" t="s">
        <v>74</v>
      </c>
      <c r="L357" t="s">
        <v>74</v>
      </c>
      <c r="M357" t="s">
        <v>78</v>
      </c>
      <c r="N357" t="s">
        <v>79</v>
      </c>
      <c r="O357" t="s">
        <v>74</v>
      </c>
      <c r="P357" t="s">
        <v>74</v>
      </c>
      <c r="Q357" t="s">
        <v>74</v>
      </c>
      <c r="R357" t="s">
        <v>74</v>
      </c>
      <c r="S357" t="s">
        <v>74</v>
      </c>
      <c r="T357" t="s">
        <v>7354</v>
      </c>
      <c r="U357" t="s">
        <v>7355</v>
      </c>
      <c r="V357" t="s">
        <v>7356</v>
      </c>
      <c r="W357" t="s">
        <v>7357</v>
      </c>
      <c r="X357" t="s">
        <v>7358</v>
      </c>
      <c r="Y357" t="s">
        <v>7359</v>
      </c>
      <c r="Z357" t="s">
        <v>7360</v>
      </c>
      <c r="AA357" t="s">
        <v>7361</v>
      </c>
      <c r="AB357" t="s">
        <v>7362</v>
      </c>
      <c r="AC357" t="s">
        <v>7363</v>
      </c>
      <c r="AD357" t="s">
        <v>7364</v>
      </c>
      <c r="AE357" t="s">
        <v>7365</v>
      </c>
      <c r="AF357" t="s">
        <v>74</v>
      </c>
      <c r="AG357">
        <v>52</v>
      </c>
      <c r="AH357">
        <v>11</v>
      </c>
      <c r="AI357">
        <v>12</v>
      </c>
      <c r="AJ357">
        <v>16</v>
      </c>
      <c r="AK357">
        <v>77</v>
      </c>
      <c r="AL357" t="s">
        <v>171</v>
      </c>
      <c r="AM357" t="s">
        <v>172</v>
      </c>
      <c r="AN357" t="s">
        <v>173</v>
      </c>
      <c r="AO357" t="s">
        <v>7366</v>
      </c>
      <c r="AP357" t="s">
        <v>7367</v>
      </c>
      <c r="AQ357" t="s">
        <v>74</v>
      </c>
      <c r="AR357" t="s">
        <v>7368</v>
      </c>
      <c r="AS357" t="s">
        <v>7369</v>
      </c>
      <c r="AT357" t="s">
        <v>483</v>
      </c>
      <c r="AU357">
        <v>2022</v>
      </c>
      <c r="AV357">
        <v>102</v>
      </c>
      <c r="AW357">
        <v>9</v>
      </c>
      <c r="AX357" t="s">
        <v>74</v>
      </c>
      <c r="AY357" t="s">
        <v>74</v>
      </c>
      <c r="AZ357" t="s">
        <v>74</v>
      </c>
      <c r="BA357" t="s">
        <v>74</v>
      </c>
      <c r="BB357">
        <v>3916</v>
      </c>
      <c r="BC357">
        <v>3924</v>
      </c>
      <c r="BD357" t="s">
        <v>74</v>
      </c>
      <c r="BE357" t="s">
        <v>7370</v>
      </c>
      <c r="BF357" t="str">
        <f>HYPERLINK("http://dx.doi.org/10.1002/jsfa.11741","http://dx.doi.org/10.1002/jsfa.11741")</f>
        <v>http://dx.doi.org/10.1002/jsfa.11741</v>
      </c>
      <c r="BG357" t="s">
        <v>74</v>
      </c>
      <c r="BH357" t="s">
        <v>4536</v>
      </c>
      <c r="BI357">
        <v>9</v>
      </c>
      <c r="BJ357" t="s">
        <v>697</v>
      </c>
      <c r="BK357" t="s">
        <v>103</v>
      </c>
      <c r="BL357" t="s">
        <v>698</v>
      </c>
      <c r="BM357" t="s">
        <v>7371</v>
      </c>
      <c r="BN357">
        <v>34952978</v>
      </c>
      <c r="BO357" t="s">
        <v>74</v>
      </c>
      <c r="BP357" t="s">
        <v>74</v>
      </c>
      <c r="BQ357" t="s">
        <v>74</v>
      </c>
      <c r="BR357" t="s">
        <v>106</v>
      </c>
      <c r="BS357" t="s">
        <v>7372</v>
      </c>
      <c r="BT357" t="str">
        <f>HYPERLINK("https%3A%2F%2Fwww.webofscience.com%2Fwos%2Fwoscc%2Ffull-record%2FWOS:000740075300001","View Full Record in Web of Science")</f>
        <v>View Full Record in Web of Science</v>
      </c>
    </row>
    <row r="358" spans="1:72" x14ac:dyDescent="0.15">
      <c r="A358" t="s">
        <v>72</v>
      </c>
      <c r="B358" t="s">
        <v>7373</v>
      </c>
      <c r="C358" t="s">
        <v>74</v>
      </c>
      <c r="D358" t="s">
        <v>74</v>
      </c>
      <c r="E358" t="s">
        <v>74</v>
      </c>
      <c r="F358" t="s">
        <v>7374</v>
      </c>
      <c r="G358" t="s">
        <v>74</v>
      </c>
      <c r="H358" t="s">
        <v>74</v>
      </c>
      <c r="I358" t="s">
        <v>7375</v>
      </c>
      <c r="J358" t="s">
        <v>5741</v>
      </c>
      <c r="K358" t="s">
        <v>74</v>
      </c>
      <c r="L358" t="s">
        <v>74</v>
      </c>
      <c r="M358" t="s">
        <v>78</v>
      </c>
      <c r="N358" t="s">
        <v>79</v>
      </c>
      <c r="O358" t="s">
        <v>74</v>
      </c>
      <c r="P358" t="s">
        <v>74</v>
      </c>
      <c r="Q358" t="s">
        <v>74</v>
      </c>
      <c r="R358" t="s">
        <v>74</v>
      </c>
      <c r="S358" t="s">
        <v>74</v>
      </c>
      <c r="T358" t="s">
        <v>7376</v>
      </c>
      <c r="U358" t="s">
        <v>7377</v>
      </c>
      <c r="V358" t="s">
        <v>7378</v>
      </c>
      <c r="W358" t="s">
        <v>7379</v>
      </c>
      <c r="X358" t="s">
        <v>7380</v>
      </c>
      <c r="Y358" t="s">
        <v>7381</v>
      </c>
      <c r="Z358" t="s">
        <v>74</v>
      </c>
      <c r="AA358" t="s">
        <v>74</v>
      </c>
      <c r="AB358" t="s">
        <v>74</v>
      </c>
      <c r="AC358" t="s">
        <v>7382</v>
      </c>
      <c r="AD358" t="s">
        <v>7382</v>
      </c>
      <c r="AE358" t="s">
        <v>7383</v>
      </c>
      <c r="AF358" t="s">
        <v>74</v>
      </c>
      <c r="AG358">
        <v>53</v>
      </c>
      <c r="AH358">
        <v>4</v>
      </c>
      <c r="AI358">
        <v>4</v>
      </c>
      <c r="AJ358">
        <v>1</v>
      </c>
      <c r="AK358">
        <v>2</v>
      </c>
      <c r="AL358" t="s">
        <v>310</v>
      </c>
      <c r="AM358" t="s">
        <v>311</v>
      </c>
      <c r="AN358" t="s">
        <v>312</v>
      </c>
      <c r="AO358" t="s">
        <v>5754</v>
      </c>
      <c r="AP358" t="s">
        <v>5755</v>
      </c>
      <c r="AQ358" t="s">
        <v>74</v>
      </c>
      <c r="AR358" t="s">
        <v>5756</v>
      </c>
      <c r="AS358" t="s">
        <v>5757</v>
      </c>
      <c r="AT358" t="s">
        <v>537</v>
      </c>
      <c r="AU358">
        <v>2022</v>
      </c>
      <c r="AV358">
        <v>248</v>
      </c>
      <c r="AW358" t="s">
        <v>74</v>
      </c>
      <c r="AX358" t="s">
        <v>74</v>
      </c>
      <c r="AY358" t="s">
        <v>74</v>
      </c>
      <c r="AZ358" t="s">
        <v>74</v>
      </c>
      <c r="BA358" t="s">
        <v>74</v>
      </c>
      <c r="BB358" t="s">
        <v>74</v>
      </c>
      <c r="BC358" t="s">
        <v>74</v>
      </c>
      <c r="BD358">
        <v>106219</v>
      </c>
      <c r="BE358" t="s">
        <v>7384</v>
      </c>
      <c r="BF358" t="str">
        <f>HYPERLINK("http://dx.doi.org/10.1016/j.fishres.2021.106219","http://dx.doi.org/10.1016/j.fishres.2021.106219")</f>
        <v>http://dx.doi.org/10.1016/j.fishres.2021.106219</v>
      </c>
      <c r="BG358" t="s">
        <v>74</v>
      </c>
      <c r="BH358" t="s">
        <v>4536</v>
      </c>
      <c r="BI358">
        <v>10</v>
      </c>
      <c r="BJ358" t="s">
        <v>485</v>
      </c>
      <c r="BK358" t="s">
        <v>103</v>
      </c>
      <c r="BL358" t="s">
        <v>485</v>
      </c>
      <c r="BM358" t="s">
        <v>7385</v>
      </c>
      <c r="BN358" t="s">
        <v>74</v>
      </c>
      <c r="BO358" t="s">
        <v>74</v>
      </c>
      <c r="BP358" t="s">
        <v>74</v>
      </c>
      <c r="BQ358" t="s">
        <v>74</v>
      </c>
      <c r="BR358" t="s">
        <v>106</v>
      </c>
      <c r="BS358" t="s">
        <v>7386</v>
      </c>
      <c r="BT358" t="str">
        <f>HYPERLINK("https%3A%2F%2Fwww.webofscience.com%2Fwos%2Fwoscc%2Ffull-record%2FWOS:000971593700009","View Full Record in Web of Science")</f>
        <v>View Full Record in Web of Science</v>
      </c>
    </row>
    <row r="359" spans="1:72" x14ac:dyDescent="0.15">
      <c r="A359" t="s">
        <v>72</v>
      </c>
      <c r="B359" t="s">
        <v>7387</v>
      </c>
      <c r="C359" t="s">
        <v>74</v>
      </c>
      <c r="D359" t="s">
        <v>74</v>
      </c>
      <c r="E359" t="s">
        <v>74</v>
      </c>
      <c r="F359" t="s">
        <v>7388</v>
      </c>
      <c r="G359" t="s">
        <v>74</v>
      </c>
      <c r="H359" t="s">
        <v>74</v>
      </c>
      <c r="I359" t="s">
        <v>7389</v>
      </c>
      <c r="J359" t="s">
        <v>400</v>
      </c>
      <c r="K359" t="s">
        <v>74</v>
      </c>
      <c r="L359" t="s">
        <v>74</v>
      </c>
      <c r="M359" t="s">
        <v>78</v>
      </c>
      <c r="N359" t="s">
        <v>79</v>
      </c>
      <c r="O359" t="s">
        <v>74</v>
      </c>
      <c r="P359" t="s">
        <v>74</v>
      </c>
      <c r="Q359" t="s">
        <v>74</v>
      </c>
      <c r="R359" t="s">
        <v>74</v>
      </c>
      <c r="S359" t="s">
        <v>74</v>
      </c>
      <c r="T359" t="s">
        <v>74</v>
      </c>
      <c r="U359" t="s">
        <v>7390</v>
      </c>
      <c r="V359" t="s">
        <v>7391</v>
      </c>
      <c r="W359" t="s">
        <v>7392</v>
      </c>
      <c r="X359" t="s">
        <v>7393</v>
      </c>
      <c r="Y359" t="s">
        <v>7394</v>
      </c>
      <c r="Z359" t="s">
        <v>7395</v>
      </c>
      <c r="AA359" t="s">
        <v>7396</v>
      </c>
      <c r="AB359" t="s">
        <v>7397</v>
      </c>
      <c r="AC359" t="s">
        <v>7398</v>
      </c>
      <c r="AD359" t="s">
        <v>7399</v>
      </c>
      <c r="AE359" t="s">
        <v>7400</v>
      </c>
      <c r="AF359" t="s">
        <v>74</v>
      </c>
      <c r="AG359">
        <v>83</v>
      </c>
      <c r="AH359">
        <v>2</v>
      </c>
      <c r="AI359">
        <v>4</v>
      </c>
      <c r="AJ359">
        <v>1</v>
      </c>
      <c r="AK359">
        <v>12</v>
      </c>
      <c r="AL359" t="s">
        <v>120</v>
      </c>
      <c r="AM359" t="s">
        <v>121</v>
      </c>
      <c r="AN359" t="s">
        <v>122</v>
      </c>
      <c r="AO359" t="s">
        <v>412</v>
      </c>
      <c r="AP359" t="s">
        <v>413</v>
      </c>
      <c r="AQ359" t="s">
        <v>74</v>
      </c>
      <c r="AR359" t="s">
        <v>400</v>
      </c>
      <c r="AS359" t="s">
        <v>414</v>
      </c>
      <c r="AT359" t="s">
        <v>7401</v>
      </c>
      <c r="AU359">
        <v>2022</v>
      </c>
      <c r="AV359">
        <v>19</v>
      </c>
      <c r="AW359">
        <v>1</v>
      </c>
      <c r="AX359" t="s">
        <v>74</v>
      </c>
      <c r="AY359" t="s">
        <v>74</v>
      </c>
      <c r="AZ359" t="s">
        <v>74</v>
      </c>
      <c r="BA359" t="s">
        <v>74</v>
      </c>
      <c r="BB359">
        <v>117</v>
      </c>
      <c r="BC359">
        <v>136</v>
      </c>
      <c r="BD359" t="s">
        <v>74</v>
      </c>
      <c r="BE359" t="s">
        <v>7402</v>
      </c>
      <c r="BF359" t="str">
        <f>HYPERLINK("http://dx.doi.org/10.5194/bg-19-117-2022","http://dx.doi.org/10.5194/bg-19-117-2022")</f>
        <v>http://dx.doi.org/10.5194/bg-19-117-2022</v>
      </c>
      <c r="BG359" t="s">
        <v>74</v>
      </c>
      <c r="BH359" t="s">
        <v>74</v>
      </c>
      <c r="BI359">
        <v>20</v>
      </c>
      <c r="BJ359" t="s">
        <v>416</v>
      </c>
      <c r="BK359" t="s">
        <v>103</v>
      </c>
      <c r="BL359" t="s">
        <v>417</v>
      </c>
      <c r="BM359" t="s">
        <v>7403</v>
      </c>
      <c r="BN359" t="s">
        <v>74</v>
      </c>
      <c r="BO359" t="s">
        <v>132</v>
      </c>
      <c r="BP359" t="s">
        <v>74</v>
      </c>
      <c r="BQ359" t="s">
        <v>74</v>
      </c>
      <c r="BR359" t="s">
        <v>106</v>
      </c>
      <c r="BS359" t="s">
        <v>7404</v>
      </c>
      <c r="BT359" t="str">
        <f>HYPERLINK("https%3A%2F%2Fwww.webofscience.com%2Fwos%2Fwoscc%2Ffull-record%2FWOS:000739657300001","View Full Record in Web of Science")</f>
        <v>View Full Record in Web of Science</v>
      </c>
    </row>
    <row r="360" spans="1:72" x14ac:dyDescent="0.15">
      <c r="A360" t="s">
        <v>72</v>
      </c>
      <c r="B360" t="s">
        <v>7405</v>
      </c>
      <c r="C360" t="s">
        <v>74</v>
      </c>
      <c r="D360" t="s">
        <v>74</v>
      </c>
      <c r="E360" t="s">
        <v>74</v>
      </c>
      <c r="F360" t="s">
        <v>7406</v>
      </c>
      <c r="G360" t="s">
        <v>74</v>
      </c>
      <c r="H360" t="s">
        <v>74</v>
      </c>
      <c r="I360" t="s">
        <v>7407</v>
      </c>
      <c r="J360" t="s">
        <v>7408</v>
      </c>
      <c r="K360" t="s">
        <v>74</v>
      </c>
      <c r="L360" t="s">
        <v>74</v>
      </c>
      <c r="M360" t="s">
        <v>78</v>
      </c>
      <c r="N360" t="s">
        <v>79</v>
      </c>
      <c r="O360" t="s">
        <v>74</v>
      </c>
      <c r="P360" t="s">
        <v>74</v>
      </c>
      <c r="Q360" t="s">
        <v>74</v>
      </c>
      <c r="R360" t="s">
        <v>74</v>
      </c>
      <c r="S360" t="s">
        <v>74</v>
      </c>
      <c r="T360" t="s">
        <v>7409</v>
      </c>
      <c r="U360" t="s">
        <v>7410</v>
      </c>
      <c r="V360" t="s">
        <v>7411</v>
      </c>
      <c r="W360" t="s">
        <v>7412</v>
      </c>
      <c r="X360" t="s">
        <v>7413</v>
      </c>
      <c r="Y360" t="s">
        <v>7414</v>
      </c>
      <c r="Z360" t="s">
        <v>7415</v>
      </c>
      <c r="AA360" t="s">
        <v>7416</v>
      </c>
      <c r="AB360" t="s">
        <v>7417</v>
      </c>
      <c r="AC360" t="s">
        <v>7418</v>
      </c>
      <c r="AD360" t="s">
        <v>7419</v>
      </c>
      <c r="AE360" t="s">
        <v>7420</v>
      </c>
      <c r="AF360" t="s">
        <v>74</v>
      </c>
      <c r="AG360">
        <v>27</v>
      </c>
      <c r="AH360">
        <v>0</v>
      </c>
      <c r="AI360">
        <v>0</v>
      </c>
      <c r="AJ360">
        <v>1</v>
      </c>
      <c r="AK360">
        <v>1</v>
      </c>
      <c r="AL360" t="s">
        <v>363</v>
      </c>
      <c r="AM360" t="s">
        <v>364</v>
      </c>
      <c r="AN360" t="s">
        <v>365</v>
      </c>
      <c r="AO360" t="s">
        <v>74</v>
      </c>
      <c r="AP360" t="s">
        <v>7421</v>
      </c>
      <c r="AQ360" t="s">
        <v>74</v>
      </c>
      <c r="AR360" t="s">
        <v>7422</v>
      </c>
      <c r="AS360" t="s">
        <v>7423</v>
      </c>
      <c r="AT360" t="s">
        <v>7401</v>
      </c>
      <c r="AU360">
        <v>2022</v>
      </c>
      <c r="AV360">
        <v>2</v>
      </c>
      <c r="AW360" t="s">
        <v>74</v>
      </c>
      <c r="AX360" t="s">
        <v>74</v>
      </c>
      <c r="AY360" t="s">
        <v>74</v>
      </c>
      <c r="AZ360" t="s">
        <v>74</v>
      </c>
      <c r="BA360" t="s">
        <v>74</v>
      </c>
      <c r="BB360" t="s">
        <v>74</v>
      </c>
      <c r="BC360" t="s">
        <v>74</v>
      </c>
      <c r="BD360">
        <v>786601</v>
      </c>
      <c r="BE360" t="s">
        <v>7424</v>
      </c>
      <c r="BF360" t="str">
        <f>HYPERLINK("http://dx.doi.org/10.3389/felec.2021.786601","http://dx.doi.org/10.3389/felec.2021.786601")</f>
        <v>http://dx.doi.org/10.3389/felec.2021.786601</v>
      </c>
      <c r="BG360" t="s">
        <v>74</v>
      </c>
      <c r="BH360" t="s">
        <v>74</v>
      </c>
      <c r="BI360">
        <v>6</v>
      </c>
      <c r="BJ360" t="s">
        <v>7425</v>
      </c>
      <c r="BK360" t="s">
        <v>724</v>
      </c>
      <c r="BL360" t="s">
        <v>4397</v>
      </c>
      <c r="BM360" t="s">
        <v>7426</v>
      </c>
      <c r="BN360" t="s">
        <v>74</v>
      </c>
      <c r="BO360" t="s">
        <v>445</v>
      </c>
      <c r="BP360" t="s">
        <v>74</v>
      </c>
      <c r="BQ360" t="s">
        <v>74</v>
      </c>
      <c r="BR360" t="s">
        <v>106</v>
      </c>
      <c r="BS360" t="s">
        <v>7427</v>
      </c>
      <c r="BT360" t="str">
        <f>HYPERLINK("https%3A%2F%2Fwww.webofscience.com%2Fwos%2Fwoscc%2Ffull-record%2FWOS:001115677400001","View Full Record in Web of Science")</f>
        <v>View Full Record in Web of Science</v>
      </c>
    </row>
    <row r="361" spans="1:72" x14ac:dyDescent="0.15">
      <c r="A361" t="s">
        <v>72</v>
      </c>
      <c r="B361" t="s">
        <v>7428</v>
      </c>
      <c r="C361" t="s">
        <v>74</v>
      </c>
      <c r="D361" t="s">
        <v>74</v>
      </c>
      <c r="E361" t="s">
        <v>74</v>
      </c>
      <c r="F361" t="s">
        <v>7429</v>
      </c>
      <c r="G361" t="s">
        <v>74</v>
      </c>
      <c r="H361" t="s">
        <v>74</v>
      </c>
      <c r="I361" t="s">
        <v>7430</v>
      </c>
      <c r="J361" t="s">
        <v>1137</v>
      </c>
      <c r="K361" t="s">
        <v>74</v>
      </c>
      <c r="L361" t="s">
        <v>74</v>
      </c>
      <c r="M361" t="s">
        <v>78</v>
      </c>
      <c r="N361" t="s">
        <v>79</v>
      </c>
      <c r="O361" t="s">
        <v>74</v>
      </c>
      <c r="P361" t="s">
        <v>74</v>
      </c>
      <c r="Q361" t="s">
        <v>74</v>
      </c>
      <c r="R361" t="s">
        <v>74</v>
      </c>
      <c r="S361" t="s">
        <v>74</v>
      </c>
      <c r="T361" t="s">
        <v>7431</v>
      </c>
      <c r="U361" t="s">
        <v>7432</v>
      </c>
      <c r="V361" t="s">
        <v>7433</v>
      </c>
      <c r="W361" t="s">
        <v>7434</v>
      </c>
      <c r="X361" t="s">
        <v>7435</v>
      </c>
      <c r="Y361" t="s">
        <v>7436</v>
      </c>
      <c r="Z361" t="s">
        <v>7437</v>
      </c>
      <c r="AA361" t="s">
        <v>7438</v>
      </c>
      <c r="AB361" t="s">
        <v>7439</v>
      </c>
      <c r="AC361" t="s">
        <v>7440</v>
      </c>
      <c r="AD361" t="s">
        <v>7441</v>
      </c>
      <c r="AE361" t="s">
        <v>7442</v>
      </c>
      <c r="AF361" t="s">
        <v>74</v>
      </c>
      <c r="AG361">
        <v>58</v>
      </c>
      <c r="AH361">
        <v>4</v>
      </c>
      <c r="AI361">
        <v>4</v>
      </c>
      <c r="AJ361">
        <v>1</v>
      </c>
      <c r="AK361">
        <v>7</v>
      </c>
      <c r="AL361" t="s">
        <v>92</v>
      </c>
      <c r="AM361" t="s">
        <v>93</v>
      </c>
      <c r="AN361" t="s">
        <v>94</v>
      </c>
      <c r="AO361" t="s">
        <v>1149</v>
      </c>
      <c r="AP361" t="s">
        <v>1150</v>
      </c>
      <c r="AQ361" t="s">
        <v>74</v>
      </c>
      <c r="AR361" t="s">
        <v>1151</v>
      </c>
      <c r="AS361" t="s">
        <v>1152</v>
      </c>
      <c r="AT361" t="s">
        <v>3228</v>
      </c>
      <c r="AU361">
        <v>2022</v>
      </c>
      <c r="AV361">
        <v>277</v>
      </c>
      <c r="AW361" t="s">
        <v>74</v>
      </c>
      <c r="AX361" t="s">
        <v>74</v>
      </c>
      <c r="AY361" t="s">
        <v>74</v>
      </c>
      <c r="AZ361" t="s">
        <v>74</v>
      </c>
      <c r="BA361" t="s">
        <v>74</v>
      </c>
      <c r="BB361" t="s">
        <v>74</v>
      </c>
      <c r="BC361" t="s">
        <v>74</v>
      </c>
      <c r="BD361">
        <v>107344</v>
      </c>
      <c r="BE361" t="s">
        <v>7443</v>
      </c>
      <c r="BF361" t="str">
        <f>HYPERLINK("http://dx.doi.org/10.1016/j.quascirev.2021.107344","http://dx.doi.org/10.1016/j.quascirev.2021.107344")</f>
        <v>http://dx.doi.org/10.1016/j.quascirev.2021.107344</v>
      </c>
      <c r="BG361" t="s">
        <v>74</v>
      </c>
      <c r="BH361" t="s">
        <v>4536</v>
      </c>
      <c r="BI361">
        <v>10</v>
      </c>
      <c r="BJ361" t="s">
        <v>208</v>
      </c>
      <c r="BK361" t="s">
        <v>103</v>
      </c>
      <c r="BL361" t="s">
        <v>209</v>
      </c>
      <c r="BM361" t="s">
        <v>3230</v>
      </c>
      <c r="BN361" t="s">
        <v>74</v>
      </c>
      <c r="BO361" t="s">
        <v>74</v>
      </c>
      <c r="BP361" t="s">
        <v>74</v>
      </c>
      <c r="BQ361" t="s">
        <v>74</v>
      </c>
      <c r="BR361" t="s">
        <v>106</v>
      </c>
      <c r="BS361" t="s">
        <v>7444</v>
      </c>
      <c r="BT361" t="str">
        <f>HYPERLINK("https%3A%2F%2Fwww.webofscience.com%2Fwos%2Fwoscc%2Ffull-record%2FWOS:000766906200010","View Full Record in Web of Science")</f>
        <v>View Full Record in Web of Science</v>
      </c>
    </row>
    <row r="362" spans="1:72" x14ac:dyDescent="0.15">
      <c r="A362" t="s">
        <v>72</v>
      </c>
      <c r="B362" t="s">
        <v>7445</v>
      </c>
      <c r="C362" t="s">
        <v>74</v>
      </c>
      <c r="D362" t="s">
        <v>74</v>
      </c>
      <c r="E362" t="s">
        <v>74</v>
      </c>
      <c r="F362" t="s">
        <v>7446</v>
      </c>
      <c r="G362" t="s">
        <v>74</v>
      </c>
      <c r="H362" t="s">
        <v>74</v>
      </c>
      <c r="I362" t="s">
        <v>7447</v>
      </c>
      <c r="J362" t="s">
        <v>7448</v>
      </c>
      <c r="K362" t="s">
        <v>74</v>
      </c>
      <c r="L362" t="s">
        <v>74</v>
      </c>
      <c r="M362" t="s">
        <v>78</v>
      </c>
      <c r="N362" t="s">
        <v>79</v>
      </c>
      <c r="O362" t="s">
        <v>74</v>
      </c>
      <c r="P362" t="s">
        <v>74</v>
      </c>
      <c r="Q362" t="s">
        <v>74</v>
      </c>
      <c r="R362" t="s">
        <v>74</v>
      </c>
      <c r="S362" t="s">
        <v>74</v>
      </c>
      <c r="T362" t="s">
        <v>7449</v>
      </c>
      <c r="U362" t="s">
        <v>7450</v>
      </c>
      <c r="V362" t="s">
        <v>7451</v>
      </c>
      <c r="W362" t="s">
        <v>7452</v>
      </c>
      <c r="X362" t="s">
        <v>7453</v>
      </c>
      <c r="Y362" t="s">
        <v>7454</v>
      </c>
      <c r="Z362" t="s">
        <v>7455</v>
      </c>
      <c r="AA362" t="s">
        <v>7456</v>
      </c>
      <c r="AB362" t="s">
        <v>7457</v>
      </c>
      <c r="AC362" t="s">
        <v>7458</v>
      </c>
      <c r="AD362" t="s">
        <v>7459</v>
      </c>
      <c r="AE362" t="s">
        <v>7460</v>
      </c>
      <c r="AF362" t="s">
        <v>74</v>
      </c>
      <c r="AG362">
        <v>123</v>
      </c>
      <c r="AH362">
        <v>15</v>
      </c>
      <c r="AI362">
        <v>16</v>
      </c>
      <c r="AJ362">
        <v>2</v>
      </c>
      <c r="AK362">
        <v>52</v>
      </c>
      <c r="AL362" t="s">
        <v>310</v>
      </c>
      <c r="AM362" t="s">
        <v>311</v>
      </c>
      <c r="AN362" t="s">
        <v>312</v>
      </c>
      <c r="AO362" t="s">
        <v>7461</v>
      </c>
      <c r="AP362" t="s">
        <v>74</v>
      </c>
      <c r="AQ362" t="s">
        <v>74</v>
      </c>
      <c r="AR362" t="s">
        <v>7462</v>
      </c>
      <c r="AS362" t="s">
        <v>7463</v>
      </c>
      <c r="AT362" t="s">
        <v>840</v>
      </c>
      <c r="AU362">
        <v>2022</v>
      </c>
      <c r="AV362">
        <v>22</v>
      </c>
      <c r="AW362" t="s">
        <v>74</v>
      </c>
      <c r="AX362" t="s">
        <v>74</v>
      </c>
      <c r="AY362" t="s">
        <v>74</v>
      </c>
      <c r="AZ362" t="s">
        <v>74</v>
      </c>
      <c r="BA362" t="s">
        <v>74</v>
      </c>
      <c r="BB362" t="s">
        <v>74</v>
      </c>
      <c r="BC362" t="s">
        <v>74</v>
      </c>
      <c r="BD362">
        <v>100998</v>
      </c>
      <c r="BE362" t="s">
        <v>7464</v>
      </c>
      <c r="BF362" t="str">
        <f>HYPERLINK("http://dx.doi.org/10.1016/j.aqrep.2021.100998","http://dx.doi.org/10.1016/j.aqrep.2021.100998")</f>
        <v>http://dx.doi.org/10.1016/j.aqrep.2021.100998</v>
      </c>
      <c r="BG362" t="s">
        <v>74</v>
      </c>
      <c r="BH362" t="s">
        <v>4536</v>
      </c>
      <c r="BI362">
        <v>11</v>
      </c>
      <c r="BJ362" t="s">
        <v>485</v>
      </c>
      <c r="BK362" t="s">
        <v>103</v>
      </c>
      <c r="BL362" t="s">
        <v>485</v>
      </c>
      <c r="BM362" t="s">
        <v>7465</v>
      </c>
      <c r="BN362" t="s">
        <v>74</v>
      </c>
      <c r="BO362" t="s">
        <v>292</v>
      </c>
      <c r="BP362" t="s">
        <v>74</v>
      </c>
      <c r="BQ362" t="s">
        <v>74</v>
      </c>
      <c r="BR362" t="s">
        <v>106</v>
      </c>
      <c r="BS362" t="s">
        <v>7466</v>
      </c>
      <c r="BT362" t="str">
        <f>HYPERLINK("https%3A%2F%2Fwww.webofscience.com%2Fwos%2Fwoscc%2Ffull-record%2FWOS:000741302600003","View Full Record in Web of Science")</f>
        <v>View Full Record in Web of Science</v>
      </c>
    </row>
    <row r="363" spans="1:72" x14ac:dyDescent="0.15">
      <c r="A363" t="s">
        <v>72</v>
      </c>
      <c r="B363" t="s">
        <v>7467</v>
      </c>
      <c r="C363" t="s">
        <v>74</v>
      </c>
      <c r="D363" t="s">
        <v>74</v>
      </c>
      <c r="E363" t="s">
        <v>74</v>
      </c>
      <c r="F363" t="s">
        <v>7468</v>
      </c>
      <c r="G363" t="s">
        <v>74</v>
      </c>
      <c r="H363" t="s">
        <v>74</v>
      </c>
      <c r="I363" t="s">
        <v>7469</v>
      </c>
      <c r="J363" t="s">
        <v>1455</v>
      </c>
      <c r="K363" t="s">
        <v>74</v>
      </c>
      <c r="L363" t="s">
        <v>74</v>
      </c>
      <c r="M363" t="s">
        <v>78</v>
      </c>
      <c r="N363" t="s">
        <v>79</v>
      </c>
      <c r="O363" t="s">
        <v>74</v>
      </c>
      <c r="P363" t="s">
        <v>74</v>
      </c>
      <c r="Q363" t="s">
        <v>74</v>
      </c>
      <c r="R363" t="s">
        <v>74</v>
      </c>
      <c r="S363" t="s">
        <v>74</v>
      </c>
      <c r="T363" t="s">
        <v>7470</v>
      </c>
      <c r="U363" t="s">
        <v>7471</v>
      </c>
      <c r="V363" t="s">
        <v>7472</v>
      </c>
      <c r="W363" t="s">
        <v>7473</v>
      </c>
      <c r="X363" t="s">
        <v>7474</v>
      </c>
      <c r="Y363" t="s">
        <v>7475</v>
      </c>
      <c r="Z363" t="s">
        <v>7476</v>
      </c>
      <c r="AA363" t="s">
        <v>7477</v>
      </c>
      <c r="AB363" t="s">
        <v>7478</v>
      </c>
      <c r="AC363" t="s">
        <v>7479</v>
      </c>
      <c r="AD363" t="s">
        <v>7480</v>
      </c>
      <c r="AE363" t="s">
        <v>7481</v>
      </c>
      <c r="AF363" t="s">
        <v>74</v>
      </c>
      <c r="AG363">
        <v>116</v>
      </c>
      <c r="AH363">
        <v>11</v>
      </c>
      <c r="AI363">
        <v>11</v>
      </c>
      <c r="AJ363">
        <v>7</v>
      </c>
      <c r="AK363">
        <v>43</v>
      </c>
      <c r="AL363" t="s">
        <v>171</v>
      </c>
      <c r="AM363" t="s">
        <v>172</v>
      </c>
      <c r="AN363" t="s">
        <v>173</v>
      </c>
      <c r="AO363" t="s">
        <v>1468</v>
      </c>
      <c r="AP363" t="s">
        <v>1469</v>
      </c>
      <c r="AQ363" t="s">
        <v>74</v>
      </c>
      <c r="AR363" t="s">
        <v>1470</v>
      </c>
      <c r="AS363" t="s">
        <v>1471</v>
      </c>
      <c r="AT363" t="s">
        <v>840</v>
      </c>
      <c r="AU363">
        <v>2022</v>
      </c>
      <c r="AV363">
        <v>233</v>
      </c>
      <c r="AW363">
        <v>4</v>
      </c>
      <c r="AX363" t="s">
        <v>74</v>
      </c>
      <c r="AY363" t="s">
        <v>74</v>
      </c>
      <c r="AZ363" t="s">
        <v>74</v>
      </c>
      <c r="BA363" t="s">
        <v>74</v>
      </c>
      <c r="BB363">
        <v>1813</v>
      </c>
      <c r="BC363">
        <v>1827</v>
      </c>
      <c r="BD363" t="s">
        <v>74</v>
      </c>
      <c r="BE363" t="s">
        <v>7482</v>
      </c>
      <c r="BF363" t="str">
        <f>HYPERLINK("http://dx.doi.org/10.1111/nph.17868","http://dx.doi.org/10.1111/nph.17868")</f>
        <v>http://dx.doi.org/10.1111/nph.17868</v>
      </c>
      <c r="BG363" t="s">
        <v>74</v>
      </c>
      <c r="BH363" t="s">
        <v>4536</v>
      </c>
      <c r="BI363">
        <v>15</v>
      </c>
      <c r="BJ363" t="s">
        <v>1473</v>
      </c>
      <c r="BK363" t="s">
        <v>103</v>
      </c>
      <c r="BL363" t="s">
        <v>1473</v>
      </c>
      <c r="BM363" t="s">
        <v>7483</v>
      </c>
      <c r="BN363">
        <v>34988987</v>
      </c>
      <c r="BO363" t="s">
        <v>74</v>
      </c>
      <c r="BP363" t="s">
        <v>74</v>
      </c>
      <c r="BQ363" t="s">
        <v>74</v>
      </c>
      <c r="BR363" t="s">
        <v>106</v>
      </c>
      <c r="BS363" t="s">
        <v>7484</v>
      </c>
      <c r="BT363" t="str">
        <f>HYPERLINK("https%3A%2F%2Fwww.webofscience.com%2Fwos%2Fwoscc%2Ffull-record%2FWOS:000738970400001","View Full Record in Web of Science")</f>
        <v>View Full Record in Web of Science</v>
      </c>
    </row>
    <row r="364" spans="1:72" x14ac:dyDescent="0.15">
      <c r="A364" t="s">
        <v>72</v>
      </c>
      <c r="B364" t="s">
        <v>7485</v>
      </c>
      <c r="C364" t="s">
        <v>74</v>
      </c>
      <c r="D364" t="s">
        <v>74</v>
      </c>
      <c r="E364" t="s">
        <v>74</v>
      </c>
      <c r="F364" t="s">
        <v>7486</v>
      </c>
      <c r="G364" t="s">
        <v>74</v>
      </c>
      <c r="H364" t="s">
        <v>74</v>
      </c>
      <c r="I364" t="s">
        <v>7487</v>
      </c>
      <c r="J364" t="s">
        <v>7488</v>
      </c>
      <c r="K364" t="s">
        <v>74</v>
      </c>
      <c r="L364" t="s">
        <v>74</v>
      </c>
      <c r="M364" t="s">
        <v>78</v>
      </c>
      <c r="N364" t="s">
        <v>79</v>
      </c>
      <c r="O364" t="s">
        <v>74</v>
      </c>
      <c r="P364" t="s">
        <v>74</v>
      </c>
      <c r="Q364" t="s">
        <v>74</v>
      </c>
      <c r="R364" t="s">
        <v>74</v>
      </c>
      <c r="S364" t="s">
        <v>74</v>
      </c>
      <c r="T364" t="s">
        <v>7489</v>
      </c>
      <c r="U364" t="s">
        <v>7490</v>
      </c>
      <c r="V364" t="s">
        <v>7491</v>
      </c>
      <c r="W364" t="s">
        <v>7492</v>
      </c>
      <c r="X364" t="s">
        <v>7493</v>
      </c>
      <c r="Y364" t="s">
        <v>7494</v>
      </c>
      <c r="Z364" t="s">
        <v>7495</v>
      </c>
      <c r="AA364" t="s">
        <v>74</v>
      </c>
      <c r="AB364" t="s">
        <v>7496</v>
      </c>
      <c r="AC364" t="s">
        <v>7497</v>
      </c>
      <c r="AD364" t="s">
        <v>7498</v>
      </c>
      <c r="AE364" t="s">
        <v>7499</v>
      </c>
      <c r="AF364" t="s">
        <v>74</v>
      </c>
      <c r="AG364">
        <v>38</v>
      </c>
      <c r="AH364">
        <v>2</v>
      </c>
      <c r="AI364">
        <v>3</v>
      </c>
      <c r="AJ364">
        <v>1</v>
      </c>
      <c r="AK364">
        <v>8</v>
      </c>
      <c r="AL364" t="s">
        <v>171</v>
      </c>
      <c r="AM364" t="s">
        <v>172</v>
      </c>
      <c r="AN364" t="s">
        <v>173</v>
      </c>
      <c r="AO364" t="s">
        <v>7500</v>
      </c>
      <c r="AP364" t="s">
        <v>7501</v>
      </c>
      <c r="AQ364" t="s">
        <v>74</v>
      </c>
      <c r="AR364" t="s">
        <v>7502</v>
      </c>
      <c r="AS364" t="s">
        <v>7503</v>
      </c>
      <c r="AT364" t="s">
        <v>99</v>
      </c>
      <c r="AU364">
        <v>2022</v>
      </c>
      <c r="AV364">
        <v>31</v>
      </c>
      <c r="AW364">
        <v>3</v>
      </c>
      <c r="AX364" t="s">
        <v>74</v>
      </c>
      <c r="AY364" t="s">
        <v>74</v>
      </c>
      <c r="AZ364" t="s">
        <v>74</v>
      </c>
      <c r="BA364" t="s">
        <v>74</v>
      </c>
      <c r="BB364">
        <v>677</v>
      </c>
      <c r="BC364">
        <v>687</v>
      </c>
      <c r="BD364" t="s">
        <v>74</v>
      </c>
      <c r="BE364" t="s">
        <v>7504</v>
      </c>
      <c r="BF364" t="str">
        <f>HYPERLINK("http://dx.doi.org/10.1002/pro.4264","http://dx.doi.org/10.1002/pro.4264")</f>
        <v>http://dx.doi.org/10.1002/pro.4264</v>
      </c>
      <c r="BG364" t="s">
        <v>74</v>
      </c>
      <c r="BH364" t="s">
        <v>4536</v>
      </c>
      <c r="BI364">
        <v>11</v>
      </c>
      <c r="BJ364" t="s">
        <v>3041</v>
      </c>
      <c r="BK364" t="s">
        <v>103</v>
      </c>
      <c r="BL364" t="s">
        <v>3041</v>
      </c>
      <c r="BM364" t="s">
        <v>7505</v>
      </c>
      <c r="BN364">
        <v>34939242</v>
      </c>
      <c r="BO364" t="s">
        <v>1727</v>
      </c>
      <c r="BP364" t="s">
        <v>74</v>
      </c>
      <c r="BQ364" t="s">
        <v>74</v>
      </c>
      <c r="BR364" t="s">
        <v>106</v>
      </c>
      <c r="BS364" t="s">
        <v>7506</v>
      </c>
      <c r="BT364" t="str">
        <f>HYPERLINK("https%3A%2F%2Fwww.webofscience.com%2Fwos%2Fwoscc%2Ffull-record%2FWOS:000738698800001","View Full Record in Web of Science")</f>
        <v>View Full Record in Web of Science</v>
      </c>
    </row>
    <row r="365" spans="1:72" x14ac:dyDescent="0.15">
      <c r="A365" t="s">
        <v>72</v>
      </c>
      <c r="B365" t="s">
        <v>7507</v>
      </c>
      <c r="C365" t="s">
        <v>74</v>
      </c>
      <c r="D365" t="s">
        <v>74</v>
      </c>
      <c r="E365" t="s">
        <v>74</v>
      </c>
      <c r="F365" t="s">
        <v>7508</v>
      </c>
      <c r="G365" t="s">
        <v>74</v>
      </c>
      <c r="H365" t="s">
        <v>74</v>
      </c>
      <c r="I365" t="s">
        <v>7509</v>
      </c>
      <c r="J365" t="s">
        <v>4683</v>
      </c>
      <c r="K365" t="s">
        <v>74</v>
      </c>
      <c r="L365" t="s">
        <v>74</v>
      </c>
      <c r="M365" t="s">
        <v>78</v>
      </c>
      <c r="N365" t="s">
        <v>79</v>
      </c>
      <c r="O365" t="s">
        <v>74</v>
      </c>
      <c r="P365" t="s">
        <v>74</v>
      </c>
      <c r="Q365" t="s">
        <v>74</v>
      </c>
      <c r="R365" t="s">
        <v>74</v>
      </c>
      <c r="S365" t="s">
        <v>74</v>
      </c>
      <c r="T365" t="s">
        <v>7510</v>
      </c>
      <c r="U365" t="s">
        <v>7511</v>
      </c>
      <c r="V365" t="s">
        <v>7512</v>
      </c>
      <c r="W365" t="s">
        <v>7513</v>
      </c>
      <c r="X365" t="s">
        <v>7514</v>
      </c>
      <c r="Y365" t="s">
        <v>7515</v>
      </c>
      <c r="Z365" t="s">
        <v>7516</v>
      </c>
      <c r="AA365" t="s">
        <v>74</v>
      </c>
      <c r="AB365" t="s">
        <v>7517</v>
      </c>
      <c r="AC365" t="s">
        <v>7518</v>
      </c>
      <c r="AD365" t="s">
        <v>7519</v>
      </c>
      <c r="AE365" t="s">
        <v>7520</v>
      </c>
      <c r="AF365" t="s">
        <v>74</v>
      </c>
      <c r="AG365">
        <v>48</v>
      </c>
      <c r="AH365">
        <v>5</v>
      </c>
      <c r="AI365">
        <v>5</v>
      </c>
      <c r="AJ365">
        <v>4</v>
      </c>
      <c r="AK365">
        <v>51</v>
      </c>
      <c r="AL365" t="s">
        <v>310</v>
      </c>
      <c r="AM365" t="s">
        <v>311</v>
      </c>
      <c r="AN365" t="s">
        <v>312</v>
      </c>
      <c r="AO365" t="s">
        <v>4696</v>
      </c>
      <c r="AP365" t="s">
        <v>4697</v>
      </c>
      <c r="AQ365" t="s">
        <v>74</v>
      </c>
      <c r="AR365" t="s">
        <v>4698</v>
      </c>
      <c r="AS365" t="s">
        <v>4699</v>
      </c>
      <c r="AT365" t="s">
        <v>7521</v>
      </c>
      <c r="AU365">
        <v>2022</v>
      </c>
      <c r="AV365">
        <v>814</v>
      </c>
      <c r="AW365" t="s">
        <v>74</v>
      </c>
      <c r="AX365" t="s">
        <v>74</v>
      </c>
      <c r="AY365" t="s">
        <v>74</v>
      </c>
      <c r="AZ365" t="s">
        <v>74</v>
      </c>
      <c r="BA365" t="s">
        <v>74</v>
      </c>
      <c r="BB365" t="s">
        <v>74</v>
      </c>
      <c r="BC365" t="s">
        <v>74</v>
      </c>
      <c r="BD365">
        <v>152692</v>
      </c>
      <c r="BE365" t="s">
        <v>7522</v>
      </c>
      <c r="BF365" t="str">
        <f>HYPERLINK("http://dx.doi.org/10.1016/j.scitotenv.2021.152692","http://dx.doi.org/10.1016/j.scitotenv.2021.152692")</f>
        <v>http://dx.doi.org/10.1016/j.scitotenv.2021.152692</v>
      </c>
      <c r="BG365" t="s">
        <v>74</v>
      </c>
      <c r="BH365" t="s">
        <v>4536</v>
      </c>
      <c r="BI365">
        <v>8</v>
      </c>
      <c r="BJ365" t="s">
        <v>1560</v>
      </c>
      <c r="BK365" t="s">
        <v>103</v>
      </c>
      <c r="BL365" t="s">
        <v>1561</v>
      </c>
      <c r="BM365" t="s">
        <v>7523</v>
      </c>
      <c r="BN365">
        <v>34974023</v>
      </c>
      <c r="BO365" t="s">
        <v>948</v>
      </c>
      <c r="BP365" t="s">
        <v>74</v>
      </c>
      <c r="BQ365" t="s">
        <v>74</v>
      </c>
      <c r="BR365" t="s">
        <v>106</v>
      </c>
      <c r="BS365" t="s">
        <v>7524</v>
      </c>
      <c r="BT365" t="str">
        <f>HYPERLINK("https%3A%2F%2Fwww.webofscience.com%2Fwos%2Fwoscc%2Ffull-record%2FWOS:000743212500006","View Full Record in Web of Science")</f>
        <v>View Full Record in Web of Science</v>
      </c>
    </row>
    <row r="366" spans="1:72" x14ac:dyDescent="0.15">
      <c r="A366" t="s">
        <v>72</v>
      </c>
      <c r="B366" t="s">
        <v>7525</v>
      </c>
      <c r="C366" t="s">
        <v>74</v>
      </c>
      <c r="D366" t="s">
        <v>74</v>
      </c>
      <c r="E366" t="s">
        <v>74</v>
      </c>
      <c r="F366" t="s">
        <v>7526</v>
      </c>
      <c r="G366" t="s">
        <v>74</v>
      </c>
      <c r="H366" t="s">
        <v>74</v>
      </c>
      <c r="I366" t="s">
        <v>7527</v>
      </c>
      <c r="J366" t="s">
        <v>7528</v>
      </c>
      <c r="K366" t="s">
        <v>74</v>
      </c>
      <c r="L366" t="s">
        <v>74</v>
      </c>
      <c r="M366" t="s">
        <v>78</v>
      </c>
      <c r="N366" t="s">
        <v>79</v>
      </c>
      <c r="O366" t="s">
        <v>74</v>
      </c>
      <c r="P366" t="s">
        <v>74</v>
      </c>
      <c r="Q366" t="s">
        <v>74</v>
      </c>
      <c r="R366" t="s">
        <v>74</v>
      </c>
      <c r="S366" t="s">
        <v>74</v>
      </c>
      <c r="T366" t="s">
        <v>7529</v>
      </c>
      <c r="U366" t="s">
        <v>7530</v>
      </c>
      <c r="V366" t="s">
        <v>7531</v>
      </c>
      <c r="W366" t="s">
        <v>7532</v>
      </c>
      <c r="X366" t="s">
        <v>7533</v>
      </c>
      <c r="Y366" t="s">
        <v>7534</v>
      </c>
      <c r="Z366" t="s">
        <v>7535</v>
      </c>
      <c r="AA366" t="s">
        <v>7536</v>
      </c>
      <c r="AB366" t="s">
        <v>7537</v>
      </c>
      <c r="AC366" t="s">
        <v>7538</v>
      </c>
      <c r="AD366" t="s">
        <v>7539</v>
      </c>
      <c r="AE366" t="s">
        <v>7540</v>
      </c>
      <c r="AF366" t="s">
        <v>74</v>
      </c>
      <c r="AG366">
        <v>81</v>
      </c>
      <c r="AH366">
        <v>1</v>
      </c>
      <c r="AI366">
        <v>1</v>
      </c>
      <c r="AJ366">
        <v>0</v>
      </c>
      <c r="AK366">
        <v>5</v>
      </c>
      <c r="AL366" t="s">
        <v>814</v>
      </c>
      <c r="AM366" t="s">
        <v>93</v>
      </c>
      <c r="AN366" t="s">
        <v>815</v>
      </c>
      <c r="AO366" t="s">
        <v>7541</v>
      </c>
      <c r="AP366" t="s">
        <v>7542</v>
      </c>
      <c r="AQ366" t="s">
        <v>74</v>
      </c>
      <c r="AR366" t="s">
        <v>7543</v>
      </c>
      <c r="AS366" t="s">
        <v>7544</v>
      </c>
      <c r="AT366" t="s">
        <v>4645</v>
      </c>
      <c r="AU366">
        <v>2022</v>
      </c>
      <c r="AV366">
        <v>52</v>
      </c>
      <c r="AW366">
        <v>1</v>
      </c>
      <c r="AX366" t="s">
        <v>74</v>
      </c>
      <c r="AY366" t="s">
        <v>74</v>
      </c>
      <c r="AZ366" t="s">
        <v>74</v>
      </c>
      <c r="BA366" t="s">
        <v>74</v>
      </c>
      <c r="BB366">
        <v>1</v>
      </c>
      <c r="BC366">
        <v>12</v>
      </c>
      <c r="BD366" t="s">
        <v>74</v>
      </c>
      <c r="BE366" t="s">
        <v>7545</v>
      </c>
      <c r="BF366" t="str">
        <f>HYPERLINK("http://dx.doi.org/10.1016/j.ijpara.2021.06.004","http://dx.doi.org/10.1016/j.ijpara.2021.06.004")</f>
        <v>http://dx.doi.org/10.1016/j.ijpara.2021.06.004</v>
      </c>
      <c r="BG366" t="s">
        <v>74</v>
      </c>
      <c r="BH366" t="s">
        <v>4536</v>
      </c>
      <c r="BI366">
        <v>12</v>
      </c>
      <c r="BJ366" t="s">
        <v>7546</v>
      </c>
      <c r="BK366" t="s">
        <v>103</v>
      </c>
      <c r="BL366" t="s">
        <v>7546</v>
      </c>
      <c r="BM366" t="s">
        <v>7547</v>
      </c>
      <c r="BN366">
        <v>34391752</v>
      </c>
      <c r="BO366" t="s">
        <v>640</v>
      </c>
      <c r="BP366" t="s">
        <v>74</v>
      </c>
      <c r="BQ366" t="s">
        <v>74</v>
      </c>
      <c r="BR366" t="s">
        <v>106</v>
      </c>
      <c r="BS366" t="s">
        <v>7548</v>
      </c>
      <c r="BT366" t="str">
        <f>HYPERLINK("https%3A%2F%2Fwww.webofscience.com%2Fwos%2Fwoscc%2Ffull-record%2FWOS:000740766900001","View Full Record in Web of Science")</f>
        <v>View Full Record in Web of Science</v>
      </c>
    </row>
    <row r="367" spans="1:72" x14ac:dyDescent="0.15">
      <c r="A367" t="s">
        <v>72</v>
      </c>
      <c r="B367" t="s">
        <v>7549</v>
      </c>
      <c r="C367" t="s">
        <v>74</v>
      </c>
      <c r="D367" t="s">
        <v>74</v>
      </c>
      <c r="E367" t="s">
        <v>74</v>
      </c>
      <c r="F367" t="s">
        <v>7550</v>
      </c>
      <c r="G367" t="s">
        <v>74</v>
      </c>
      <c r="H367" t="s">
        <v>74</v>
      </c>
      <c r="I367" t="s">
        <v>7551</v>
      </c>
      <c r="J367" t="s">
        <v>7552</v>
      </c>
      <c r="K367" t="s">
        <v>74</v>
      </c>
      <c r="L367" t="s">
        <v>74</v>
      </c>
      <c r="M367" t="s">
        <v>78</v>
      </c>
      <c r="N367" t="s">
        <v>79</v>
      </c>
      <c r="O367" t="s">
        <v>74</v>
      </c>
      <c r="P367" t="s">
        <v>74</v>
      </c>
      <c r="Q367" t="s">
        <v>74</v>
      </c>
      <c r="R367" t="s">
        <v>74</v>
      </c>
      <c r="S367" t="s">
        <v>74</v>
      </c>
      <c r="T367" t="s">
        <v>7553</v>
      </c>
      <c r="U367" t="s">
        <v>7554</v>
      </c>
      <c r="V367" t="s">
        <v>7555</v>
      </c>
      <c r="W367" t="s">
        <v>7556</v>
      </c>
      <c r="X367" t="s">
        <v>74</v>
      </c>
      <c r="Y367" t="s">
        <v>7557</v>
      </c>
      <c r="Z367" t="s">
        <v>7558</v>
      </c>
      <c r="AA367" t="s">
        <v>7559</v>
      </c>
      <c r="AB367" t="s">
        <v>7560</v>
      </c>
      <c r="AC367" t="s">
        <v>7561</v>
      </c>
      <c r="AD367" t="s">
        <v>7562</v>
      </c>
      <c r="AE367" t="s">
        <v>7563</v>
      </c>
      <c r="AF367" t="s">
        <v>74</v>
      </c>
      <c r="AG367">
        <v>76</v>
      </c>
      <c r="AH367">
        <v>6</v>
      </c>
      <c r="AI367">
        <v>6</v>
      </c>
      <c r="AJ367">
        <v>0</v>
      </c>
      <c r="AK367">
        <v>8</v>
      </c>
      <c r="AL367" t="s">
        <v>171</v>
      </c>
      <c r="AM367" t="s">
        <v>172</v>
      </c>
      <c r="AN367" t="s">
        <v>173</v>
      </c>
      <c r="AO367" t="s">
        <v>7564</v>
      </c>
      <c r="AP367" t="s">
        <v>7565</v>
      </c>
      <c r="AQ367" t="s">
        <v>74</v>
      </c>
      <c r="AR367" t="s">
        <v>7566</v>
      </c>
      <c r="AS367" t="s">
        <v>7567</v>
      </c>
      <c r="AT367" t="s">
        <v>99</v>
      </c>
      <c r="AU367">
        <v>2022</v>
      </c>
      <c r="AV367">
        <v>69</v>
      </c>
      <c r="AW367">
        <v>2</v>
      </c>
      <c r="AX367" t="s">
        <v>74</v>
      </c>
      <c r="AY367" t="s">
        <v>74</v>
      </c>
      <c r="AZ367" t="s">
        <v>74</v>
      </c>
      <c r="BA367" t="s">
        <v>74</v>
      </c>
      <c r="BB367" t="s">
        <v>74</v>
      </c>
      <c r="BC367" t="s">
        <v>74</v>
      </c>
      <c r="BD367" t="s">
        <v>7568</v>
      </c>
      <c r="BE367" t="s">
        <v>7569</v>
      </c>
      <c r="BF367" t="str">
        <f>HYPERLINK("http://dx.doi.org/10.1111/jeu.12877","http://dx.doi.org/10.1111/jeu.12877")</f>
        <v>http://dx.doi.org/10.1111/jeu.12877</v>
      </c>
      <c r="BG367" t="s">
        <v>74</v>
      </c>
      <c r="BH367" t="s">
        <v>4536</v>
      </c>
      <c r="BI367">
        <v>36</v>
      </c>
      <c r="BJ367" t="s">
        <v>747</v>
      </c>
      <c r="BK367" t="s">
        <v>103</v>
      </c>
      <c r="BL367" t="s">
        <v>747</v>
      </c>
      <c r="BM367" t="s">
        <v>7570</v>
      </c>
      <c r="BN367">
        <v>34850491</v>
      </c>
      <c r="BO367" t="s">
        <v>948</v>
      </c>
      <c r="BP367" t="s">
        <v>74</v>
      </c>
      <c r="BQ367" t="s">
        <v>74</v>
      </c>
      <c r="BR367" t="s">
        <v>106</v>
      </c>
      <c r="BS367" t="s">
        <v>7571</v>
      </c>
      <c r="BT367" t="str">
        <f>HYPERLINK("https%3A%2F%2Fwww.webofscience.com%2Fwos%2Fwoscc%2Ffull-record%2FWOS:000738614000001","View Full Record in Web of Science")</f>
        <v>View Full Record in Web of Science</v>
      </c>
    </row>
    <row r="368" spans="1:72" x14ac:dyDescent="0.15">
      <c r="A368" t="s">
        <v>72</v>
      </c>
      <c r="B368" t="s">
        <v>7572</v>
      </c>
      <c r="C368" t="s">
        <v>74</v>
      </c>
      <c r="D368" t="s">
        <v>74</v>
      </c>
      <c r="E368" t="s">
        <v>74</v>
      </c>
      <c r="F368" t="s">
        <v>7573</v>
      </c>
      <c r="G368" t="s">
        <v>74</v>
      </c>
      <c r="H368" t="s">
        <v>74</v>
      </c>
      <c r="I368" t="s">
        <v>7574</v>
      </c>
      <c r="J368" t="s">
        <v>7575</v>
      </c>
      <c r="K368" t="s">
        <v>74</v>
      </c>
      <c r="L368" t="s">
        <v>74</v>
      </c>
      <c r="M368" t="s">
        <v>78</v>
      </c>
      <c r="N368" t="s">
        <v>1113</v>
      </c>
      <c r="O368" t="s">
        <v>74</v>
      </c>
      <c r="P368" t="s">
        <v>74</v>
      </c>
      <c r="Q368" t="s">
        <v>74</v>
      </c>
      <c r="R368" t="s">
        <v>74</v>
      </c>
      <c r="S368" t="s">
        <v>74</v>
      </c>
      <c r="T368" t="s">
        <v>74</v>
      </c>
      <c r="U368" t="s">
        <v>7576</v>
      </c>
      <c r="V368" t="s">
        <v>7577</v>
      </c>
      <c r="W368" t="s">
        <v>7578</v>
      </c>
      <c r="X368" t="s">
        <v>7579</v>
      </c>
      <c r="Y368" t="s">
        <v>7580</v>
      </c>
      <c r="Z368" t="s">
        <v>7581</v>
      </c>
      <c r="AA368" t="s">
        <v>7582</v>
      </c>
      <c r="AB368" t="s">
        <v>7583</v>
      </c>
      <c r="AC368" t="s">
        <v>7584</v>
      </c>
      <c r="AD368" t="s">
        <v>7585</v>
      </c>
      <c r="AE368" t="s">
        <v>7586</v>
      </c>
      <c r="AF368" t="s">
        <v>74</v>
      </c>
      <c r="AG368">
        <v>257</v>
      </c>
      <c r="AH368">
        <v>53</v>
      </c>
      <c r="AI368">
        <v>58</v>
      </c>
      <c r="AJ368">
        <v>54</v>
      </c>
      <c r="AK368">
        <v>208</v>
      </c>
      <c r="AL368" t="s">
        <v>435</v>
      </c>
      <c r="AM368" t="s">
        <v>436</v>
      </c>
      <c r="AN368" t="s">
        <v>437</v>
      </c>
      <c r="AO368" t="s">
        <v>74</v>
      </c>
      <c r="AP368" t="s">
        <v>7587</v>
      </c>
      <c r="AQ368" t="s">
        <v>74</v>
      </c>
      <c r="AR368" t="s">
        <v>7588</v>
      </c>
      <c r="AS368" t="s">
        <v>7589</v>
      </c>
      <c r="AT368" t="s">
        <v>840</v>
      </c>
      <c r="AU368">
        <v>2022</v>
      </c>
      <c r="AV368">
        <v>3</v>
      </c>
      <c r="AW368">
        <v>2</v>
      </c>
      <c r="AX368" t="s">
        <v>74</v>
      </c>
      <c r="AY368" t="s">
        <v>74</v>
      </c>
      <c r="AZ368" t="s">
        <v>74</v>
      </c>
      <c r="BA368" t="s">
        <v>74</v>
      </c>
      <c r="BB368">
        <v>106</v>
      </c>
      <c r="BC368">
        <v>124</v>
      </c>
      <c r="BD368" t="s">
        <v>74</v>
      </c>
      <c r="BE368" t="s">
        <v>7590</v>
      </c>
      <c r="BF368" t="str">
        <f>HYPERLINK("http://dx.doi.org/10.1038/s43017-021-00246-9","http://dx.doi.org/10.1038/s43017-021-00246-9")</f>
        <v>http://dx.doi.org/10.1038/s43017-021-00246-9</v>
      </c>
      <c r="BG368" t="s">
        <v>74</v>
      </c>
      <c r="BH368" t="s">
        <v>4536</v>
      </c>
      <c r="BI368">
        <v>19</v>
      </c>
      <c r="BJ368" t="s">
        <v>7591</v>
      </c>
      <c r="BK368" t="s">
        <v>103</v>
      </c>
      <c r="BL368" t="s">
        <v>417</v>
      </c>
      <c r="BM368" t="s">
        <v>7592</v>
      </c>
      <c r="BN368" t="s">
        <v>74</v>
      </c>
      <c r="BO368" t="s">
        <v>4932</v>
      </c>
      <c r="BP368" t="s">
        <v>1286</v>
      </c>
      <c r="BQ368" t="s">
        <v>1287</v>
      </c>
      <c r="BR368" t="s">
        <v>106</v>
      </c>
      <c r="BS368" t="s">
        <v>7593</v>
      </c>
      <c r="BT368" t="str">
        <f>HYPERLINK("https%3A%2F%2Fwww.webofscience.com%2Fwos%2Fwoscc%2Ffull-record%2FWOS:000738426400001","View Full Record in Web of Science")</f>
        <v>View Full Record in Web of Science</v>
      </c>
    </row>
    <row r="369" spans="1:72" x14ac:dyDescent="0.15">
      <c r="A369" t="s">
        <v>72</v>
      </c>
      <c r="B369" t="s">
        <v>7594</v>
      </c>
      <c r="C369" t="s">
        <v>74</v>
      </c>
      <c r="D369" t="s">
        <v>74</v>
      </c>
      <c r="E369" t="s">
        <v>74</v>
      </c>
      <c r="F369" t="s">
        <v>7595</v>
      </c>
      <c r="G369" t="s">
        <v>74</v>
      </c>
      <c r="H369" t="s">
        <v>74</v>
      </c>
      <c r="I369" t="s">
        <v>7596</v>
      </c>
      <c r="J369" t="s">
        <v>7597</v>
      </c>
      <c r="K369" t="s">
        <v>74</v>
      </c>
      <c r="L369" t="s">
        <v>74</v>
      </c>
      <c r="M369" t="s">
        <v>78</v>
      </c>
      <c r="N369" t="s">
        <v>79</v>
      </c>
      <c r="O369" t="s">
        <v>74</v>
      </c>
      <c r="P369" t="s">
        <v>74</v>
      </c>
      <c r="Q369" t="s">
        <v>74</v>
      </c>
      <c r="R369" t="s">
        <v>74</v>
      </c>
      <c r="S369" t="s">
        <v>74</v>
      </c>
      <c r="T369" t="s">
        <v>7598</v>
      </c>
      <c r="U369" t="s">
        <v>7599</v>
      </c>
      <c r="V369" t="s">
        <v>7600</v>
      </c>
      <c r="W369" t="s">
        <v>7601</v>
      </c>
      <c r="X369" t="s">
        <v>7602</v>
      </c>
      <c r="Y369" t="s">
        <v>7603</v>
      </c>
      <c r="Z369" t="s">
        <v>7604</v>
      </c>
      <c r="AA369" t="s">
        <v>7605</v>
      </c>
      <c r="AB369" t="s">
        <v>74</v>
      </c>
      <c r="AC369" t="s">
        <v>74</v>
      </c>
      <c r="AD369" t="s">
        <v>74</v>
      </c>
      <c r="AE369" t="s">
        <v>74</v>
      </c>
      <c r="AF369" t="s">
        <v>74</v>
      </c>
      <c r="AG369">
        <v>84</v>
      </c>
      <c r="AH369">
        <v>12</v>
      </c>
      <c r="AI369">
        <v>12</v>
      </c>
      <c r="AJ369">
        <v>1</v>
      </c>
      <c r="AK369">
        <v>21</v>
      </c>
      <c r="AL369" t="s">
        <v>254</v>
      </c>
      <c r="AM369" t="s">
        <v>255</v>
      </c>
      <c r="AN369" t="s">
        <v>256</v>
      </c>
      <c r="AO369" t="s">
        <v>7606</v>
      </c>
      <c r="AP369" t="s">
        <v>7607</v>
      </c>
      <c r="AQ369" t="s">
        <v>74</v>
      </c>
      <c r="AR369" t="s">
        <v>7608</v>
      </c>
      <c r="AS369" t="s">
        <v>7609</v>
      </c>
      <c r="AT369" t="s">
        <v>99</v>
      </c>
      <c r="AU369">
        <v>2022</v>
      </c>
      <c r="AV369">
        <v>168</v>
      </c>
      <c r="AW369" t="s">
        <v>74</v>
      </c>
      <c r="AX369" t="s">
        <v>74</v>
      </c>
      <c r="AY369" t="s">
        <v>74</v>
      </c>
      <c r="AZ369" t="s">
        <v>74</v>
      </c>
      <c r="BA369" t="s">
        <v>74</v>
      </c>
      <c r="BB369" t="s">
        <v>74</v>
      </c>
      <c r="BC369" t="s">
        <v>74</v>
      </c>
      <c r="BD369">
        <v>107381</v>
      </c>
      <c r="BE369" t="s">
        <v>7610</v>
      </c>
      <c r="BF369" t="str">
        <f>HYPERLINK("http://dx.doi.org/10.1016/j.ympev.2021.107381","http://dx.doi.org/10.1016/j.ympev.2021.107381")</f>
        <v>http://dx.doi.org/10.1016/j.ympev.2021.107381</v>
      </c>
      <c r="BG369" t="s">
        <v>74</v>
      </c>
      <c r="BH369" t="s">
        <v>4536</v>
      </c>
      <c r="BI369">
        <v>10</v>
      </c>
      <c r="BJ369" t="s">
        <v>2369</v>
      </c>
      <c r="BK369" t="s">
        <v>103</v>
      </c>
      <c r="BL369" t="s">
        <v>2369</v>
      </c>
      <c r="BM369" t="s">
        <v>7611</v>
      </c>
      <c r="BN369">
        <v>34968679</v>
      </c>
      <c r="BO369" t="s">
        <v>74</v>
      </c>
      <c r="BP369" t="s">
        <v>74</v>
      </c>
      <c r="BQ369" t="s">
        <v>74</v>
      </c>
      <c r="BR369" t="s">
        <v>106</v>
      </c>
      <c r="BS369" t="s">
        <v>7612</v>
      </c>
      <c r="BT369" t="str">
        <f>HYPERLINK("https%3A%2F%2Fwww.webofscience.com%2Fwos%2Fwoscc%2Ffull-record%2FWOS:000806703900004","View Full Record in Web of Science")</f>
        <v>View Full Record in Web of Science</v>
      </c>
    </row>
    <row r="370" spans="1:72" x14ac:dyDescent="0.15">
      <c r="A370" t="s">
        <v>72</v>
      </c>
      <c r="B370" t="s">
        <v>7613</v>
      </c>
      <c r="C370" t="s">
        <v>74</v>
      </c>
      <c r="D370" t="s">
        <v>74</v>
      </c>
      <c r="E370" t="s">
        <v>74</v>
      </c>
      <c r="F370" t="s">
        <v>7614</v>
      </c>
      <c r="G370" t="s">
        <v>74</v>
      </c>
      <c r="H370" t="s">
        <v>74</v>
      </c>
      <c r="I370" t="s">
        <v>7615</v>
      </c>
      <c r="J370" t="s">
        <v>2878</v>
      </c>
      <c r="K370" t="s">
        <v>74</v>
      </c>
      <c r="L370" t="s">
        <v>74</v>
      </c>
      <c r="M370" t="s">
        <v>78</v>
      </c>
      <c r="N370" t="s">
        <v>79</v>
      </c>
      <c r="O370" t="s">
        <v>74</v>
      </c>
      <c r="P370" t="s">
        <v>74</v>
      </c>
      <c r="Q370" t="s">
        <v>74</v>
      </c>
      <c r="R370" t="s">
        <v>74</v>
      </c>
      <c r="S370" t="s">
        <v>74</v>
      </c>
      <c r="T370" t="s">
        <v>7616</v>
      </c>
      <c r="U370" t="s">
        <v>74</v>
      </c>
      <c r="V370" t="s">
        <v>7617</v>
      </c>
      <c r="W370" t="s">
        <v>7618</v>
      </c>
      <c r="X370" t="s">
        <v>7619</v>
      </c>
      <c r="Y370" t="s">
        <v>7620</v>
      </c>
      <c r="Z370" t="s">
        <v>7621</v>
      </c>
      <c r="AA370" t="s">
        <v>7622</v>
      </c>
      <c r="AB370" t="s">
        <v>7623</v>
      </c>
      <c r="AC370" t="s">
        <v>7624</v>
      </c>
      <c r="AD370" t="s">
        <v>7625</v>
      </c>
      <c r="AE370" t="s">
        <v>7626</v>
      </c>
      <c r="AF370" t="s">
        <v>74</v>
      </c>
      <c r="AG370">
        <v>22</v>
      </c>
      <c r="AH370">
        <v>6</v>
      </c>
      <c r="AI370">
        <v>6</v>
      </c>
      <c r="AJ370">
        <v>0</v>
      </c>
      <c r="AK370">
        <v>3</v>
      </c>
      <c r="AL370" t="s">
        <v>310</v>
      </c>
      <c r="AM370" t="s">
        <v>311</v>
      </c>
      <c r="AN370" t="s">
        <v>312</v>
      </c>
      <c r="AO370" t="s">
        <v>2891</v>
      </c>
      <c r="AP370" t="s">
        <v>2892</v>
      </c>
      <c r="AQ370" t="s">
        <v>74</v>
      </c>
      <c r="AR370" t="s">
        <v>2893</v>
      </c>
      <c r="AS370" t="s">
        <v>2894</v>
      </c>
      <c r="AT370" t="s">
        <v>840</v>
      </c>
      <c r="AU370">
        <v>2022</v>
      </c>
      <c r="AV370">
        <v>61</v>
      </c>
      <c r="AW370" t="s">
        <v>74</v>
      </c>
      <c r="AX370" t="s">
        <v>74</v>
      </c>
      <c r="AY370" t="s">
        <v>74</v>
      </c>
      <c r="AZ370" t="s">
        <v>74</v>
      </c>
      <c r="BA370" t="s">
        <v>74</v>
      </c>
      <c r="BB370" t="s">
        <v>74</v>
      </c>
      <c r="BC370" t="s">
        <v>74</v>
      </c>
      <c r="BD370">
        <v>100922</v>
      </c>
      <c r="BE370" t="s">
        <v>7627</v>
      </c>
      <c r="BF370" t="str">
        <f>HYPERLINK("http://dx.doi.org/10.1016/j.margen.2021.100922","http://dx.doi.org/10.1016/j.margen.2021.100922")</f>
        <v>http://dx.doi.org/10.1016/j.margen.2021.100922</v>
      </c>
      <c r="BG370" t="s">
        <v>74</v>
      </c>
      <c r="BH370" t="s">
        <v>4536</v>
      </c>
      <c r="BI370">
        <v>5</v>
      </c>
      <c r="BJ370" t="s">
        <v>2896</v>
      </c>
      <c r="BK370" t="s">
        <v>103</v>
      </c>
      <c r="BL370" t="s">
        <v>2896</v>
      </c>
      <c r="BM370" t="s">
        <v>2897</v>
      </c>
      <c r="BN370">
        <v>35058036</v>
      </c>
      <c r="BO370" t="s">
        <v>640</v>
      </c>
      <c r="BP370" t="s">
        <v>74</v>
      </c>
      <c r="BQ370" t="s">
        <v>74</v>
      </c>
      <c r="BR370" t="s">
        <v>106</v>
      </c>
      <c r="BS370" t="s">
        <v>7628</v>
      </c>
      <c r="BT370" t="str">
        <f>HYPERLINK("https%3A%2F%2Fwww.webofscience.com%2Fwos%2Fwoscc%2Ffull-record%2FWOS:000783182200002","View Full Record in Web of Science")</f>
        <v>View Full Record in Web of Science</v>
      </c>
    </row>
    <row r="371" spans="1:72" x14ac:dyDescent="0.15">
      <c r="A371" t="s">
        <v>72</v>
      </c>
      <c r="B371" t="s">
        <v>7629</v>
      </c>
      <c r="C371" t="s">
        <v>74</v>
      </c>
      <c r="D371" t="s">
        <v>74</v>
      </c>
      <c r="E371" t="s">
        <v>74</v>
      </c>
      <c r="F371" t="s">
        <v>7630</v>
      </c>
      <c r="G371" t="s">
        <v>74</v>
      </c>
      <c r="H371" t="s">
        <v>74</v>
      </c>
      <c r="I371" t="s">
        <v>7631</v>
      </c>
      <c r="J371" t="s">
        <v>351</v>
      </c>
      <c r="K371" t="s">
        <v>74</v>
      </c>
      <c r="L371" t="s">
        <v>74</v>
      </c>
      <c r="M371" t="s">
        <v>78</v>
      </c>
      <c r="N371" t="s">
        <v>79</v>
      </c>
      <c r="O371" t="s">
        <v>74</v>
      </c>
      <c r="P371" t="s">
        <v>74</v>
      </c>
      <c r="Q371" t="s">
        <v>74</v>
      </c>
      <c r="R371" t="s">
        <v>74</v>
      </c>
      <c r="S371" t="s">
        <v>74</v>
      </c>
      <c r="T371" t="s">
        <v>7632</v>
      </c>
      <c r="U371" t="s">
        <v>7633</v>
      </c>
      <c r="V371" t="s">
        <v>7634</v>
      </c>
      <c r="W371" t="s">
        <v>7635</v>
      </c>
      <c r="X371" t="s">
        <v>7636</v>
      </c>
      <c r="Y371" t="s">
        <v>7637</v>
      </c>
      <c r="Z371" t="s">
        <v>7638</v>
      </c>
      <c r="AA371" t="s">
        <v>7639</v>
      </c>
      <c r="AB371" t="s">
        <v>7640</v>
      </c>
      <c r="AC371" t="s">
        <v>74</v>
      </c>
      <c r="AD371" t="s">
        <v>74</v>
      </c>
      <c r="AE371" t="s">
        <v>74</v>
      </c>
      <c r="AF371" t="s">
        <v>74</v>
      </c>
      <c r="AG371">
        <v>156</v>
      </c>
      <c r="AH371">
        <v>9</v>
      </c>
      <c r="AI371">
        <v>10</v>
      </c>
      <c r="AJ371">
        <v>4</v>
      </c>
      <c r="AK371">
        <v>17</v>
      </c>
      <c r="AL371" t="s">
        <v>363</v>
      </c>
      <c r="AM371" t="s">
        <v>364</v>
      </c>
      <c r="AN371" t="s">
        <v>365</v>
      </c>
      <c r="AO371" t="s">
        <v>74</v>
      </c>
      <c r="AP371" t="s">
        <v>366</v>
      </c>
      <c r="AQ371" t="s">
        <v>74</v>
      </c>
      <c r="AR371" t="s">
        <v>367</v>
      </c>
      <c r="AS371" t="s">
        <v>368</v>
      </c>
      <c r="AT371" t="s">
        <v>7641</v>
      </c>
      <c r="AU371">
        <v>2022</v>
      </c>
      <c r="AV371">
        <v>8</v>
      </c>
      <c r="AW371" t="s">
        <v>74</v>
      </c>
      <c r="AX371" t="s">
        <v>74</v>
      </c>
      <c r="AY371" t="s">
        <v>74</v>
      </c>
      <c r="AZ371" t="s">
        <v>74</v>
      </c>
      <c r="BA371" t="s">
        <v>74</v>
      </c>
      <c r="BB371" t="s">
        <v>74</v>
      </c>
      <c r="BC371" t="s">
        <v>74</v>
      </c>
      <c r="BD371">
        <v>796488</v>
      </c>
      <c r="BE371" t="s">
        <v>7642</v>
      </c>
      <c r="BF371" t="str">
        <f>HYPERLINK("http://dx.doi.org/10.3389/fmars.2021.796488","http://dx.doi.org/10.3389/fmars.2021.796488")</f>
        <v>http://dx.doi.org/10.3389/fmars.2021.796488</v>
      </c>
      <c r="BG371" t="s">
        <v>74</v>
      </c>
      <c r="BH371" t="s">
        <v>74</v>
      </c>
      <c r="BI371">
        <v>18</v>
      </c>
      <c r="BJ371" t="s">
        <v>102</v>
      </c>
      <c r="BK371" t="s">
        <v>103</v>
      </c>
      <c r="BL371" t="s">
        <v>104</v>
      </c>
      <c r="BM371" t="s">
        <v>7643</v>
      </c>
      <c r="BN371" t="s">
        <v>74</v>
      </c>
      <c r="BO371" t="s">
        <v>445</v>
      </c>
      <c r="BP371" t="s">
        <v>74</v>
      </c>
      <c r="BQ371" t="s">
        <v>74</v>
      </c>
      <c r="BR371" t="s">
        <v>106</v>
      </c>
      <c r="BS371" t="s">
        <v>7644</v>
      </c>
      <c r="BT371" t="str">
        <f>HYPERLINK("https%3A%2F%2Fwww.webofscience.com%2Fwos%2Fwoscc%2Ffull-record%2FWOS:000745159400001","View Full Record in Web of Science")</f>
        <v>View Full Record in Web of Science</v>
      </c>
    </row>
    <row r="372" spans="1:72" x14ac:dyDescent="0.15">
      <c r="A372" t="s">
        <v>72</v>
      </c>
      <c r="B372" t="s">
        <v>7645</v>
      </c>
      <c r="C372" t="s">
        <v>74</v>
      </c>
      <c r="D372" t="s">
        <v>74</v>
      </c>
      <c r="E372" t="s">
        <v>74</v>
      </c>
      <c r="F372" t="s">
        <v>7646</v>
      </c>
      <c r="G372" t="s">
        <v>74</v>
      </c>
      <c r="H372" t="s">
        <v>74</v>
      </c>
      <c r="I372" t="s">
        <v>7647</v>
      </c>
      <c r="J372" t="s">
        <v>1063</v>
      </c>
      <c r="K372" t="s">
        <v>74</v>
      </c>
      <c r="L372" t="s">
        <v>74</v>
      </c>
      <c r="M372" t="s">
        <v>78</v>
      </c>
      <c r="N372" t="s">
        <v>79</v>
      </c>
      <c r="O372" t="s">
        <v>74</v>
      </c>
      <c r="P372" t="s">
        <v>74</v>
      </c>
      <c r="Q372" t="s">
        <v>74</v>
      </c>
      <c r="R372" t="s">
        <v>74</v>
      </c>
      <c r="S372" t="s">
        <v>74</v>
      </c>
      <c r="T372" t="s">
        <v>7648</v>
      </c>
      <c r="U372" t="s">
        <v>7649</v>
      </c>
      <c r="V372" t="s">
        <v>7650</v>
      </c>
      <c r="W372" t="s">
        <v>7651</v>
      </c>
      <c r="X372" t="s">
        <v>7652</v>
      </c>
      <c r="Y372" t="s">
        <v>7653</v>
      </c>
      <c r="Z372" t="s">
        <v>4814</v>
      </c>
      <c r="AA372" t="s">
        <v>7654</v>
      </c>
      <c r="AB372" t="s">
        <v>7655</v>
      </c>
      <c r="AC372" t="s">
        <v>7656</v>
      </c>
      <c r="AD372" t="s">
        <v>7657</v>
      </c>
      <c r="AE372" t="s">
        <v>7658</v>
      </c>
      <c r="AF372" t="s">
        <v>74</v>
      </c>
      <c r="AG372">
        <v>48</v>
      </c>
      <c r="AH372">
        <v>2</v>
      </c>
      <c r="AI372">
        <v>2</v>
      </c>
      <c r="AJ372">
        <v>5</v>
      </c>
      <c r="AK372">
        <v>16</v>
      </c>
      <c r="AL372" t="s">
        <v>1074</v>
      </c>
      <c r="AM372" t="s">
        <v>506</v>
      </c>
      <c r="AN372" t="s">
        <v>1075</v>
      </c>
      <c r="AO372" t="s">
        <v>1076</v>
      </c>
      <c r="AP372" t="s">
        <v>1077</v>
      </c>
      <c r="AQ372" t="s">
        <v>74</v>
      </c>
      <c r="AR372" t="s">
        <v>1078</v>
      </c>
      <c r="AS372" t="s">
        <v>1079</v>
      </c>
      <c r="AT372" t="s">
        <v>99</v>
      </c>
      <c r="AU372">
        <v>2022</v>
      </c>
      <c r="AV372">
        <v>45</v>
      </c>
      <c r="AW372">
        <v>3</v>
      </c>
      <c r="AX372" t="s">
        <v>74</v>
      </c>
      <c r="AY372" t="s">
        <v>74</v>
      </c>
      <c r="AZ372" t="s">
        <v>74</v>
      </c>
      <c r="BA372" t="s">
        <v>74</v>
      </c>
      <c r="BB372">
        <v>427</v>
      </c>
      <c r="BC372">
        <v>436</v>
      </c>
      <c r="BD372" t="s">
        <v>74</v>
      </c>
      <c r="BE372" t="s">
        <v>7659</v>
      </c>
      <c r="BF372" t="str">
        <f>HYPERLINK("http://dx.doi.org/10.1007/s00300-021-03002-3","http://dx.doi.org/10.1007/s00300-021-03002-3")</f>
        <v>http://dx.doi.org/10.1007/s00300-021-03002-3</v>
      </c>
      <c r="BG372" t="s">
        <v>74</v>
      </c>
      <c r="BH372" t="s">
        <v>4536</v>
      </c>
      <c r="BI372">
        <v>10</v>
      </c>
      <c r="BJ372" t="s">
        <v>1081</v>
      </c>
      <c r="BK372" t="s">
        <v>103</v>
      </c>
      <c r="BL372" t="s">
        <v>1082</v>
      </c>
      <c r="BM372" t="s">
        <v>4273</v>
      </c>
      <c r="BN372" t="s">
        <v>74</v>
      </c>
      <c r="BO372" t="s">
        <v>74</v>
      </c>
      <c r="BP372" t="s">
        <v>74</v>
      </c>
      <c r="BQ372" t="s">
        <v>74</v>
      </c>
      <c r="BR372" t="s">
        <v>106</v>
      </c>
      <c r="BS372" t="s">
        <v>7660</v>
      </c>
      <c r="BT372" t="str">
        <f>HYPERLINK("https%3A%2F%2Fwww.webofscience.com%2Fwos%2Fwoscc%2Ffull-record%2FWOS:000737737200001","View Full Record in Web of Science")</f>
        <v>View Full Record in Web of Science</v>
      </c>
    </row>
    <row r="373" spans="1:72" x14ac:dyDescent="0.15">
      <c r="A373" t="s">
        <v>72</v>
      </c>
      <c r="B373" t="s">
        <v>7661</v>
      </c>
      <c r="C373" t="s">
        <v>74</v>
      </c>
      <c r="D373" t="s">
        <v>74</v>
      </c>
      <c r="E373" t="s">
        <v>74</v>
      </c>
      <c r="F373" t="s">
        <v>7662</v>
      </c>
      <c r="G373" t="s">
        <v>74</v>
      </c>
      <c r="H373" t="s">
        <v>74</v>
      </c>
      <c r="I373" t="s">
        <v>7663</v>
      </c>
      <c r="J373" t="s">
        <v>7664</v>
      </c>
      <c r="K373" t="s">
        <v>74</v>
      </c>
      <c r="L373" t="s">
        <v>74</v>
      </c>
      <c r="M373" t="s">
        <v>78</v>
      </c>
      <c r="N373" t="s">
        <v>79</v>
      </c>
      <c r="O373" t="s">
        <v>74</v>
      </c>
      <c r="P373" t="s">
        <v>74</v>
      </c>
      <c r="Q373" t="s">
        <v>74</v>
      </c>
      <c r="R373" t="s">
        <v>74</v>
      </c>
      <c r="S373" t="s">
        <v>74</v>
      </c>
      <c r="T373" t="s">
        <v>7665</v>
      </c>
      <c r="U373" t="s">
        <v>7666</v>
      </c>
      <c r="V373" t="s">
        <v>7667</v>
      </c>
      <c r="W373" t="s">
        <v>7668</v>
      </c>
      <c r="X373" t="s">
        <v>7669</v>
      </c>
      <c r="Y373" t="s">
        <v>7670</v>
      </c>
      <c r="Z373" t="s">
        <v>7671</v>
      </c>
      <c r="AA373" t="s">
        <v>7672</v>
      </c>
      <c r="AB373" t="s">
        <v>7673</v>
      </c>
      <c r="AC373" t="s">
        <v>7674</v>
      </c>
      <c r="AD373" t="s">
        <v>7675</v>
      </c>
      <c r="AE373" t="s">
        <v>7676</v>
      </c>
      <c r="AF373" t="s">
        <v>74</v>
      </c>
      <c r="AG373">
        <v>43</v>
      </c>
      <c r="AH373">
        <v>9</v>
      </c>
      <c r="AI373">
        <v>9</v>
      </c>
      <c r="AJ373">
        <v>0</v>
      </c>
      <c r="AK373">
        <v>4</v>
      </c>
      <c r="AL373" t="s">
        <v>254</v>
      </c>
      <c r="AM373" t="s">
        <v>255</v>
      </c>
      <c r="AN373" t="s">
        <v>256</v>
      </c>
      <c r="AO373" t="s">
        <v>7677</v>
      </c>
      <c r="AP373" t="s">
        <v>7678</v>
      </c>
      <c r="AQ373" t="s">
        <v>74</v>
      </c>
      <c r="AR373" t="s">
        <v>7664</v>
      </c>
      <c r="AS373" t="s">
        <v>7679</v>
      </c>
      <c r="AT373" t="s">
        <v>7680</v>
      </c>
      <c r="AU373">
        <v>2022</v>
      </c>
      <c r="AV373">
        <v>565</v>
      </c>
      <c r="AW373" t="s">
        <v>74</v>
      </c>
      <c r="AX373" t="s">
        <v>74</v>
      </c>
      <c r="AY373" t="s">
        <v>74</v>
      </c>
      <c r="AZ373" t="s">
        <v>74</v>
      </c>
      <c r="BA373" t="s">
        <v>74</v>
      </c>
      <c r="BB373">
        <v>65</v>
      </c>
      <c r="BC373">
        <v>72</v>
      </c>
      <c r="BD373" t="s">
        <v>74</v>
      </c>
      <c r="BE373" t="s">
        <v>7681</v>
      </c>
      <c r="BF373" t="str">
        <f>HYPERLINK("http://dx.doi.org/10.1016/j.virol.2021.10.007","http://dx.doi.org/10.1016/j.virol.2021.10.007")</f>
        <v>http://dx.doi.org/10.1016/j.virol.2021.10.007</v>
      </c>
      <c r="BG373" t="s">
        <v>74</v>
      </c>
      <c r="BH373" t="s">
        <v>74</v>
      </c>
      <c r="BI373">
        <v>8</v>
      </c>
      <c r="BJ373" t="s">
        <v>7679</v>
      </c>
      <c r="BK373" t="s">
        <v>103</v>
      </c>
      <c r="BL373" t="s">
        <v>7679</v>
      </c>
      <c r="BM373" t="s">
        <v>7682</v>
      </c>
      <c r="BN373">
        <v>34739918</v>
      </c>
      <c r="BO373" t="s">
        <v>1762</v>
      </c>
      <c r="BP373" t="s">
        <v>74</v>
      </c>
      <c r="BQ373" t="s">
        <v>74</v>
      </c>
      <c r="BR373" t="s">
        <v>106</v>
      </c>
      <c r="BS373" t="s">
        <v>7683</v>
      </c>
      <c r="BT373" t="str">
        <f>HYPERLINK("https%3A%2F%2Fwww.webofscience.com%2Fwos%2Fwoscc%2Ffull-record%2FWOS:000788099100003","View Full Record in Web of Science")</f>
        <v>View Full Record in Web of Science</v>
      </c>
    </row>
    <row r="374" spans="1:72" x14ac:dyDescent="0.15">
      <c r="A374" t="s">
        <v>72</v>
      </c>
      <c r="B374" t="s">
        <v>7684</v>
      </c>
      <c r="C374" t="s">
        <v>74</v>
      </c>
      <c r="D374" t="s">
        <v>74</v>
      </c>
      <c r="E374" t="s">
        <v>74</v>
      </c>
      <c r="F374" t="s">
        <v>7685</v>
      </c>
      <c r="G374" t="s">
        <v>74</v>
      </c>
      <c r="H374" t="s">
        <v>74</v>
      </c>
      <c r="I374" t="s">
        <v>7686</v>
      </c>
      <c r="J374" t="s">
        <v>7687</v>
      </c>
      <c r="K374" t="s">
        <v>74</v>
      </c>
      <c r="L374" t="s">
        <v>74</v>
      </c>
      <c r="M374" t="s">
        <v>78</v>
      </c>
      <c r="N374" t="s">
        <v>7688</v>
      </c>
      <c r="O374" t="s">
        <v>74</v>
      </c>
      <c r="P374" t="s">
        <v>74</v>
      </c>
      <c r="Q374" t="s">
        <v>74</v>
      </c>
      <c r="R374" t="s">
        <v>74</v>
      </c>
      <c r="S374" t="s">
        <v>74</v>
      </c>
      <c r="T374" t="s">
        <v>74</v>
      </c>
      <c r="U374" t="s">
        <v>74</v>
      </c>
      <c r="V374" t="s">
        <v>74</v>
      </c>
      <c r="W374" t="s">
        <v>74</v>
      </c>
      <c r="X374" t="s">
        <v>74</v>
      </c>
      <c r="Y374" t="s">
        <v>74</v>
      </c>
      <c r="Z374" t="s">
        <v>74</v>
      </c>
      <c r="AA374" t="s">
        <v>7689</v>
      </c>
      <c r="AB374" t="s">
        <v>7690</v>
      </c>
      <c r="AC374" t="s">
        <v>74</v>
      </c>
      <c r="AD374" t="s">
        <v>74</v>
      </c>
      <c r="AE374" t="s">
        <v>74</v>
      </c>
      <c r="AF374" t="s">
        <v>74</v>
      </c>
      <c r="AG374">
        <v>1</v>
      </c>
      <c r="AH374">
        <v>0</v>
      </c>
      <c r="AI374">
        <v>0</v>
      </c>
      <c r="AJ374">
        <v>0</v>
      </c>
      <c r="AK374">
        <v>0</v>
      </c>
      <c r="AL374" t="s">
        <v>4587</v>
      </c>
      <c r="AM374" t="s">
        <v>4588</v>
      </c>
      <c r="AN374" t="s">
        <v>4589</v>
      </c>
      <c r="AO374" t="s">
        <v>7691</v>
      </c>
      <c r="AP374" t="s">
        <v>7692</v>
      </c>
      <c r="AQ374" t="s">
        <v>74</v>
      </c>
      <c r="AR374" t="s">
        <v>7693</v>
      </c>
      <c r="AS374" t="s">
        <v>7694</v>
      </c>
      <c r="AT374" t="s">
        <v>7680</v>
      </c>
      <c r="AU374">
        <v>2022</v>
      </c>
      <c r="AV374">
        <v>8</v>
      </c>
      <c r="AW374">
        <v>1</v>
      </c>
      <c r="AX374" t="s">
        <v>74</v>
      </c>
      <c r="AY374" t="s">
        <v>74</v>
      </c>
      <c r="AZ374" t="s">
        <v>233</v>
      </c>
      <c r="BA374" t="s">
        <v>74</v>
      </c>
      <c r="BB374">
        <v>166</v>
      </c>
      <c r="BC374">
        <v>167</v>
      </c>
      <c r="BD374" t="s">
        <v>74</v>
      </c>
      <c r="BE374" t="s">
        <v>7695</v>
      </c>
      <c r="BF374" t="str">
        <f>HYPERLINK("http://dx.doi.org/10.1080/23729333.2021.1925062","http://dx.doi.org/10.1080/23729333.2021.1925062")</f>
        <v>http://dx.doi.org/10.1080/23729333.2021.1925062</v>
      </c>
      <c r="BG374" t="s">
        <v>74</v>
      </c>
      <c r="BH374" t="s">
        <v>74</v>
      </c>
      <c r="BI374">
        <v>2</v>
      </c>
      <c r="BJ374" t="s">
        <v>7696</v>
      </c>
      <c r="BK374" t="s">
        <v>724</v>
      </c>
      <c r="BL374" t="s">
        <v>7697</v>
      </c>
      <c r="BM374" t="s">
        <v>7698</v>
      </c>
      <c r="BN374" t="s">
        <v>74</v>
      </c>
      <c r="BO374" t="s">
        <v>74</v>
      </c>
      <c r="BP374" t="s">
        <v>74</v>
      </c>
      <c r="BQ374" t="s">
        <v>74</v>
      </c>
      <c r="BR374" t="s">
        <v>106</v>
      </c>
      <c r="BS374" t="s">
        <v>7699</v>
      </c>
      <c r="BT374" t="str">
        <f>HYPERLINK("https%3A%2F%2Fwww.webofscience.com%2Fwos%2Fwoscc%2Ffull-record%2FWOS:000763100800012","View Full Record in Web of Science")</f>
        <v>View Full Record in Web of Science</v>
      </c>
    </row>
    <row r="375" spans="1:72" x14ac:dyDescent="0.15">
      <c r="A375" t="s">
        <v>72</v>
      </c>
      <c r="B375" t="s">
        <v>7700</v>
      </c>
      <c r="C375" t="s">
        <v>74</v>
      </c>
      <c r="D375" t="s">
        <v>74</v>
      </c>
      <c r="E375" t="s">
        <v>74</v>
      </c>
      <c r="F375" t="s">
        <v>7701</v>
      </c>
      <c r="G375" t="s">
        <v>74</v>
      </c>
      <c r="H375" t="s">
        <v>74</v>
      </c>
      <c r="I375" t="s">
        <v>7702</v>
      </c>
      <c r="J375" t="s">
        <v>7703</v>
      </c>
      <c r="K375" t="s">
        <v>74</v>
      </c>
      <c r="L375" t="s">
        <v>74</v>
      </c>
      <c r="M375" t="s">
        <v>78</v>
      </c>
      <c r="N375" t="s">
        <v>779</v>
      </c>
      <c r="O375" t="s">
        <v>74</v>
      </c>
      <c r="P375" t="s">
        <v>74</v>
      </c>
      <c r="Q375" t="s">
        <v>74</v>
      </c>
      <c r="R375" t="s">
        <v>74</v>
      </c>
      <c r="S375" t="s">
        <v>74</v>
      </c>
      <c r="T375" t="s">
        <v>74</v>
      </c>
      <c r="U375" t="s">
        <v>74</v>
      </c>
      <c r="V375" t="s">
        <v>74</v>
      </c>
      <c r="W375" t="s">
        <v>7704</v>
      </c>
      <c r="X375" t="s">
        <v>7705</v>
      </c>
      <c r="Y375" t="s">
        <v>7706</v>
      </c>
      <c r="Z375" t="s">
        <v>7707</v>
      </c>
      <c r="AA375" t="s">
        <v>74</v>
      </c>
      <c r="AB375" t="s">
        <v>7708</v>
      </c>
      <c r="AC375" t="s">
        <v>74</v>
      </c>
      <c r="AD375" t="s">
        <v>74</v>
      </c>
      <c r="AE375" t="s">
        <v>74</v>
      </c>
      <c r="AF375" t="s">
        <v>74</v>
      </c>
      <c r="AG375">
        <v>7</v>
      </c>
      <c r="AH375">
        <v>0</v>
      </c>
      <c r="AI375">
        <v>0</v>
      </c>
      <c r="AJ375">
        <v>0</v>
      </c>
      <c r="AK375">
        <v>0</v>
      </c>
      <c r="AL375" t="s">
        <v>4587</v>
      </c>
      <c r="AM375" t="s">
        <v>4588</v>
      </c>
      <c r="AN375" t="s">
        <v>4589</v>
      </c>
      <c r="AO375" t="s">
        <v>7709</v>
      </c>
      <c r="AP375" t="s">
        <v>7710</v>
      </c>
      <c r="AQ375" t="s">
        <v>74</v>
      </c>
      <c r="AR375" t="s">
        <v>7711</v>
      </c>
      <c r="AS375" t="s">
        <v>7712</v>
      </c>
      <c r="AT375" t="s">
        <v>7680</v>
      </c>
      <c r="AU375">
        <v>2022</v>
      </c>
      <c r="AV375">
        <v>12</v>
      </c>
      <c r="AW375">
        <v>1</v>
      </c>
      <c r="AX375" t="s">
        <v>74</v>
      </c>
      <c r="AY375" t="s">
        <v>74</v>
      </c>
      <c r="AZ375" t="s">
        <v>233</v>
      </c>
      <c r="BA375" t="s">
        <v>74</v>
      </c>
      <c r="BB375">
        <v>1</v>
      </c>
      <c r="BC375">
        <v>4</v>
      </c>
      <c r="BD375" t="s">
        <v>74</v>
      </c>
      <c r="BE375" t="s">
        <v>7713</v>
      </c>
      <c r="BF375" t="str">
        <f>HYPERLINK("http://dx.doi.org/10.1080/2154896X.2022.2066613","http://dx.doi.org/10.1080/2154896X.2022.2066613")</f>
        <v>http://dx.doi.org/10.1080/2154896X.2022.2066613</v>
      </c>
      <c r="BG375" t="s">
        <v>74</v>
      </c>
      <c r="BH375" t="s">
        <v>74</v>
      </c>
      <c r="BI375">
        <v>4</v>
      </c>
      <c r="BJ375" t="s">
        <v>7714</v>
      </c>
      <c r="BK375" t="s">
        <v>724</v>
      </c>
      <c r="BL375" t="s">
        <v>7715</v>
      </c>
      <c r="BM375" t="s">
        <v>7716</v>
      </c>
      <c r="BN375" t="s">
        <v>74</v>
      </c>
      <c r="BO375" t="s">
        <v>1613</v>
      </c>
      <c r="BP375" t="s">
        <v>74</v>
      </c>
      <c r="BQ375" t="s">
        <v>74</v>
      </c>
      <c r="BR375" t="s">
        <v>106</v>
      </c>
      <c r="BS375" t="s">
        <v>7717</v>
      </c>
      <c r="BT375" t="str">
        <f>HYPERLINK("https%3A%2F%2Fwww.webofscience.com%2Fwos%2Fwoscc%2Ffull-record%2FWOS:001098773800001","View Full Record in Web of Science")</f>
        <v>View Full Record in Web of Science</v>
      </c>
    </row>
    <row r="376" spans="1:72" x14ac:dyDescent="0.15">
      <c r="A376" t="s">
        <v>72</v>
      </c>
      <c r="B376" t="s">
        <v>7718</v>
      </c>
      <c r="C376" t="s">
        <v>74</v>
      </c>
      <c r="D376" t="s">
        <v>74</v>
      </c>
      <c r="E376" t="s">
        <v>74</v>
      </c>
      <c r="F376" t="s">
        <v>7719</v>
      </c>
      <c r="G376" t="s">
        <v>74</v>
      </c>
      <c r="H376" t="s">
        <v>74</v>
      </c>
      <c r="I376" t="s">
        <v>7720</v>
      </c>
      <c r="J376" t="s">
        <v>7703</v>
      </c>
      <c r="K376" t="s">
        <v>74</v>
      </c>
      <c r="L376" t="s">
        <v>74</v>
      </c>
      <c r="M376" t="s">
        <v>78</v>
      </c>
      <c r="N376" t="s">
        <v>79</v>
      </c>
      <c r="O376" t="s">
        <v>74</v>
      </c>
      <c r="P376" t="s">
        <v>74</v>
      </c>
      <c r="Q376" t="s">
        <v>74</v>
      </c>
      <c r="R376" t="s">
        <v>74</v>
      </c>
      <c r="S376" t="s">
        <v>74</v>
      </c>
      <c r="T376" t="s">
        <v>7721</v>
      </c>
      <c r="U376" t="s">
        <v>7722</v>
      </c>
      <c r="V376" t="s">
        <v>7723</v>
      </c>
      <c r="W376" t="s">
        <v>7724</v>
      </c>
      <c r="X376" t="s">
        <v>7725</v>
      </c>
      <c r="Y376" t="s">
        <v>7726</v>
      </c>
      <c r="Z376" t="s">
        <v>7727</v>
      </c>
      <c r="AA376" t="s">
        <v>74</v>
      </c>
      <c r="AB376" t="s">
        <v>74</v>
      </c>
      <c r="AC376" t="s">
        <v>7728</v>
      </c>
      <c r="AD376" t="s">
        <v>7729</v>
      </c>
      <c r="AE376" t="s">
        <v>7730</v>
      </c>
      <c r="AF376" t="s">
        <v>74</v>
      </c>
      <c r="AG376">
        <v>39</v>
      </c>
      <c r="AH376">
        <v>0</v>
      </c>
      <c r="AI376">
        <v>0</v>
      </c>
      <c r="AJ376">
        <v>2</v>
      </c>
      <c r="AK376">
        <v>2</v>
      </c>
      <c r="AL376" t="s">
        <v>4587</v>
      </c>
      <c r="AM376" t="s">
        <v>4588</v>
      </c>
      <c r="AN376" t="s">
        <v>4589</v>
      </c>
      <c r="AO376" t="s">
        <v>7709</v>
      </c>
      <c r="AP376" t="s">
        <v>7710</v>
      </c>
      <c r="AQ376" t="s">
        <v>74</v>
      </c>
      <c r="AR376" t="s">
        <v>7711</v>
      </c>
      <c r="AS376" t="s">
        <v>7712</v>
      </c>
      <c r="AT376" t="s">
        <v>7680</v>
      </c>
      <c r="AU376">
        <v>2022</v>
      </c>
      <c r="AV376">
        <v>12</v>
      </c>
      <c r="AW376">
        <v>1</v>
      </c>
      <c r="AX376" t="s">
        <v>74</v>
      </c>
      <c r="AY376" t="s">
        <v>74</v>
      </c>
      <c r="AZ376" t="s">
        <v>233</v>
      </c>
      <c r="BA376" t="s">
        <v>74</v>
      </c>
      <c r="BB376">
        <v>5</v>
      </c>
      <c r="BC376">
        <v>21</v>
      </c>
      <c r="BD376" t="s">
        <v>74</v>
      </c>
      <c r="BE376" t="s">
        <v>7731</v>
      </c>
      <c r="BF376" t="str">
        <f>HYPERLINK("http://dx.doi.org/10.1080/2154896X.2022.2062560","http://dx.doi.org/10.1080/2154896X.2022.2062560")</f>
        <v>http://dx.doi.org/10.1080/2154896X.2022.2062560</v>
      </c>
      <c r="BG376" t="s">
        <v>74</v>
      </c>
      <c r="BH376" t="s">
        <v>74</v>
      </c>
      <c r="BI376">
        <v>17</v>
      </c>
      <c r="BJ376" t="s">
        <v>7714</v>
      </c>
      <c r="BK376" t="s">
        <v>724</v>
      </c>
      <c r="BL376" t="s">
        <v>7715</v>
      </c>
      <c r="BM376" t="s">
        <v>7716</v>
      </c>
      <c r="BN376" t="s">
        <v>74</v>
      </c>
      <c r="BO376" t="s">
        <v>948</v>
      </c>
      <c r="BP376" t="s">
        <v>74</v>
      </c>
      <c r="BQ376" t="s">
        <v>74</v>
      </c>
      <c r="BR376" t="s">
        <v>106</v>
      </c>
      <c r="BS376" t="s">
        <v>7732</v>
      </c>
      <c r="BT376" t="str">
        <f>HYPERLINK("https%3A%2F%2Fwww.webofscience.com%2Fwos%2Fwoscc%2Ffull-record%2FWOS:001098773800002","View Full Record in Web of Science")</f>
        <v>View Full Record in Web of Science</v>
      </c>
    </row>
    <row r="377" spans="1:72" x14ac:dyDescent="0.15">
      <c r="A377" t="s">
        <v>72</v>
      </c>
      <c r="B377" t="s">
        <v>7733</v>
      </c>
      <c r="C377" t="s">
        <v>74</v>
      </c>
      <c r="D377" t="s">
        <v>74</v>
      </c>
      <c r="E377" t="s">
        <v>74</v>
      </c>
      <c r="F377" t="s">
        <v>7734</v>
      </c>
      <c r="G377" t="s">
        <v>74</v>
      </c>
      <c r="H377" t="s">
        <v>74</v>
      </c>
      <c r="I377" t="s">
        <v>7735</v>
      </c>
      <c r="J377" t="s">
        <v>7703</v>
      </c>
      <c r="K377" t="s">
        <v>74</v>
      </c>
      <c r="L377" t="s">
        <v>74</v>
      </c>
      <c r="M377" t="s">
        <v>78</v>
      </c>
      <c r="N377" t="s">
        <v>79</v>
      </c>
      <c r="O377" t="s">
        <v>74</v>
      </c>
      <c r="P377" t="s">
        <v>74</v>
      </c>
      <c r="Q377" t="s">
        <v>74</v>
      </c>
      <c r="R377" t="s">
        <v>74</v>
      </c>
      <c r="S377" t="s">
        <v>74</v>
      </c>
      <c r="T377" t="s">
        <v>7736</v>
      </c>
      <c r="U377" t="s">
        <v>74</v>
      </c>
      <c r="V377" t="s">
        <v>7737</v>
      </c>
      <c r="W377" t="s">
        <v>7738</v>
      </c>
      <c r="X377" t="s">
        <v>7739</v>
      </c>
      <c r="Y377" t="s">
        <v>7740</v>
      </c>
      <c r="Z377" t="s">
        <v>7741</v>
      </c>
      <c r="AA377" t="s">
        <v>74</v>
      </c>
      <c r="AB377" t="s">
        <v>74</v>
      </c>
      <c r="AC377" t="s">
        <v>7742</v>
      </c>
      <c r="AD377" t="s">
        <v>7743</v>
      </c>
      <c r="AE377" t="s">
        <v>7744</v>
      </c>
      <c r="AF377" t="s">
        <v>74</v>
      </c>
      <c r="AG377">
        <v>57</v>
      </c>
      <c r="AH377">
        <v>1</v>
      </c>
      <c r="AI377">
        <v>1</v>
      </c>
      <c r="AJ377">
        <v>2</v>
      </c>
      <c r="AK377">
        <v>2</v>
      </c>
      <c r="AL377" t="s">
        <v>4587</v>
      </c>
      <c r="AM377" t="s">
        <v>4588</v>
      </c>
      <c r="AN377" t="s">
        <v>4589</v>
      </c>
      <c r="AO377" t="s">
        <v>7709</v>
      </c>
      <c r="AP377" t="s">
        <v>7710</v>
      </c>
      <c r="AQ377" t="s">
        <v>74</v>
      </c>
      <c r="AR377" t="s">
        <v>7711</v>
      </c>
      <c r="AS377" t="s">
        <v>7712</v>
      </c>
      <c r="AT377" t="s">
        <v>7680</v>
      </c>
      <c r="AU377">
        <v>2022</v>
      </c>
      <c r="AV377">
        <v>12</v>
      </c>
      <c r="AW377">
        <v>1</v>
      </c>
      <c r="AX377" t="s">
        <v>74</v>
      </c>
      <c r="AY377" t="s">
        <v>74</v>
      </c>
      <c r="AZ377" t="s">
        <v>233</v>
      </c>
      <c r="BA377" t="s">
        <v>74</v>
      </c>
      <c r="BB377">
        <v>22</v>
      </c>
      <c r="BC377">
        <v>41</v>
      </c>
      <c r="BD377" t="s">
        <v>74</v>
      </c>
      <c r="BE377" t="s">
        <v>7745</v>
      </c>
      <c r="BF377" t="str">
        <f>HYPERLINK("http://dx.doi.org/10.1080/2154896X.2022.2062558","http://dx.doi.org/10.1080/2154896X.2022.2062558")</f>
        <v>http://dx.doi.org/10.1080/2154896X.2022.2062558</v>
      </c>
      <c r="BG377" t="s">
        <v>74</v>
      </c>
      <c r="BH377" t="s">
        <v>74</v>
      </c>
      <c r="BI377">
        <v>20</v>
      </c>
      <c r="BJ377" t="s">
        <v>7714</v>
      </c>
      <c r="BK377" t="s">
        <v>724</v>
      </c>
      <c r="BL377" t="s">
        <v>7715</v>
      </c>
      <c r="BM377" t="s">
        <v>7716</v>
      </c>
      <c r="BN377" t="s">
        <v>74</v>
      </c>
      <c r="BO377" t="s">
        <v>1336</v>
      </c>
      <c r="BP377" t="s">
        <v>74</v>
      </c>
      <c r="BQ377" t="s">
        <v>74</v>
      </c>
      <c r="BR377" t="s">
        <v>106</v>
      </c>
      <c r="BS377" t="s">
        <v>7746</v>
      </c>
      <c r="BT377" t="str">
        <f>HYPERLINK("https%3A%2F%2Fwww.webofscience.com%2Fwos%2Fwoscc%2Ffull-record%2FWOS:001098773800003","View Full Record in Web of Science")</f>
        <v>View Full Record in Web of Science</v>
      </c>
    </row>
    <row r="378" spans="1:72" x14ac:dyDescent="0.15">
      <c r="A378" t="s">
        <v>72</v>
      </c>
      <c r="B378" t="s">
        <v>7747</v>
      </c>
      <c r="C378" t="s">
        <v>74</v>
      </c>
      <c r="D378" t="s">
        <v>74</v>
      </c>
      <c r="E378" t="s">
        <v>74</v>
      </c>
      <c r="F378" t="s">
        <v>7748</v>
      </c>
      <c r="G378" t="s">
        <v>74</v>
      </c>
      <c r="H378" t="s">
        <v>74</v>
      </c>
      <c r="I378" t="s">
        <v>7749</v>
      </c>
      <c r="J378" t="s">
        <v>7703</v>
      </c>
      <c r="K378" t="s">
        <v>74</v>
      </c>
      <c r="L378" t="s">
        <v>74</v>
      </c>
      <c r="M378" t="s">
        <v>78</v>
      </c>
      <c r="N378" t="s">
        <v>79</v>
      </c>
      <c r="O378" t="s">
        <v>74</v>
      </c>
      <c r="P378" t="s">
        <v>74</v>
      </c>
      <c r="Q378" t="s">
        <v>74</v>
      </c>
      <c r="R378" t="s">
        <v>74</v>
      </c>
      <c r="S378" t="s">
        <v>74</v>
      </c>
      <c r="T378" t="s">
        <v>7750</v>
      </c>
      <c r="U378" t="s">
        <v>7751</v>
      </c>
      <c r="V378" t="s">
        <v>7752</v>
      </c>
      <c r="W378" t="s">
        <v>7753</v>
      </c>
      <c r="X378" t="s">
        <v>7754</v>
      </c>
      <c r="Y378" t="s">
        <v>7755</v>
      </c>
      <c r="Z378" t="s">
        <v>7756</v>
      </c>
      <c r="AA378" t="s">
        <v>74</v>
      </c>
      <c r="AB378" t="s">
        <v>74</v>
      </c>
      <c r="AC378" t="s">
        <v>7757</v>
      </c>
      <c r="AD378" t="s">
        <v>7758</v>
      </c>
      <c r="AE378" t="s">
        <v>7759</v>
      </c>
      <c r="AF378" t="s">
        <v>74</v>
      </c>
      <c r="AG378">
        <v>79</v>
      </c>
      <c r="AH378">
        <v>1</v>
      </c>
      <c r="AI378">
        <v>1</v>
      </c>
      <c r="AJ378">
        <v>1</v>
      </c>
      <c r="AK378">
        <v>1</v>
      </c>
      <c r="AL378" t="s">
        <v>4587</v>
      </c>
      <c r="AM378" t="s">
        <v>4588</v>
      </c>
      <c r="AN378" t="s">
        <v>4589</v>
      </c>
      <c r="AO378" t="s">
        <v>7709</v>
      </c>
      <c r="AP378" t="s">
        <v>7710</v>
      </c>
      <c r="AQ378" t="s">
        <v>74</v>
      </c>
      <c r="AR378" t="s">
        <v>7711</v>
      </c>
      <c r="AS378" t="s">
        <v>7712</v>
      </c>
      <c r="AT378" t="s">
        <v>7680</v>
      </c>
      <c r="AU378">
        <v>2022</v>
      </c>
      <c r="AV378">
        <v>12</v>
      </c>
      <c r="AW378">
        <v>1</v>
      </c>
      <c r="AX378" t="s">
        <v>74</v>
      </c>
      <c r="AY378" t="s">
        <v>74</v>
      </c>
      <c r="AZ378" t="s">
        <v>233</v>
      </c>
      <c r="BA378" t="s">
        <v>74</v>
      </c>
      <c r="BB378">
        <v>42</v>
      </c>
      <c r="BC378">
        <v>61</v>
      </c>
      <c r="BD378" t="s">
        <v>74</v>
      </c>
      <c r="BE378" t="s">
        <v>7760</v>
      </c>
      <c r="BF378" t="str">
        <f>HYPERLINK("http://dx.doi.org/10.1080/2154896X.2022.2058222","http://dx.doi.org/10.1080/2154896X.2022.2058222")</f>
        <v>http://dx.doi.org/10.1080/2154896X.2022.2058222</v>
      </c>
      <c r="BG378" t="s">
        <v>74</v>
      </c>
      <c r="BH378" t="s">
        <v>74</v>
      </c>
      <c r="BI378">
        <v>20</v>
      </c>
      <c r="BJ378" t="s">
        <v>7714</v>
      </c>
      <c r="BK378" t="s">
        <v>724</v>
      </c>
      <c r="BL378" t="s">
        <v>7715</v>
      </c>
      <c r="BM378" t="s">
        <v>7716</v>
      </c>
      <c r="BN378" t="s">
        <v>74</v>
      </c>
      <c r="BO378" t="s">
        <v>948</v>
      </c>
      <c r="BP378" t="s">
        <v>74</v>
      </c>
      <c r="BQ378" t="s">
        <v>74</v>
      </c>
      <c r="BR378" t="s">
        <v>106</v>
      </c>
      <c r="BS378" t="s">
        <v>7761</v>
      </c>
      <c r="BT378" t="str">
        <f>HYPERLINK("https%3A%2F%2Fwww.webofscience.com%2Fwos%2Fwoscc%2Ffull-record%2FWOS:001098773800004","View Full Record in Web of Science")</f>
        <v>View Full Record in Web of Science</v>
      </c>
    </row>
    <row r="379" spans="1:72" x14ac:dyDescent="0.15">
      <c r="A379" t="s">
        <v>72</v>
      </c>
      <c r="B379" t="s">
        <v>7762</v>
      </c>
      <c r="C379" t="s">
        <v>74</v>
      </c>
      <c r="D379" t="s">
        <v>74</v>
      </c>
      <c r="E379" t="s">
        <v>74</v>
      </c>
      <c r="F379" t="s">
        <v>7763</v>
      </c>
      <c r="G379" t="s">
        <v>74</v>
      </c>
      <c r="H379" t="s">
        <v>74</v>
      </c>
      <c r="I379" t="s">
        <v>7764</v>
      </c>
      <c r="J379" t="s">
        <v>7703</v>
      </c>
      <c r="K379" t="s">
        <v>74</v>
      </c>
      <c r="L379" t="s">
        <v>74</v>
      </c>
      <c r="M379" t="s">
        <v>78</v>
      </c>
      <c r="N379" t="s">
        <v>79</v>
      </c>
      <c r="O379" t="s">
        <v>74</v>
      </c>
      <c r="P379" t="s">
        <v>74</v>
      </c>
      <c r="Q379" t="s">
        <v>74</v>
      </c>
      <c r="R379" t="s">
        <v>74</v>
      </c>
      <c r="S379" t="s">
        <v>74</v>
      </c>
      <c r="T379" t="s">
        <v>7765</v>
      </c>
      <c r="U379" t="s">
        <v>7766</v>
      </c>
      <c r="V379" t="s">
        <v>7767</v>
      </c>
      <c r="W379" t="s">
        <v>7768</v>
      </c>
      <c r="X379" t="s">
        <v>7769</v>
      </c>
      <c r="Y379" t="s">
        <v>7770</v>
      </c>
      <c r="Z379" t="s">
        <v>7771</v>
      </c>
      <c r="AA379" t="s">
        <v>7772</v>
      </c>
      <c r="AB379" t="s">
        <v>7773</v>
      </c>
      <c r="AC379" t="s">
        <v>7774</v>
      </c>
      <c r="AD379" t="s">
        <v>7774</v>
      </c>
      <c r="AE379" t="s">
        <v>7775</v>
      </c>
      <c r="AF379" t="s">
        <v>74</v>
      </c>
      <c r="AG379">
        <v>73</v>
      </c>
      <c r="AH379">
        <v>0</v>
      </c>
      <c r="AI379">
        <v>0</v>
      </c>
      <c r="AJ379">
        <v>3</v>
      </c>
      <c r="AK379">
        <v>3</v>
      </c>
      <c r="AL379" t="s">
        <v>4587</v>
      </c>
      <c r="AM379" t="s">
        <v>4588</v>
      </c>
      <c r="AN379" t="s">
        <v>4589</v>
      </c>
      <c r="AO379" t="s">
        <v>7709</v>
      </c>
      <c r="AP379" t="s">
        <v>7710</v>
      </c>
      <c r="AQ379" t="s">
        <v>74</v>
      </c>
      <c r="AR379" t="s">
        <v>7711</v>
      </c>
      <c r="AS379" t="s">
        <v>7712</v>
      </c>
      <c r="AT379" t="s">
        <v>7680</v>
      </c>
      <c r="AU379">
        <v>2022</v>
      </c>
      <c r="AV379">
        <v>12</v>
      </c>
      <c r="AW379">
        <v>1</v>
      </c>
      <c r="AX379" t="s">
        <v>74</v>
      </c>
      <c r="AY379" t="s">
        <v>74</v>
      </c>
      <c r="AZ379" t="s">
        <v>233</v>
      </c>
      <c r="BA379" t="s">
        <v>74</v>
      </c>
      <c r="BB379">
        <v>62</v>
      </c>
      <c r="BC379">
        <v>87</v>
      </c>
      <c r="BD379" t="s">
        <v>74</v>
      </c>
      <c r="BE379" t="s">
        <v>7776</v>
      </c>
      <c r="BF379" t="str">
        <f>HYPERLINK("http://dx.doi.org/10.1080/2154896X.2022.2062556","http://dx.doi.org/10.1080/2154896X.2022.2062556")</f>
        <v>http://dx.doi.org/10.1080/2154896X.2022.2062556</v>
      </c>
      <c r="BG379" t="s">
        <v>74</v>
      </c>
      <c r="BH379" t="s">
        <v>74</v>
      </c>
      <c r="BI379">
        <v>26</v>
      </c>
      <c r="BJ379" t="s">
        <v>7714</v>
      </c>
      <c r="BK379" t="s">
        <v>724</v>
      </c>
      <c r="BL379" t="s">
        <v>7715</v>
      </c>
      <c r="BM379" t="s">
        <v>7716</v>
      </c>
      <c r="BN379" t="s">
        <v>74</v>
      </c>
      <c r="BO379" t="s">
        <v>74</v>
      </c>
      <c r="BP379" t="s">
        <v>74</v>
      </c>
      <c r="BQ379" t="s">
        <v>74</v>
      </c>
      <c r="BR379" t="s">
        <v>106</v>
      </c>
      <c r="BS379" t="s">
        <v>7777</v>
      </c>
      <c r="BT379" t="str">
        <f>HYPERLINK("https%3A%2F%2Fwww.webofscience.com%2Fwos%2Fwoscc%2Ffull-record%2FWOS:001098773800005","View Full Record in Web of Science")</f>
        <v>View Full Record in Web of Science</v>
      </c>
    </row>
    <row r="380" spans="1:72" x14ac:dyDescent="0.15">
      <c r="A380" t="s">
        <v>72</v>
      </c>
      <c r="B380" t="s">
        <v>7778</v>
      </c>
      <c r="C380" t="s">
        <v>74</v>
      </c>
      <c r="D380" t="s">
        <v>74</v>
      </c>
      <c r="E380" t="s">
        <v>74</v>
      </c>
      <c r="F380" t="s">
        <v>7779</v>
      </c>
      <c r="G380" t="s">
        <v>74</v>
      </c>
      <c r="H380" t="s">
        <v>74</v>
      </c>
      <c r="I380" t="s">
        <v>7780</v>
      </c>
      <c r="J380" t="s">
        <v>7703</v>
      </c>
      <c r="K380" t="s">
        <v>74</v>
      </c>
      <c r="L380" t="s">
        <v>74</v>
      </c>
      <c r="M380" t="s">
        <v>78</v>
      </c>
      <c r="N380" t="s">
        <v>79</v>
      </c>
      <c r="O380" t="s">
        <v>74</v>
      </c>
      <c r="P380" t="s">
        <v>74</v>
      </c>
      <c r="Q380" t="s">
        <v>74</v>
      </c>
      <c r="R380" t="s">
        <v>74</v>
      </c>
      <c r="S380" t="s">
        <v>74</v>
      </c>
      <c r="T380" t="s">
        <v>7781</v>
      </c>
      <c r="U380" t="s">
        <v>74</v>
      </c>
      <c r="V380" t="s">
        <v>7782</v>
      </c>
      <c r="W380" t="s">
        <v>7783</v>
      </c>
      <c r="X380" t="s">
        <v>7784</v>
      </c>
      <c r="Y380" t="s">
        <v>7785</v>
      </c>
      <c r="Z380" t="s">
        <v>7786</v>
      </c>
      <c r="AA380" t="s">
        <v>74</v>
      </c>
      <c r="AB380" t="s">
        <v>74</v>
      </c>
      <c r="AC380" t="s">
        <v>7787</v>
      </c>
      <c r="AD380" t="s">
        <v>7787</v>
      </c>
      <c r="AE380" t="s">
        <v>7788</v>
      </c>
      <c r="AF380" t="s">
        <v>74</v>
      </c>
      <c r="AG380">
        <v>27</v>
      </c>
      <c r="AH380">
        <v>2</v>
      </c>
      <c r="AI380">
        <v>2</v>
      </c>
      <c r="AJ380">
        <v>1</v>
      </c>
      <c r="AK380">
        <v>1</v>
      </c>
      <c r="AL380" t="s">
        <v>4587</v>
      </c>
      <c r="AM380" t="s">
        <v>4588</v>
      </c>
      <c r="AN380" t="s">
        <v>4589</v>
      </c>
      <c r="AO380" t="s">
        <v>7709</v>
      </c>
      <c r="AP380" t="s">
        <v>7710</v>
      </c>
      <c r="AQ380" t="s">
        <v>74</v>
      </c>
      <c r="AR380" t="s">
        <v>7711</v>
      </c>
      <c r="AS380" t="s">
        <v>7712</v>
      </c>
      <c r="AT380" t="s">
        <v>7680</v>
      </c>
      <c r="AU380">
        <v>2022</v>
      </c>
      <c r="AV380">
        <v>12</v>
      </c>
      <c r="AW380">
        <v>1</v>
      </c>
      <c r="AX380" t="s">
        <v>74</v>
      </c>
      <c r="AY380" t="s">
        <v>74</v>
      </c>
      <c r="AZ380" t="s">
        <v>233</v>
      </c>
      <c r="BA380" t="s">
        <v>74</v>
      </c>
      <c r="BB380">
        <v>88</v>
      </c>
      <c r="BC380">
        <v>107</v>
      </c>
      <c r="BD380" t="s">
        <v>74</v>
      </c>
      <c r="BE380" t="s">
        <v>7789</v>
      </c>
      <c r="BF380" t="str">
        <f>HYPERLINK("http://dx.doi.org/10.1080/2154896X.2022.2058223","http://dx.doi.org/10.1080/2154896X.2022.2058223")</f>
        <v>http://dx.doi.org/10.1080/2154896X.2022.2058223</v>
      </c>
      <c r="BG380" t="s">
        <v>74</v>
      </c>
      <c r="BH380" t="s">
        <v>74</v>
      </c>
      <c r="BI380">
        <v>20</v>
      </c>
      <c r="BJ380" t="s">
        <v>7714</v>
      </c>
      <c r="BK380" t="s">
        <v>724</v>
      </c>
      <c r="BL380" t="s">
        <v>7715</v>
      </c>
      <c r="BM380" t="s">
        <v>7716</v>
      </c>
      <c r="BN380" t="s">
        <v>74</v>
      </c>
      <c r="BO380" t="s">
        <v>74</v>
      </c>
      <c r="BP380" t="s">
        <v>74</v>
      </c>
      <c r="BQ380" t="s">
        <v>74</v>
      </c>
      <c r="BR380" t="s">
        <v>106</v>
      </c>
      <c r="BS380" t="s">
        <v>7790</v>
      </c>
      <c r="BT380" t="str">
        <f>HYPERLINK("https%3A%2F%2Fwww.webofscience.com%2Fwos%2Fwoscc%2Ffull-record%2FWOS:001098773800006","View Full Record in Web of Science")</f>
        <v>View Full Record in Web of Science</v>
      </c>
    </row>
    <row r="381" spans="1:72" x14ac:dyDescent="0.15">
      <c r="A381" t="s">
        <v>72</v>
      </c>
      <c r="B381" t="s">
        <v>7791</v>
      </c>
      <c r="C381" t="s">
        <v>74</v>
      </c>
      <c r="D381" t="s">
        <v>74</v>
      </c>
      <c r="E381" t="s">
        <v>74</v>
      </c>
      <c r="F381" t="s">
        <v>7792</v>
      </c>
      <c r="G381" t="s">
        <v>74</v>
      </c>
      <c r="H381" t="s">
        <v>74</v>
      </c>
      <c r="I381" t="s">
        <v>7793</v>
      </c>
      <c r="J381" t="s">
        <v>7703</v>
      </c>
      <c r="K381" t="s">
        <v>74</v>
      </c>
      <c r="L381" t="s">
        <v>74</v>
      </c>
      <c r="M381" t="s">
        <v>78</v>
      </c>
      <c r="N381" t="s">
        <v>79</v>
      </c>
      <c r="O381" t="s">
        <v>74</v>
      </c>
      <c r="P381" t="s">
        <v>74</v>
      </c>
      <c r="Q381" t="s">
        <v>74</v>
      </c>
      <c r="R381" t="s">
        <v>74</v>
      </c>
      <c r="S381" t="s">
        <v>74</v>
      </c>
      <c r="T381" t="s">
        <v>7794</v>
      </c>
      <c r="U381" t="s">
        <v>7795</v>
      </c>
      <c r="V381" t="s">
        <v>7796</v>
      </c>
      <c r="W381" t="s">
        <v>7797</v>
      </c>
      <c r="X381" t="s">
        <v>7798</v>
      </c>
      <c r="Y381" t="s">
        <v>7799</v>
      </c>
      <c r="Z381" t="s">
        <v>7800</v>
      </c>
      <c r="AA381" t="s">
        <v>74</v>
      </c>
      <c r="AB381" t="s">
        <v>74</v>
      </c>
      <c r="AC381" t="s">
        <v>74</v>
      </c>
      <c r="AD381" t="s">
        <v>74</v>
      </c>
      <c r="AE381" t="s">
        <v>74</v>
      </c>
      <c r="AF381" t="s">
        <v>74</v>
      </c>
      <c r="AG381">
        <v>63</v>
      </c>
      <c r="AH381">
        <v>1</v>
      </c>
      <c r="AI381">
        <v>1</v>
      </c>
      <c r="AJ381">
        <v>1</v>
      </c>
      <c r="AK381">
        <v>1</v>
      </c>
      <c r="AL381" t="s">
        <v>4587</v>
      </c>
      <c r="AM381" t="s">
        <v>4588</v>
      </c>
      <c r="AN381" t="s">
        <v>4589</v>
      </c>
      <c r="AO381" t="s">
        <v>7709</v>
      </c>
      <c r="AP381" t="s">
        <v>7710</v>
      </c>
      <c r="AQ381" t="s">
        <v>74</v>
      </c>
      <c r="AR381" t="s">
        <v>7711</v>
      </c>
      <c r="AS381" t="s">
        <v>7712</v>
      </c>
      <c r="AT381" t="s">
        <v>7680</v>
      </c>
      <c r="AU381">
        <v>2022</v>
      </c>
      <c r="AV381">
        <v>12</v>
      </c>
      <c r="AW381">
        <v>1</v>
      </c>
      <c r="AX381" t="s">
        <v>74</v>
      </c>
      <c r="AY381" t="s">
        <v>74</v>
      </c>
      <c r="AZ381" t="s">
        <v>233</v>
      </c>
      <c r="BA381" t="s">
        <v>74</v>
      </c>
      <c r="BB381">
        <v>122</v>
      </c>
      <c r="BC381">
        <v>147</v>
      </c>
      <c r="BD381" t="s">
        <v>74</v>
      </c>
      <c r="BE381" t="s">
        <v>7801</v>
      </c>
      <c r="BF381" t="str">
        <f>HYPERLINK("http://dx.doi.org/10.1080/2154896X.2022.2062559","http://dx.doi.org/10.1080/2154896X.2022.2062559")</f>
        <v>http://dx.doi.org/10.1080/2154896X.2022.2062559</v>
      </c>
      <c r="BG381" t="s">
        <v>74</v>
      </c>
      <c r="BH381" t="s">
        <v>74</v>
      </c>
      <c r="BI381">
        <v>26</v>
      </c>
      <c r="BJ381" t="s">
        <v>7714</v>
      </c>
      <c r="BK381" t="s">
        <v>724</v>
      </c>
      <c r="BL381" t="s">
        <v>7715</v>
      </c>
      <c r="BM381" t="s">
        <v>7716</v>
      </c>
      <c r="BN381" t="s">
        <v>74</v>
      </c>
      <c r="BO381" t="s">
        <v>74</v>
      </c>
      <c r="BP381" t="s">
        <v>74</v>
      </c>
      <c r="BQ381" t="s">
        <v>74</v>
      </c>
      <c r="BR381" t="s">
        <v>106</v>
      </c>
      <c r="BS381" t="s">
        <v>7802</v>
      </c>
      <c r="BT381" t="str">
        <f>HYPERLINK("https%3A%2F%2Fwww.webofscience.com%2Fwos%2Fwoscc%2Ffull-record%2FWOS:001098773800008","View Full Record in Web of Science")</f>
        <v>View Full Record in Web of Science</v>
      </c>
    </row>
    <row r="382" spans="1:72" x14ac:dyDescent="0.15">
      <c r="A382" t="s">
        <v>72</v>
      </c>
      <c r="B382" t="s">
        <v>7803</v>
      </c>
      <c r="C382" t="s">
        <v>74</v>
      </c>
      <c r="D382" t="s">
        <v>74</v>
      </c>
      <c r="E382" t="s">
        <v>74</v>
      </c>
      <c r="F382" t="s">
        <v>7804</v>
      </c>
      <c r="G382" t="s">
        <v>74</v>
      </c>
      <c r="H382" t="s">
        <v>74</v>
      </c>
      <c r="I382" t="s">
        <v>7805</v>
      </c>
      <c r="J382" t="s">
        <v>7703</v>
      </c>
      <c r="K382" t="s">
        <v>74</v>
      </c>
      <c r="L382" t="s">
        <v>74</v>
      </c>
      <c r="M382" t="s">
        <v>78</v>
      </c>
      <c r="N382" t="s">
        <v>779</v>
      </c>
      <c r="O382" t="s">
        <v>74</v>
      </c>
      <c r="P382" t="s">
        <v>74</v>
      </c>
      <c r="Q382" t="s">
        <v>74</v>
      </c>
      <c r="R382" t="s">
        <v>74</v>
      </c>
      <c r="S382" t="s">
        <v>74</v>
      </c>
      <c r="T382" t="s">
        <v>74</v>
      </c>
      <c r="U382" t="s">
        <v>74</v>
      </c>
      <c r="V382" t="s">
        <v>74</v>
      </c>
      <c r="W382" t="s">
        <v>74</v>
      </c>
      <c r="X382" t="s">
        <v>74</v>
      </c>
      <c r="Y382" t="s">
        <v>74</v>
      </c>
      <c r="Z382" t="s">
        <v>7806</v>
      </c>
      <c r="AA382" t="s">
        <v>74</v>
      </c>
      <c r="AB382" t="s">
        <v>74</v>
      </c>
      <c r="AC382" t="s">
        <v>74</v>
      </c>
      <c r="AD382" t="s">
        <v>74</v>
      </c>
      <c r="AE382" t="s">
        <v>74</v>
      </c>
      <c r="AF382" t="s">
        <v>74</v>
      </c>
      <c r="AG382">
        <v>0</v>
      </c>
      <c r="AH382">
        <v>0</v>
      </c>
      <c r="AI382">
        <v>0</v>
      </c>
      <c r="AJ382">
        <v>0</v>
      </c>
      <c r="AK382">
        <v>0</v>
      </c>
      <c r="AL382" t="s">
        <v>4587</v>
      </c>
      <c r="AM382" t="s">
        <v>4588</v>
      </c>
      <c r="AN382" t="s">
        <v>4589</v>
      </c>
      <c r="AO382" t="s">
        <v>7709</v>
      </c>
      <c r="AP382" t="s">
        <v>7710</v>
      </c>
      <c r="AQ382" t="s">
        <v>74</v>
      </c>
      <c r="AR382" t="s">
        <v>7711</v>
      </c>
      <c r="AS382" t="s">
        <v>7712</v>
      </c>
      <c r="AT382" t="s">
        <v>7680</v>
      </c>
      <c r="AU382">
        <v>2022</v>
      </c>
      <c r="AV382">
        <v>12</v>
      </c>
      <c r="AW382">
        <v>1</v>
      </c>
      <c r="AX382" t="s">
        <v>74</v>
      </c>
      <c r="AY382" t="s">
        <v>74</v>
      </c>
      <c r="AZ382" t="s">
        <v>233</v>
      </c>
      <c r="BA382" t="s">
        <v>74</v>
      </c>
      <c r="BB382">
        <v>177</v>
      </c>
      <c r="BC382">
        <v>179</v>
      </c>
      <c r="BD382" t="s">
        <v>74</v>
      </c>
      <c r="BE382" t="s">
        <v>7807</v>
      </c>
      <c r="BF382" t="str">
        <f>HYPERLINK("http://dx.doi.org/10.1080/2154896X.2022.2047495","http://dx.doi.org/10.1080/2154896X.2022.2047495")</f>
        <v>http://dx.doi.org/10.1080/2154896X.2022.2047495</v>
      </c>
      <c r="BG382" t="s">
        <v>74</v>
      </c>
      <c r="BH382" t="s">
        <v>74</v>
      </c>
      <c r="BI382">
        <v>3</v>
      </c>
      <c r="BJ382" t="s">
        <v>7714</v>
      </c>
      <c r="BK382" t="s">
        <v>724</v>
      </c>
      <c r="BL382" t="s">
        <v>7715</v>
      </c>
      <c r="BM382" t="s">
        <v>7716</v>
      </c>
      <c r="BN382" t="s">
        <v>74</v>
      </c>
      <c r="BO382" t="s">
        <v>74</v>
      </c>
      <c r="BP382" t="s">
        <v>74</v>
      </c>
      <c r="BQ382" t="s">
        <v>74</v>
      </c>
      <c r="BR382" t="s">
        <v>106</v>
      </c>
      <c r="BS382" t="s">
        <v>7808</v>
      </c>
      <c r="BT382" t="str">
        <f>HYPERLINK("https%3A%2F%2Fwww.webofscience.com%2Fwos%2Fwoscc%2Ffull-record%2FWOS:001098773800011","View Full Record in Web of Science")</f>
        <v>View Full Record in Web of Science</v>
      </c>
    </row>
    <row r="383" spans="1:72" x14ac:dyDescent="0.15">
      <c r="A383" t="s">
        <v>72</v>
      </c>
      <c r="B383" t="s">
        <v>7809</v>
      </c>
      <c r="C383" t="s">
        <v>74</v>
      </c>
      <c r="D383" t="s">
        <v>74</v>
      </c>
      <c r="E383" t="s">
        <v>74</v>
      </c>
      <c r="F383" t="s">
        <v>7810</v>
      </c>
      <c r="G383" t="s">
        <v>74</v>
      </c>
      <c r="H383" t="s">
        <v>74</v>
      </c>
      <c r="I383" t="s">
        <v>7811</v>
      </c>
      <c r="J383" t="s">
        <v>7703</v>
      </c>
      <c r="K383" t="s">
        <v>74</v>
      </c>
      <c r="L383" t="s">
        <v>74</v>
      </c>
      <c r="M383" t="s">
        <v>78</v>
      </c>
      <c r="N383" t="s">
        <v>779</v>
      </c>
      <c r="O383" t="s">
        <v>74</v>
      </c>
      <c r="P383" t="s">
        <v>74</v>
      </c>
      <c r="Q383" t="s">
        <v>74</v>
      </c>
      <c r="R383" t="s">
        <v>74</v>
      </c>
      <c r="S383" t="s">
        <v>74</v>
      </c>
      <c r="T383" t="s">
        <v>74</v>
      </c>
      <c r="U383" t="s">
        <v>74</v>
      </c>
      <c r="V383" t="s">
        <v>74</v>
      </c>
      <c r="W383" t="s">
        <v>7812</v>
      </c>
      <c r="X383" t="s">
        <v>7813</v>
      </c>
      <c r="Y383" t="s">
        <v>7814</v>
      </c>
      <c r="Z383" t="s">
        <v>7815</v>
      </c>
      <c r="AA383" t="s">
        <v>74</v>
      </c>
      <c r="AB383" t="s">
        <v>7816</v>
      </c>
      <c r="AC383" t="s">
        <v>7817</v>
      </c>
      <c r="AD383" t="s">
        <v>7818</v>
      </c>
      <c r="AE383" t="s">
        <v>74</v>
      </c>
      <c r="AF383" t="s">
        <v>74</v>
      </c>
      <c r="AG383">
        <v>0</v>
      </c>
      <c r="AH383">
        <v>1</v>
      </c>
      <c r="AI383">
        <v>1</v>
      </c>
      <c r="AJ383">
        <v>0</v>
      </c>
      <c r="AK383">
        <v>0</v>
      </c>
      <c r="AL383" t="s">
        <v>4587</v>
      </c>
      <c r="AM383" t="s">
        <v>4588</v>
      </c>
      <c r="AN383" t="s">
        <v>4589</v>
      </c>
      <c r="AO383" t="s">
        <v>7709</v>
      </c>
      <c r="AP383" t="s">
        <v>7710</v>
      </c>
      <c r="AQ383" t="s">
        <v>74</v>
      </c>
      <c r="AR383" t="s">
        <v>7711</v>
      </c>
      <c r="AS383" t="s">
        <v>7712</v>
      </c>
      <c r="AT383" t="s">
        <v>7680</v>
      </c>
      <c r="AU383">
        <v>2022</v>
      </c>
      <c r="AV383">
        <v>12</v>
      </c>
      <c r="AW383">
        <v>1</v>
      </c>
      <c r="AX383" t="s">
        <v>74</v>
      </c>
      <c r="AY383" t="s">
        <v>74</v>
      </c>
      <c r="AZ383" t="s">
        <v>233</v>
      </c>
      <c r="BA383" t="s">
        <v>74</v>
      </c>
      <c r="BB383">
        <v>180</v>
      </c>
      <c r="BC383">
        <v>182</v>
      </c>
      <c r="BD383" t="s">
        <v>74</v>
      </c>
      <c r="BE383" t="s">
        <v>7819</v>
      </c>
      <c r="BF383" t="str">
        <f>HYPERLINK("http://dx.doi.org/10.1080/20567790.2022.2060554","http://dx.doi.org/10.1080/20567790.2022.2060554")</f>
        <v>http://dx.doi.org/10.1080/20567790.2022.2060554</v>
      </c>
      <c r="BG383" t="s">
        <v>74</v>
      </c>
      <c r="BH383" t="s">
        <v>74</v>
      </c>
      <c r="BI383">
        <v>3</v>
      </c>
      <c r="BJ383" t="s">
        <v>7714</v>
      </c>
      <c r="BK383" t="s">
        <v>724</v>
      </c>
      <c r="BL383" t="s">
        <v>7715</v>
      </c>
      <c r="BM383" t="s">
        <v>7716</v>
      </c>
      <c r="BN383" t="s">
        <v>74</v>
      </c>
      <c r="BO383" t="s">
        <v>74</v>
      </c>
      <c r="BP383" t="s">
        <v>74</v>
      </c>
      <c r="BQ383" t="s">
        <v>74</v>
      </c>
      <c r="BR383" t="s">
        <v>106</v>
      </c>
      <c r="BS383" t="s">
        <v>7820</v>
      </c>
      <c r="BT383" t="str">
        <f>HYPERLINK("https%3A%2F%2Fwww.webofscience.com%2Fwos%2Fwoscc%2Ffull-record%2FWOS:001098773800012","View Full Record in Web of Science")</f>
        <v>View Full Record in Web of Science</v>
      </c>
    </row>
    <row r="384" spans="1:72" x14ac:dyDescent="0.15">
      <c r="A384" t="s">
        <v>72</v>
      </c>
      <c r="B384" t="s">
        <v>7821</v>
      </c>
      <c r="C384" t="s">
        <v>74</v>
      </c>
      <c r="D384" t="s">
        <v>74</v>
      </c>
      <c r="E384" t="s">
        <v>74</v>
      </c>
      <c r="F384" t="s">
        <v>7822</v>
      </c>
      <c r="G384" t="s">
        <v>74</v>
      </c>
      <c r="H384" t="s">
        <v>74</v>
      </c>
      <c r="I384" t="s">
        <v>7823</v>
      </c>
      <c r="J384" t="s">
        <v>7703</v>
      </c>
      <c r="K384" t="s">
        <v>74</v>
      </c>
      <c r="L384" t="s">
        <v>74</v>
      </c>
      <c r="M384" t="s">
        <v>78</v>
      </c>
      <c r="N384" t="s">
        <v>7688</v>
      </c>
      <c r="O384" t="s">
        <v>74</v>
      </c>
      <c r="P384" t="s">
        <v>74</v>
      </c>
      <c r="Q384" t="s">
        <v>74</v>
      </c>
      <c r="R384" t="s">
        <v>74</v>
      </c>
      <c r="S384" t="s">
        <v>74</v>
      </c>
      <c r="T384" t="s">
        <v>74</v>
      </c>
      <c r="U384" t="s">
        <v>74</v>
      </c>
      <c r="V384" t="s">
        <v>74</v>
      </c>
      <c r="W384" t="s">
        <v>7824</v>
      </c>
      <c r="X384" t="s">
        <v>163</v>
      </c>
      <c r="Y384" t="s">
        <v>7825</v>
      </c>
      <c r="Z384" t="s">
        <v>7826</v>
      </c>
      <c r="AA384" t="s">
        <v>74</v>
      </c>
      <c r="AB384" t="s">
        <v>7827</v>
      </c>
      <c r="AC384" t="s">
        <v>74</v>
      </c>
      <c r="AD384" t="s">
        <v>74</v>
      </c>
      <c r="AE384" t="s">
        <v>74</v>
      </c>
      <c r="AF384" t="s">
        <v>74</v>
      </c>
      <c r="AG384">
        <v>1</v>
      </c>
      <c r="AH384">
        <v>0</v>
      </c>
      <c r="AI384">
        <v>0</v>
      </c>
      <c r="AJ384">
        <v>0</v>
      </c>
      <c r="AK384">
        <v>0</v>
      </c>
      <c r="AL384" t="s">
        <v>4587</v>
      </c>
      <c r="AM384" t="s">
        <v>4588</v>
      </c>
      <c r="AN384" t="s">
        <v>4589</v>
      </c>
      <c r="AO384" t="s">
        <v>7709</v>
      </c>
      <c r="AP384" t="s">
        <v>7710</v>
      </c>
      <c r="AQ384" t="s">
        <v>74</v>
      </c>
      <c r="AR384" t="s">
        <v>7711</v>
      </c>
      <c r="AS384" t="s">
        <v>7712</v>
      </c>
      <c r="AT384" t="s">
        <v>7680</v>
      </c>
      <c r="AU384">
        <v>2022</v>
      </c>
      <c r="AV384">
        <v>12</v>
      </c>
      <c r="AW384">
        <v>1</v>
      </c>
      <c r="AX384" t="s">
        <v>74</v>
      </c>
      <c r="AY384" t="s">
        <v>74</v>
      </c>
      <c r="AZ384" t="s">
        <v>233</v>
      </c>
      <c r="BA384" t="s">
        <v>74</v>
      </c>
      <c r="BB384">
        <v>183</v>
      </c>
      <c r="BC384">
        <v>185</v>
      </c>
      <c r="BD384" t="s">
        <v>74</v>
      </c>
      <c r="BE384" t="s">
        <v>7828</v>
      </c>
      <c r="BF384" t="str">
        <f>HYPERLINK("http://dx.doi.org/10.1080/2154896X.2022.2040106","http://dx.doi.org/10.1080/2154896X.2022.2040106")</f>
        <v>http://dx.doi.org/10.1080/2154896X.2022.2040106</v>
      </c>
      <c r="BG384" t="s">
        <v>74</v>
      </c>
      <c r="BH384" t="s">
        <v>74</v>
      </c>
      <c r="BI384">
        <v>3</v>
      </c>
      <c r="BJ384" t="s">
        <v>7714</v>
      </c>
      <c r="BK384" t="s">
        <v>724</v>
      </c>
      <c r="BL384" t="s">
        <v>7715</v>
      </c>
      <c r="BM384" t="s">
        <v>7716</v>
      </c>
      <c r="BN384" t="s">
        <v>74</v>
      </c>
      <c r="BO384" t="s">
        <v>74</v>
      </c>
      <c r="BP384" t="s">
        <v>74</v>
      </c>
      <c r="BQ384" t="s">
        <v>74</v>
      </c>
      <c r="BR384" t="s">
        <v>106</v>
      </c>
      <c r="BS384" t="s">
        <v>7829</v>
      </c>
      <c r="BT384" t="str">
        <f>HYPERLINK("https%3A%2F%2Fwww.webofscience.com%2Fwos%2Fwoscc%2Ffull-record%2FWOS:001098773800013","View Full Record in Web of Science")</f>
        <v>View Full Record in Web of Science</v>
      </c>
    </row>
    <row r="385" spans="1:72" x14ac:dyDescent="0.15">
      <c r="A385" t="s">
        <v>72</v>
      </c>
      <c r="B385" t="s">
        <v>7830</v>
      </c>
      <c r="C385" t="s">
        <v>74</v>
      </c>
      <c r="D385" t="s">
        <v>74</v>
      </c>
      <c r="E385" t="s">
        <v>74</v>
      </c>
      <c r="F385" t="s">
        <v>7831</v>
      </c>
      <c r="G385" t="s">
        <v>74</v>
      </c>
      <c r="H385" t="s">
        <v>74</v>
      </c>
      <c r="I385" t="s">
        <v>7832</v>
      </c>
      <c r="J385" t="s">
        <v>7703</v>
      </c>
      <c r="K385" t="s">
        <v>74</v>
      </c>
      <c r="L385" t="s">
        <v>74</v>
      </c>
      <c r="M385" t="s">
        <v>78</v>
      </c>
      <c r="N385" t="s">
        <v>7688</v>
      </c>
      <c r="O385" t="s">
        <v>74</v>
      </c>
      <c r="P385" t="s">
        <v>74</v>
      </c>
      <c r="Q385" t="s">
        <v>74</v>
      </c>
      <c r="R385" t="s">
        <v>74</v>
      </c>
      <c r="S385" t="s">
        <v>74</v>
      </c>
      <c r="T385" t="s">
        <v>74</v>
      </c>
      <c r="U385" t="s">
        <v>74</v>
      </c>
      <c r="V385" t="s">
        <v>74</v>
      </c>
      <c r="W385" t="s">
        <v>7833</v>
      </c>
      <c r="X385" t="s">
        <v>163</v>
      </c>
      <c r="Y385" t="s">
        <v>7834</v>
      </c>
      <c r="Z385" t="s">
        <v>7835</v>
      </c>
      <c r="AA385" t="s">
        <v>74</v>
      </c>
      <c r="AB385" t="s">
        <v>74</v>
      </c>
      <c r="AC385" t="s">
        <v>74</v>
      </c>
      <c r="AD385" t="s">
        <v>74</v>
      </c>
      <c r="AE385" t="s">
        <v>74</v>
      </c>
      <c r="AF385" t="s">
        <v>74</v>
      </c>
      <c r="AG385">
        <v>1</v>
      </c>
      <c r="AH385">
        <v>0</v>
      </c>
      <c r="AI385">
        <v>0</v>
      </c>
      <c r="AJ385">
        <v>0</v>
      </c>
      <c r="AK385">
        <v>0</v>
      </c>
      <c r="AL385" t="s">
        <v>4587</v>
      </c>
      <c r="AM385" t="s">
        <v>4588</v>
      </c>
      <c r="AN385" t="s">
        <v>4589</v>
      </c>
      <c r="AO385" t="s">
        <v>7709</v>
      </c>
      <c r="AP385" t="s">
        <v>7710</v>
      </c>
      <c r="AQ385" t="s">
        <v>74</v>
      </c>
      <c r="AR385" t="s">
        <v>7711</v>
      </c>
      <c r="AS385" t="s">
        <v>7712</v>
      </c>
      <c r="AT385" t="s">
        <v>7680</v>
      </c>
      <c r="AU385">
        <v>2022</v>
      </c>
      <c r="AV385">
        <v>12</v>
      </c>
      <c r="AW385">
        <v>1</v>
      </c>
      <c r="AX385" t="s">
        <v>74</v>
      </c>
      <c r="AY385" t="s">
        <v>74</v>
      </c>
      <c r="AZ385" t="s">
        <v>233</v>
      </c>
      <c r="BA385" t="s">
        <v>74</v>
      </c>
      <c r="BB385">
        <v>185</v>
      </c>
      <c r="BC385">
        <v>186</v>
      </c>
      <c r="BD385" t="s">
        <v>74</v>
      </c>
      <c r="BE385" t="s">
        <v>7836</v>
      </c>
      <c r="BF385" t="str">
        <f>HYPERLINK("http://dx.doi.org/10.1080/2154896X.2022.2044986","http://dx.doi.org/10.1080/2154896X.2022.2044986")</f>
        <v>http://dx.doi.org/10.1080/2154896X.2022.2044986</v>
      </c>
      <c r="BG385" t="s">
        <v>74</v>
      </c>
      <c r="BH385" t="s">
        <v>74</v>
      </c>
      <c r="BI385">
        <v>2</v>
      </c>
      <c r="BJ385" t="s">
        <v>7714</v>
      </c>
      <c r="BK385" t="s">
        <v>724</v>
      </c>
      <c r="BL385" t="s">
        <v>7715</v>
      </c>
      <c r="BM385" t="s">
        <v>7716</v>
      </c>
      <c r="BN385" t="s">
        <v>74</v>
      </c>
      <c r="BO385" t="s">
        <v>74</v>
      </c>
      <c r="BP385" t="s">
        <v>74</v>
      </c>
      <c r="BQ385" t="s">
        <v>74</v>
      </c>
      <c r="BR385" t="s">
        <v>106</v>
      </c>
      <c r="BS385" t="s">
        <v>7837</v>
      </c>
      <c r="BT385" t="str">
        <f>HYPERLINK("https%3A%2F%2Fwww.webofscience.com%2Fwos%2Fwoscc%2Ffull-record%2FWOS:001098773800014","View Full Record in Web of Science")</f>
        <v>View Full Record in Web of Science</v>
      </c>
    </row>
    <row r="386" spans="1:72" x14ac:dyDescent="0.15">
      <c r="A386" t="s">
        <v>72</v>
      </c>
      <c r="B386" t="s">
        <v>7838</v>
      </c>
      <c r="C386" t="s">
        <v>74</v>
      </c>
      <c r="D386" t="s">
        <v>74</v>
      </c>
      <c r="E386" t="s">
        <v>74</v>
      </c>
      <c r="F386" t="s">
        <v>7839</v>
      </c>
      <c r="G386" t="s">
        <v>74</v>
      </c>
      <c r="H386" t="s">
        <v>74</v>
      </c>
      <c r="I386" t="s">
        <v>7840</v>
      </c>
      <c r="J386" t="s">
        <v>7703</v>
      </c>
      <c r="K386" t="s">
        <v>74</v>
      </c>
      <c r="L386" t="s">
        <v>74</v>
      </c>
      <c r="M386" t="s">
        <v>78</v>
      </c>
      <c r="N386" t="s">
        <v>7688</v>
      </c>
      <c r="O386" t="s">
        <v>74</v>
      </c>
      <c r="P386" t="s">
        <v>74</v>
      </c>
      <c r="Q386" t="s">
        <v>74</v>
      </c>
      <c r="R386" t="s">
        <v>74</v>
      </c>
      <c r="S386" t="s">
        <v>74</v>
      </c>
      <c r="T386" t="s">
        <v>74</v>
      </c>
      <c r="U386" t="s">
        <v>74</v>
      </c>
      <c r="V386" t="s">
        <v>74</v>
      </c>
      <c r="W386" t="s">
        <v>74</v>
      </c>
      <c r="X386" t="s">
        <v>74</v>
      </c>
      <c r="Y386" t="s">
        <v>74</v>
      </c>
      <c r="Z386" t="s">
        <v>7841</v>
      </c>
      <c r="AA386" t="s">
        <v>74</v>
      </c>
      <c r="AB386" t="s">
        <v>74</v>
      </c>
      <c r="AC386" t="s">
        <v>74</v>
      </c>
      <c r="AD386" t="s">
        <v>74</v>
      </c>
      <c r="AE386" t="s">
        <v>74</v>
      </c>
      <c r="AF386" t="s">
        <v>74</v>
      </c>
      <c r="AG386">
        <v>1</v>
      </c>
      <c r="AH386">
        <v>0</v>
      </c>
      <c r="AI386">
        <v>0</v>
      </c>
      <c r="AJ386">
        <v>0</v>
      </c>
      <c r="AK386">
        <v>0</v>
      </c>
      <c r="AL386" t="s">
        <v>4587</v>
      </c>
      <c r="AM386" t="s">
        <v>4588</v>
      </c>
      <c r="AN386" t="s">
        <v>4589</v>
      </c>
      <c r="AO386" t="s">
        <v>7709</v>
      </c>
      <c r="AP386" t="s">
        <v>7710</v>
      </c>
      <c r="AQ386" t="s">
        <v>74</v>
      </c>
      <c r="AR386" t="s">
        <v>7711</v>
      </c>
      <c r="AS386" t="s">
        <v>7712</v>
      </c>
      <c r="AT386" t="s">
        <v>7680</v>
      </c>
      <c r="AU386">
        <v>2022</v>
      </c>
      <c r="AV386">
        <v>12</v>
      </c>
      <c r="AW386">
        <v>1</v>
      </c>
      <c r="AX386" t="s">
        <v>74</v>
      </c>
      <c r="AY386" t="s">
        <v>74</v>
      </c>
      <c r="AZ386" t="s">
        <v>233</v>
      </c>
      <c r="BA386" t="s">
        <v>74</v>
      </c>
      <c r="BB386">
        <v>186</v>
      </c>
      <c r="BC386">
        <v>188</v>
      </c>
      <c r="BD386" t="s">
        <v>74</v>
      </c>
      <c r="BE386" t="s">
        <v>7842</v>
      </c>
      <c r="BF386" t="str">
        <f>HYPERLINK("http://dx.doi.org/10.1080/2154896X.2022.2056303","http://dx.doi.org/10.1080/2154896X.2022.2056303")</f>
        <v>http://dx.doi.org/10.1080/2154896X.2022.2056303</v>
      </c>
      <c r="BG386" t="s">
        <v>74</v>
      </c>
      <c r="BH386" t="s">
        <v>74</v>
      </c>
      <c r="BI386">
        <v>3</v>
      </c>
      <c r="BJ386" t="s">
        <v>7714</v>
      </c>
      <c r="BK386" t="s">
        <v>724</v>
      </c>
      <c r="BL386" t="s">
        <v>7715</v>
      </c>
      <c r="BM386" t="s">
        <v>7716</v>
      </c>
      <c r="BN386" t="s">
        <v>74</v>
      </c>
      <c r="BO386" t="s">
        <v>74</v>
      </c>
      <c r="BP386" t="s">
        <v>74</v>
      </c>
      <c r="BQ386" t="s">
        <v>74</v>
      </c>
      <c r="BR386" t="s">
        <v>106</v>
      </c>
      <c r="BS386" t="s">
        <v>7843</v>
      </c>
      <c r="BT386" t="str">
        <f>HYPERLINK("https%3A%2F%2Fwww.webofscience.com%2Fwos%2Fwoscc%2Ffull-record%2FWOS:001098773800015","View Full Record in Web of Science")</f>
        <v>View Full Record in Web of Science</v>
      </c>
    </row>
    <row r="387" spans="1:72" x14ac:dyDescent="0.15">
      <c r="A387" t="s">
        <v>7844</v>
      </c>
      <c r="B387" t="s">
        <v>7845</v>
      </c>
      <c r="C387" t="s">
        <v>74</v>
      </c>
      <c r="D387" t="s">
        <v>7846</v>
      </c>
      <c r="E387" t="s">
        <v>74</v>
      </c>
      <c r="F387" t="s">
        <v>7847</v>
      </c>
      <c r="G387" t="s">
        <v>74</v>
      </c>
      <c r="H387" t="s">
        <v>7848</v>
      </c>
      <c r="I387" t="s">
        <v>7849</v>
      </c>
      <c r="J387" t="s">
        <v>7850</v>
      </c>
      <c r="K387" t="s">
        <v>74</v>
      </c>
      <c r="L387" t="s">
        <v>74</v>
      </c>
      <c r="M387" t="s">
        <v>78</v>
      </c>
      <c r="N387" t="s">
        <v>7851</v>
      </c>
      <c r="O387" t="s">
        <v>7852</v>
      </c>
      <c r="P387" t="s">
        <v>7853</v>
      </c>
      <c r="Q387" t="s">
        <v>7854</v>
      </c>
      <c r="R387" t="s">
        <v>74</v>
      </c>
      <c r="S387" t="s">
        <v>74</v>
      </c>
      <c r="T387" t="s">
        <v>74</v>
      </c>
      <c r="U387" t="s">
        <v>74</v>
      </c>
      <c r="V387" t="s">
        <v>7855</v>
      </c>
      <c r="W387" t="s">
        <v>7856</v>
      </c>
      <c r="X387" t="s">
        <v>7857</v>
      </c>
      <c r="Y387" t="s">
        <v>7858</v>
      </c>
      <c r="Z387" t="s">
        <v>7859</v>
      </c>
      <c r="AA387" t="s">
        <v>7860</v>
      </c>
      <c r="AB387" t="s">
        <v>7861</v>
      </c>
      <c r="AC387" t="s">
        <v>7862</v>
      </c>
      <c r="AD387" t="s">
        <v>7863</v>
      </c>
      <c r="AE387" t="s">
        <v>7864</v>
      </c>
      <c r="AF387" t="s">
        <v>74</v>
      </c>
      <c r="AG387">
        <v>9</v>
      </c>
      <c r="AH387">
        <v>0</v>
      </c>
      <c r="AI387">
        <v>0</v>
      </c>
      <c r="AJ387">
        <v>0</v>
      </c>
      <c r="AK387">
        <v>0</v>
      </c>
      <c r="AL387" t="s">
        <v>7865</v>
      </c>
      <c r="AM387" t="s">
        <v>7866</v>
      </c>
      <c r="AN387" t="s">
        <v>7867</v>
      </c>
      <c r="AO387" t="s">
        <v>74</v>
      </c>
      <c r="AP387" t="s">
        <v>74</v>
      </c>
      <c r="AQ387" t="s">
        <v>74</v>
      </c>
      <c r="AR387" t="s">
        <v>74</v>
      </c>
      <c r="AS387" t="s">
        <v>74</v>
      </c>
      <c r="AT387" t="s">
        <v>74</v>
      </c>
      <c r="AU387">
        <v>2022</v>
      </c>
      <c r="AV387" t="s">
        <v>74</v>
      </c>
      <c r="AW387" t="s">
        <v>74</v>
      </c>
      <c r="AX387" t="s">
        <v>74</v>
      </c>
      <c r="AY387" t="s">
        <v>74</v>
      </c>
      <c r="AZ387" t="s">
        <v>74</v>
      </c>
      <c r="BA387" t="s">
        <v>74</v>
      </c>
      <c r="BB387" t="s">
        <v>74</v>
      </c>
      <c r="BC387" t="s">
        <v>74</v>
      </c>
      <c r="BD387">
        <v>1049</v>
      </c>
      <c r="BE387" t="s">
        <v>74</v>
      </c>
      <c r="BF387" t="s">
        <v>74</v>
      </c>
      <c r="BG387" t="s">
        <v>74</v>
      </c>
      <c r="BH387" t="s">
        <v>74</v>
      </c>
      <c r="BI387">
        <v>11</v>
      </c>
      <c r="BJ387" t="s">
        <v>2004</v>
      </c>
      <c r="BK387" t="s">
        <v>7868</v>
      </c>
      <c r="BL387" t="s">
        <v>2005</v>
      </c>
      <c r="BM387" t="s">
        <v>7869</v>
      </c>
      <c r="BN387" t="s">
        <v>74</v>
      </c>
      <c r="BO387" t="s">
        <v>74</v>
      </c>
      <c r="BP387" t="s">
        <v>74</v>
      </c>
      <c r="BQ387" t="s">
        <v>74</v>
      </c>
      <c r="BR387" t="s">
        <v>106</v>
      </c>
      <c r="BS387" t="s">
        <v>7870</v>
      </c>
      <c r="BT387" t="str">
        <f>HYPERLINK("https%3A%2F%2Fwww.webofscience.com%2Fwos%2Fwoscc%2Ffull-record%2FWOS:001081844903007","View Full Record in Web of Science")</f>
        <v>View Full Record in Web of Science</v>
      </c>
    </row>
    <row r="388" spans="1:72" x14ac:dyDescent="0.15">
      <c r="A388" t="s">
        <v>7844</v>
      </c>
      <c r="B388" t="s">
        <v>7845</v>
      </c>
      <c r="C388" t="s">
        <v>74</v>
      </c>
      <c r="D388" t="s">
        <v>7846</v>
      </c>
      <c r="E388" t="s">
        <v>74</v>
      </c>
      <c r="F388" t="s">
        <v>7847</v>
      </c>
      <c r="G388" t="s">
        <v>74</v>
      </c>
      <c r="H388" t="s">
        <v>7848</v>
      </c>
      <c r="I388" t="s">
        <v>7871</v>
      </c>
      <c r="J388" t="s">
        <v>7850</v>
      </c>
      <c r="K388" t="s">
        <v>74</v>
      </c>
      <c r="L388" t="s">
        <v>74</v>
      </c>
      <c r="M388" t="s">
        <v>78</v>
      </c>
      <c r="N388" t="s">
        <v>7851</v>
      </c>
      <c r="O388" t="s">
        <v>7852</v>
      </c>
      <c r="P388" t="s">
        <v>7853</v>
      </c>
      <c r="Q388" t="s">
        <v>7854</v>
      </c>
      <c r="R388" t="s">
        <v>74</v>
      </c>
      <c r="S388" t="s">
        <v>74</v>
      </c>
      <c r="T388" t="s">
        <v>74</v>
      </c>
      <c r="U388" t="s">
        <v>74</v>
      </c>
      <c r="V388" t="s">
        <v>7872</v>
      </c>
      <c r="W388" t="s">
        <v>7856</v>
      </c>
      <c r="X388" t="s">
        <v>7857</v>
      </c>
      <c r="Y388" t="s">
        <v>7873</v>
      </c>
      <c r="Z388" t="s">
        <v>7874</v>
      </c>
      <c r="AA388" t="s">
        <v>7875</v>
      </c>
      <c r="AB388" t="s">
        <v>7876</v>
      </c>
      <c r="AC388" t="s">
        <v>7862</v>
      </c>
      <c r="AD388" t="s">
        <v>7863</v>
      </c>
      <c r="AE388" t="s">
        <v>7864</v>
      </c>
      <c r="AF388" t="s">
        <v>74</v>
      </c>
      <c r="AG388">
        <v>12</v>
      </c>
      <c r="AH388">
        <v>0</v>
      </c>
      <c r="AI388">
        <v>0</v>
      </c>
      <c r="AJ388">
        <v>0</v>
      </c>
      <c r="AK388">
        <v>0</v>
      </c>
      <c r="AL388" t="s">
        <v>7865</v>
      </c>
      <c r="AM388" t="s">
        <v>7866</v>
      </c>
      <c r="AN388" t="s">
        <v>7867</v>
      </c>
      <c r="AO388" t="s">
        <v>74</v>
      </c>
      <c r="AP388" t="s">
        <v>74</v>
      </c>
      <c r="AQ388" t="s">
        <v>74</v>
      </c>
      <c r="AR388" t="s">
        <v>74</v>
      </c>
      <c r="AS388" t="s">
        <v>74</v>
      </c>
      <c r="AT388" t="s">
        <v>74</v>
      </c>
      <c r="AU388">
        <v>2022</v>
      </c>
      <c r="AV388" t="s">
        <v>74</v>
      </c>
      <c r="AW388" t="s">
        <v>74</v>
      </c>
      <c r="AX388" t="s">
        <v>74</v>
      </c>
      <c r="AY388" t="s">
        <v>74</v>
      </c>
      <c r="AZ388" t="s">
        <v>74</v>
      </c>
      <c r="BA388" t="s">
        <v>74</v>
      </c>
      <c r="BB388" t="s">
        <v>74</v>
      </c>
      <c r="BC388" t="s">
        <v>74</v>
      </c>
      <c r="BD388">
        <v>1044</v>
      </c>
      <c r="BE388" t="s">
        <v>74</v>
      </c>
      <c r="BF388" t="s">
        <v>74</v>
      </c>
      <c r="BG388" t="s">
        <v>74</v>
      </c>
      <c r="BH388" t="s">
        <v>74</v>
      </c>
      <c r="BI388">
        <v>11</v>
      </c>
      <c r="BJ388" t="s">
        <v>2004</v>
      </c>
      <c r="BK388" t="s">
        <v>7868</v>
      </c>
      <c r="BL388" t="s">
        <v>2005</v>
      </c>
      <c r="BM388" t="s">
        <v>7869</v>
      </c>
      <c r="BN388" t="s">
        <v>74</v>
      </c>
      <c r="BO388" t="s">
        <v>74</v>
      </c>
      <c r="BP388" t="s">
        <v>74</v>
      </c>
      <c r="BQ388" t="s">
        <v>74</v>
      </c>
      <c r="BR388" t="s">
        <v>106</v>
      </c>
      <c r="BS388" t="s">
        <v>7877</v>
      </c>
      <c r="BT388" t="str">
        <f>HYPERLINK("https%3A%2F%2Fwww.webofscience.com%2Fwos%2Fwoscc%2Ffull-record%2FWOS:001081844903002","View Full Record in Web of Science")</f>
        <v>View Full Record in Web of Science</v>
      </c>
    </row>
    <row r="389" spans="1:72" x14ac:dyDescent="0.15">
      <c r="A389" t="s">
        <v>7844</v>
      </c>
      <c r="B389" t="s">
        <v>7845</v>
      </c>
      <c r="C389" t="s">
        <v>74</v>
      </c>
      <c r="D389" t="s">
        <v>7846</v>
      </c>
      <c r="E389" t="s">
        <v>74</v>
      </c>
      <c r="F389" t="s">
        <v>7847</v>
      </c>
      <c r="G389" t="s">
        <v>74</v>
      </c>
      <c r="H389" t="s">
        <v>7848</v>
      </c>
      <c r="I389" t="s">
        <v>7878</v>
      </c>
      <c r="J389" t="s">
        <v>7850</v>
      </c>
      <c r="K389" t="s">
        <v>74</v>
      </c>
      <c r="L389" t="s">
        <v>74</v>
      </c>
      <c r="M389" t="s">
        <v>78</v>
      </c>
      <c r="N389" t="s">
        <v>7851</v>
      </c>
      <c r="O389" t="s">
        <v>7852</v>
      </c>
      <c r="P389" t="s">
        <v>7853</v>
      </c>
      <c r="Q389" t="s">
        <v>7854</v>
      </c>
      <c r="R389" t="s">
        <v>74</v>
      </c>
      <c r="S389" t="s">
        <v>74</v>
      </c>
      <c r="T389" t="s">
        <v>74</v>
      </c>
      <c r="U389" t="s">
        <v>74</v>
      </c>
      <c r="V389" t="s">
        <v>7879</v>
      </c>
      <c r="W389" t="s">
        <v>7856</v>
      </c>
      <c r="X389" t="s">
        <v>7880</v>
      </c>
      <c r="Y389" t="s">
        <v>7881</v>
      </c>
      <c r="Z389" t="s">
        <v>7882</v>
      </c>
      <c r="AA389" t="s">
        <v>7883</v>
      </c>
      <c r="AB389" t="s">
        <v>7884</v>
      </c>
      <c r="AC389" t="s">
        <v>7862</v>
      </c>
      <c r="AD389" t="s">
        <v>7863</v>
      </c>
      <c r="AE389" t="s">
        <v>7885</v>
      </c>
      <c r="AF389" t="s">
        <v>74</v>
      </c>
      <c r="AG389">
        <v>17</v>
      </c>
      <c r="AH389">
        <v>0</v>
      </c>
      <c r="AI389">
        <v>0</v>
      </c>
      <c r="AJ389">
        <v>0</v>
      </c>
      <c r="AK389">
        <v>0</v>
      </c>
      <c r="AL389" t="s">
        <v>7865</v>
      </c>
      <c r="AM389" t="s">
        <v>7866</v>
      </c>
      <c r="AN389" t="s">
        <v>7867</v>
      </c>
      <c r="AO389" t="s">
        <v>74</v>
      </c>
      <c r="AP389" t="s">
        <v>74</v>
      </c>
      <c r="AQ389" t="s">
        <v>74</v>
      </c>
      <c r="AR389" t="s">
        <v>74</v>
      </c>
      <c r="AS389" t="s">
        <v>74</v>
      </c>
      <c r="AT389" t="s">
        <v>74</v>
      </c>
      <c r="AU389">
        <v>2022</v>
      </c>
      <c r="AV389" t="s">
        <v>74</v>
      </c>
      <c r="AW389" t="s">
        <v>74</v>
      </c>
      <c r="AX389" t="s">
        <v>74</v>
      </c>
      <c r="AY389" t="s">
        <v>74</v>
      </c>
      <c r="AZ389" t="s">
        <v>74</v>
      </c>
      <c r="BA389" t="s">
        <v>74</v>
      </c>
      <c r="BB389" t="s">
        <v>74</v>
      </c>
      <c r="BC389" t="s">
        <v>74</v>
      </c>
      <c r="BD389">
        <v>1116</v>
      </c>
      <c r="BE389" t="s">
        <v>74</v>
      </c>
      <c r="BF389" t="s">
        <v>74</v>
      </c>
      <c r="BG389" t="s">
        <v>74</v>
      </c>
      <c r="BH389" t="s">
        <v>74</v>
      </c>
      <c r="BI389">
        <v>11</v>
      </c>
      <c r="BJ389" t="s">
        <v>2004</v>
      </c>
      <c r="BK389" t="s">
        <v>7868</v>
      </c>
      <c r="BL389" t="s">
        <v>2005</v>
      </c>
      <c r="BM389" t="s">
        <v>7869</v>
      </c>
      <c r="BN389" t="s">
        <v>74</v>
      </c>
      <c r="BO389" t="s">
        <v>74</v>
      </c>
      <c r="BP389" t="s">
        <v>74</v>
      </c>
      <c r="BQ389" t="s">
        <v>74</v>
      </c>
      <c r="BR389" t="s">
        <v>106</v>
      </c>
      <c r="BS389" t="s">
        <v>7886</v>
      </c>
      <c r="BT389" t="str">
        <f>HYPERLINK("https%3A%2F%2Fwww.webofscience.com%2Fwos%2Fwoscc%2Ffull-record%2FWOS:001081844903066","View Full Record in Web of Science")</f>
        <v>View Full Record in Web of Science</v>
      </c>
    </row>
    <row r="390" spans="1:72" x14ac:dyDescent="0.15">
      <c r="A390" t="s">
        <v>7844</v>
      </c>
      <c r="B390" t="s">
        <v>7845</v>
      </c>
      <c r="C390" t="s">
        <v>74</v>
      </c>
      <c r="D390" t="s">
        <v>7846</v>
      </c>
      <c r="E390" t="s">
        <v>74</v>
      </c>
      <c r="F390" t="s">
        <v>7847</v>
      </c>
      <c r="G390" t="s">
        <v>74</v>
      </c>
      <c r="H390" t="s">
        <v>7848</v>
      </c>
      <c r="I390" t="s">
        <v>7887</v>
      </c>
      <c r="J390" t="s">
        <v>7850</v>
      </c>
      <c r="K390" t="s">
        <v>74</v>
      </c>
      <c r="L390" t="s">
        <v>74</v>
      </c>
      <c r="M390" t="s">
        <v>78</v>
      </c>
      <c r="N390" t="s">
        <v>7851</v>
      </c>
      <c r="O390" t="s">
        <v>7852</v>
      </c>
      <c r="P390" t="s">
        <v>7853</v>
      </c>
      <c r="Q390" t="s">
        <v>7854</v>
      </c>
      <c r="R390" t="s">
        <v>74</v>
      </c>
      <c r="S390" t="s">
        <v>74</v>
      </c>
      <c r="T390" t="s">
        <v>74</v>
      </c>
      <c r="U390" t="s">
        <v>74</v>
      </c>
      <c r="V390" t="s">
        <v>7888</v>
      </c>
      <c r="W390" t="s">
        <v>7856</v>
      </c>
      <c r="X390" t="s">
        <v>7889</v>
      </c>
      <c r="Y390" t="s">
        <v>7890</v>
      </c>
      <c r="Z390" t="s">
        <v>7891</v>
      </c>
      <c r="AA390" t="s">
        <v>7892</v>
      </c>
      <c r="AB390" t="s">
        <v>7893</v>
      </c>
      <c r="AC390" t="s">
        <v>7894</v>
      </c>
      <c r="AD390" t="s">
        <v>7895</v>
      </c>
      <c r="AE390" t="s">
        <v>7864</v>
      </c>
      <c r="AF390" t="s">
        <v>74</v>
      </c>
      <c r="AG390">
        <v>8</v>
      </c>
      <c r="AH390">
        <v>0</v>
      </c>
      <c r="AI390">
        <v>0</v>
      </c>
      <c r="AJ390">
        <v>0</v>
      </c>
      <c r="AK390">
        <v>0</v>
      </c>
      <c r="AL390" t="s">
        <v>7865</v>
      </c>
      <c r="AM390" t="s">
        <v>7866</v>
      </c>
      <c r="AN390" t="s">
        <v>7867</v>
      </c>
      <c r="AO390" t="s">
        <v>74</v>
      </c>
      <c r="AP390" t="s">
        <v>74</v>
      </c>
      <c r="AQ390" t="s">
        <v>74</v>
      </c>
      <c r="AR390" t="s">
        <v>74</v>
      </c>
      <c r="AS390" t="s">
        <v>74</v>
      </c>
      <c r="AT390" t="s">
        <v>74</v>
      </c>
      <c r="AU390">
        <v>2022</v>
      </c>
      <c r="AV390" t="s">
        <v>74</v>
      </c>
      <c r="AW390" t="s">
        <v>74</v>
      </c>
      <c r="AX390" t="s">
        <v>74</v>
      </c>
      <c r="AY390" t="s">
        <v>74</v>
      </c>
      <c r="AZ390" t="s">
        <v>74</v>
      </c>
      <c r="BA390" t="s">
        <v>74</v>
      </c>
      <c r="BB390" t="s">
        <v>74</v>
      </c>
      <c r="BC390" t="s">
        <v>74</v>
      </c>
      <c r="BD390">
        <v>1382</v>
      </c>
      <c r="BE390" t="s">
        <v>74</v>
      </c>
      <c r="BF390" t="s">
        <v>74</v>
      </c>
      <c r="BG390" t="s">
        <v>74</v>
      </c>
      <c r="BH390" t="s">
        <v>74</v>
      </c>
      <c r="BI390">
        <v>9</v>
      </c>
      <c r="BJ390" t="s">
        <v>2004</v>
      </c>
      <c r="BK390" t="s">
        <v>7868</v>
      </c>
      <c r="BL390" t="s">
        <v>2005</v>
      </c>
      <c r="BM390" t="s">
        <v>7869</v>
      </c>
      <c r="BN390" t="s">
        <v>74</v>
      </c>
      <c r="BO390" t="s">
        <v>74</v>
      </c>
      <c r="BP390" t="s">
        <v>74</v>
      </c>
      <c r="BQ390" t="s">
        <v>74</v>
      </c>
      <c r="BR390" t="s">
        <v>106</v>
      </c>
      <c r="BS390" t="s">
        <v>7896</v>
      </c>
      <c r="BT390" t="str">
        <f>HYPERLINK("https%3A%2F%2Fwww.webofscience.com%2Fwos%2Fwoscc%2Ffull-record%2FWOS:001081844905069","View Full Record in Web of Science")</f>
        <v>View Full Record in Web of Science</v>
      </c>
    </row>
    <row r="391" spans="1:72" x14ac:dyDescent="0.15">
      <c r="A391" t="s">
        <v>7844</v>
      </c>
      <c r="B391" t="s">
        <v>7845</v>
      </c>
      <c r="C391" t="s">
        <v>74</v>
      </c>
      <c r="D391" t="s">
        <v>7846</v>
      </c>
      <c r="E391" t="s">
        <v>74</v>
      </c>
      <c r="F391" t="s">
        <v>7847</v>
      </c>
      <c r="G391" t="s">
        <v>74</v>
      </c>
      <c r="H391" t="s">
        <v>7848</v>
      </c>
      <c r="I391" t="s">
        <v>7897</v>
      </c>
      <c r="J391" t="s">
        <v>7850</v>
      </c>
      <c r="K391" t="s">
        <v>74</v>
      </c>
      <c r="L391" t="s">
        <v>74</v>
      </c>
      <c r="M391" t="s">
        <v>78</v>
      </c>
      <c r="N391" t="s">
        <v>7851</v>
      </c>
      <c r="O391" t="s">
        <v>7852</v>
      </c>
      <c r="P391" t="s">
        <v>7853</v>
      </c>
      <c r="Q391" t="s">
        <v>7854</v>
      </c>
      <c r="R391" t="s">
        <v>74</v>
      </c>
      <c r="S391" t="s">
        <v>74</v>
      </c>
      <c r="T391" t="s">
        <v>74</v>
      </c>
      <c r="U391" t="s">
        <v>7898</v>
      </c>
      <c r="V391" t="s">
        <v>7899</v>
      </c>
      <c r="W391" t="s">
        <v>7856</v>
      </c>
      <c r="X391" t="s">
        <v>7880</v>
      </c>
      <c r="Y391" t="s">
        <v>7900</v>
      </c>
      <c r="Z391" t="s">
        <v>7901</v>
      </c>
      <c r="AA391" t="s">
        <v>7902</v>
      </c>
      <c r="AB391" t="s">
        <v>7903</v>
      </c>
      <c r="AC391" t="s">
        <v>7904</v>
      </c>
      <c r="AD391" t="s">
        <v>7905</v>
      </c>
      <c r="AE391" t="s">
        <v>7906</v>
      </c>
      <c r="AF391" t="s">
        <v>74</v>
      </c>
      <c r="AG391">
        <v>12</v>
      </c>
      <c r="AH391">
        <v>0</v>
      </c>
      <c r="AI391">
        <v>0</v>
      </c>
      <c r="AJ391">
        <v>0</v>
      </c>
      <c r="AK391">
        <v>0</v>
      </c>
      <c r="AL391" t="s">
        <v>7865</v>
      </c>
      <c r="AM391" t="s">
        <v>7866</v>
      </c>
      <c r="AN391" t="s">
        <v>7867</v>
      </c>
      <c r="AO391" t="s">
        <v>74</v>
      </c>
      <c r="AP391" t="s">
        <v>74</v>
      </c>
      <c r="AQ391" t="s">
        <v>74</v>
      </c>
      <c r="AR391" t="s">
        <v>74</v>
      </c>
      <c r="AS391" t="s">
        <v>74</v>
      </c>
      <c r="AT391" t="s">
        <v>74</v>
      </c>
      <c r="AU391">
        <v>2022</v>
      </c>
      <c r="AV391" t="s">
        <v>74</v>
      </c>
      <c r="AW391" t="s">
        <v>74</v>
      </c>
      <c r="AX391" t="s">
        <v>74</v>
      </c>
      <c r="AY391" t="s">
        <v>74</v>
      </c>
      <c r="AZ391" t="s">
        <v>74</v>
      </c>
      <c r="BA391" t="s">
        <v>74</v>
      </c>
      <c r="BB391" t="s">
        <v>74</v>
      </c>
      <c r="BC391" t="s">
        <v>74</v>
      </c>
      <c r="BD391">
        <v>1057</v>
      </c>
      <c r="BE391" t="s">
        <v>74</v>
      </c>
      <c r="BF391" t="s">
        <v>74</v>
      </c>
      <c r="BG391" t="s">
        <v>74</v>
      </c>
      <c r="BH391" t="s">
        <v>74</v>
      </c>
      <c r="BI391">
        <v>11</v>
      </c>
      <c r="BJ391" t="s">
        <v>2004</v>
      </c>
      <c r="BK391" t="s">
        <v>7868</v>
      </c>
      <c r="BL391" t="s">
        <v>2005</v>
      </c>
      <c r="BM391" t="s">
        <v>7869</v>
      </c>
      <c r="BN391" t="s">
        <v>74</v>
      </c>
      <c r="BO391" t="s">
        <v>74</v>
      </c>
      <c r="BP391" t="s">
        <v>74</v>
      </c>
      <c r="BQ391" t="s">
        <v>74</v>
      </c>
      <c r="BR391" t="s">
        <v>106</v>
      </c>
      <c r="BS391" t="s">
        <v>7907</v>
      </c>
      <c r="BT391" t="str">
        <f>HYPERLINK("https%3A%2F%2Fwww.webofscience.com%2Fwos%2Fwoscc%2Ffull-record%2FWOS:001081844903015","View Full Record in Web of Science")</f>
        <v>View Full Record in Web of Science</v>
      </c>
    </row>
    <row r="392" spans="1:72" x14ac:dyDescent="0.15">
      <c r="A392" t="s">
        <v>7844</v>
      </c>
      <c r="B392" t="s">
        <v>7908</v>
      </c>
      <c r="C392" t="s">
        <v>74</v>
      </c>
      <c r="D392" t="s">
        <v>7846</v>
      </c>
      <c r="E392" t="s">
        <v>74</v>
      </c>
      <c r="F392" t="s">
        <v>7909</v>
      </c>
      <c r="G392" t="s">
        <v>74</v>
      </c>
      <c r="H392" t="s">
        <v>7910</v>
      </c>
      <c r="I392" t="s">
        <v>7911</v>
      </c>
      <c r="J392" t="s">
        <v>7850</v>
      </c>
      <c r="K392" t="s">
        <v>74</v>
      </c>
      <c r="L392" t="s">
        <v>74</v>
      </c>
      <c r="M392" t="s">
        <v>78</v>
      </c>
      <c r="N392" t="s">
        <v>7851</v>
      </c>
      <c r="O392" t="s">
        <v>7852</v>
      </c>
      <c r="P392" t="s">
        <v>7853</v>
      </c>
      <c r="Q392" t="s">
        <v>7854</v>
      </c>
      <c r="R392" t="s">
        <v>74</v>
      </c>
      <c r="S392" t="s">
        <v>74</v>
      </c>
      <c r="T392" t="s">
        <v>74</v>
      </c>
      <c r="U392" t="s">
        <v>74</v>
      </c>
      <c r="V392" t="s">
        <v>7912</v>
      </c>
      <c r="W392" t="s">
        <v>7913</v>
      </c>
      <c r="X392" t="s">
        <v>918</v>
      </c>
      <c r="Y392" t="s">
        <v>7914</v>
      </c>
      <c r="Z392" t="s">
        <v>7915</v>
      </c>
      <c r="AA392" t="s">
        <v>74</v>
      </c>
      <c r="AB392" t="s">
        <v>74</v>
      </c>
      <c r="AC392" t="s">
        <v>7916</v>
      </c>
      <c r="AD392" t="s">
        <v>7917</v>
      </c>
      <c r="AE392" t="s">
        <v>7918</v>
      </c>
      <c r="AF392" t="s">
        <v>74</v>
      </c>
      <c r="AG392">
        <v>8</v>
      </c>
      <c r="AH392">
        <v>0</v>
      </c>
      <c r="AI392">
        <v>0</v>
      </c>
      <c r="AJ392">
        <v>0</v>
      </c>
      <c r="AK392">
        <v>0</v>
      </c>
      <c r="AL392" t="s">
        <v>7865</v>
      </c>
      <c r="AM392" t="s">
        <v>7866</v>
      </c>
      <c r="AN392" t="s">
        <v>7867</v>
      </c>
      <c r="AO392" t="s">
        <v>74</v>
      </c>
      <c r="AP392" t="s">
        <v>74</v>
      </c>
      <c r="AQ392" t="s">
        <v>74</v>
      </c>
      <c r="AR392" t="s">
        <v>74</v>
      </c>
      <c r="AS392" t="s">
        <v>74</v>
      </c>
      <c r="AT392" t="s">
        <v>74</v>
      </c>
      <c r="AU392">
        <v>2022</v>
      </c>
      <c r="AV392" t="s">
        <v>74</v>
      </c>
      <c r="AW392" t="s">
        <v>74</v>
      </c>
      <c r="AX392" t="s">
        <v>74</v>
      </c>
      <c r="AY392" t="s">
        <v>74</v>
      </c>
      <c r="AZ392" t="s">
        <v>74</v>
      </c>
      <c r="BA392" t="s">
        <v>74</v>
      </c>
      <c r="BB392" t="s">
        <v>74</v>
      </c>
      <c r="BC392" t="s">
        <v>74</v>
      </c>
      <c r="BD392">
        <v>1074</v>
      </c>
      <c r="BE392" t="s">
        <v>74</v>
      </c>
      <c r="BF392" t="s">
        <v>74</v>
      </c>
      <c r="BG392" t="s">
        <v>74</v>
      </c>
      <c r="BH392" t="s">
        <v>74</v>
      </c>
      <c r="BI392">
        <v>9</v>
      </c>
      <c r="BJ392" t="s">
        <v>2004</v>
      </c>
      <c r="BK392" t="s">
        <v>7868</v>
      </c>
      <c r="BL392" t="s">
        <v>2005</v>
      </c>
      <c r="BM392" t="s">
        <v>7869</v>
      </c>
      <c r="BN392" t="s">
        <v>74</v>
      </c>
      <c r="BO392" t="s">
        <v>74</v>
      </c>
      <c r="BP392" t="s">
        <v>74</v>
      </c>
      <c r="BQ392" t="s">
        <v>74</v>
      </c>
      <c r="BR392" t="s">
        <v>106</v>
      </c>
      <c r="BS392" t="s">
        <v>7919</v>
      </c>
      <c r="BT392" t="str">
        <f>HYPERLINK("https%3A%2F%2Fwww.webofscience.com%2Fwos%2Fwoscc%2Ffull-record%2FWOS:001081844903030","View Full Record in Web of Science")</f>
        <v>View Full Record in Web of Science</v>
      </c>
    </row>
    <row r="393" spans="1:72" x14ac:dyDescent="0.15">
      <c r="A393" t="s">
        <v>7844</v>
      </c>
      <c r="B393" t="s">
        <v>7920</v>
      </c>
      <c r="C393" t="s">
        <v>74</v>
      </c>
      <c r="D393" t="s">
        <v>7846</v>
      </c>
      <c r="E393" t="s">
        <v>74</v>
      </c>
      <c r="F393" t="s">
        <v>7921</v>
      </c>
      <c r="G393" t="s">
        <v>74</v>
      </c>
      <c r="H393" t="s">
        <v>7910</v>
      </c>
      <c r="I393" t="s">
        <v>7922</v>
      </c>
      <c r="J393" t="s">
        <v>7850</v>
      </c>
      <c r="K393" t="s">
        <v>74</v>
      </c>
      <c r="L393" t="s">
        <v>74</v>
      </c>
      <c r="M393" t="s">
        <v>78</v>
      </c>
      <c r="N393" t="s">
        <v>7851</v>
      </c>
      <c r="O393" t="s">
        <v>7852</v>
      </c>
      <c r="P393" t="s">
        <v>7853</v>
      </c>
      <c r="Q393" t="s">
        <v>7854</v>
      </c>
      <c r="R393" t="s">
        <v>74</v>
      </c>
      <c r="S393" t="s">
        <v>74</v>
      </c>
      <c r="T393" t="s">
        <v>74</v>
      </c>
      <c r="U393" t="s">
        <v>74</v>
      </c>
      <c r="V393" t="s">
        <v>7923</v>
      </c>
      <c r="W393" t="s">
        <v>7924</v>
      </c>
      <c r="X393" t="s">
        <v>918</v>
      </c>
      <c r="Y393" t="s">
        <v>7925</v>
      </c>
      <c r="Z393" t="s">
        <v>7926</v>
      </c>
      <c r="AA393" t="s">
        <v>74</v>
      </c>
      <c r="AB393" t="s">
        <v>74</v>
      </c>
      <c r="AC393" t="s">
        <v>7927</v>
      </c>
      <c r="AD393" t="s">
        <v>7928</v>
      </c>
      <c r="AE393" t="s">
        <v>7918</v>
      </c>
      <c r="AF393" t="s">
        <v>74</v>
      </c>
      <c r="AG393">
        <v>17</v>
      </c>
      <c r="AH393">
        <v>0</v>
      </c>
      <c r="AI393">
        <v>0</v>
      </c>
      <c r="AJ393">
        <v>0</v>
      </c>
      <c r="AK393">
        <v>0</v>
      </c>
      <c r="AL393" t="s">
        <v>7865</v>
      </c>
      <c r="AM393" t="s">
        <v>7866</v>
      </c>
      <c r="AN393" t="s">
        <v>7867</v>
      </c>
      <c r="AO393" t="s">
        <v>74</v>
      </c>
      <c r="AP393" t="s">
        <v>74</v>
      </c>
      <c r="AQ393" t="s">
        <v>74</v>
      </c>
      <c r="AR393" t="s">
        <v>74</v>
      </c>
      <c r="AS393" t="s">
        <v>74</v>
      </c>
      <c r="AT393" t="s">
        <v>74</v>
      </c>
      <c r="AU393">
        <v>2022</v>
      </c>
      <c r="AV393" t="s">
        <v>74</v>
      </c>
      <c r="AW393" t="s">
        <v>74</v>
      </c>
      <c r="AX393" t="s">
        <v>74</v>
      </c>
      <c r="AY393" t="s">
        <v>74</v>
      </c>
      <c r="AZ393" t="s">
        <v>74</v>
      </c>
      <c r="BA393" t="s">
        <v>74</v>
      </c>
      <c r="BB393" t="s">
        <v>74</v>
      </c>
      <c r="BC393" t="s">
        <v>74</v>
      </c>
      <c r="BD393">
        <v>1190</v>
      </c>
      <c r="BE393" t="s">
        <v>74</v>
      </c>
      <c r="BF393" t="s">
        <v>74</v>
      </c>
      <c r="BG393" t="s">
        <v>74</v>
      </c>
      <c r="BH393" t="s">
        <v>74</v>
      </c>
      <c r="BI393">
        <v>9</v>
      </c>
      <c r="BJ393" t="s">
        <v>2004</v>
      </c>
      <c r="BK393" t="s">
        <v>7868</v>
      </c>
      <c r="BL393" t="s">
        <v>2005</v>
      </c>
      <c r="BM393" t="s">
        <v>7869</v>
      </c>
      <c r="BN393" t="s">
        <v>74</v>
      </c>
      <c r="BO393" t="s">
        <v>74</v>
      </c>
      <c r="BP393" t="s">
        <v>74</v>
      </c>
      <c r="BQ393" t="s">
        <v>74</v>
      </c>
      <c r="BR393" t="s">
        <v>106</v>
      </c>
      <c r="BS393" t="s">
        <v>7929</v>
      </c>
      <c r="BT393" t="str">
        <f>HYPERLINK("https%3A%2F%2Fwww.webofscience.com%2Fwos%2Fwoscc%2Ffull-record%2FWOS:001081844904031","View Full Record in Web of Science")</f>
        <v>View Full Record in Web of Science</v>
      </c>
    </row>
    <row r="394" spans="1:72" x14ac:dyDescent="0.15">
      <c r="A394" t="s">
        <v>7844</v>
      </c>
      <c r="B394" t="s">
        <v>7930</v>
      </c>
      <c r="C394" t="s">
        <v>74</v>
      </c>
      <c r="D394" t="s">
        <v>7846</v>
      </c>
      <c r="E394" t="s">
        <v>74</v>
      </c>
      <c r="F394" t="s">
        <v>7931</v>
      </c>
      <c r="G394" t="s">
        <v>74</v>
      </c>
      <c r="H394" t="s">
        <v>74</v>
      </c>
      <c r="I394" t="s">
        <v>7932</v>
      </c>
      <c r="J394" t="s">
        <v>7850</v>
      </c>
      <c r="K394" t="s">
        <v>74</v>
      </c>
      <c r="L394" t="s">
        <v>74</v>
      </c>
      <c r="M394" t="s">
        <v>78</v>
      </c>
      <c r="N394" t="s">
        <v>7851</v>
      </c>
      <c r="O394" t="s">
        <v>7852</v>
      </c>
      <c r="P394" t="s">
        <v>7853</v>
      </c>
      <c r="Q394" t="s">
        <v>7854</v>
      </c>
      <c r="R394" t="s">
        <v>74</v>
      </c>
      <c r="S394" t="s">
        <v>74</v>
      </c>
      <c r="T394" t="s">
        <v>74</v>
      </c>
      <c r="U394" t="s">
        <v>74</v>
      </c>
      <c r="V394" t="s">
        <v>7933</v>
      </c>
      <c r="W394" t="s">
        <v>7934</v>
      </c>
      <c r="X394" t="s">
        <v>7935</v>
      </c>
      <c r="Y394" t="s">
        <v>7936</v>
      </c>
      <c r="Z394" t="s">
        <v>7937</v>
      </c>
      <c r="AA394" t="s">
        <v>7938</v>
      </c>
      <c r="AB394" t="s">
        <v>7939</v>
      </c>
      <c r="AC394" t="s">
        <v>7940</v>
      </c>
      <c r="AD394" t="s">
        <v>7941</v>
      </c>
      <c r="AE394" t="s">
        <v>7942</v>
      </c>
      <c r="AF394" t="s">
        <v>74</v>
      </c>
      <c r="AG394">
        <v>11</v>
      </c>
      <c r="AH394">
        <v>0</v>
      </c>
      <c r="AI394">
        <v>0</v>
      </c>
      <c r="AJ394">
        <v>1</v>
      </c>
      <c r="AK394">
        <v>1</v>
      </c>
      <c r="AL394" t="s">
        <v>7865</v>
      </c>
      <c r="AM394" t="s">
        <v>7866</v>
      </c>
      <c r="AN394" t="s">
        <v>7867</v>
      </c>
      <c r="AO394" t="s">
        <v>74</v>
      </c>
      <c r="AP394" t="s">
        <v>74</v>
      </c>
      <c r="AQ394" t="s">
        <v>74</v>
      </c>
      <c r="AR394" t="s">
        <v>74</v>
      </c>
      <c r="AS394" t="s">
        <v>74</v>
      </c>
      <c r="AT394" t="s">
        <v>74</v>
      </c>
      <c r="AU394">
        <v>2022</v>
      </c>
      <c r="AV394" t="s">
        <v>74</v>
      </c>
      <c r="AW394" t="s">
        <v>74</v>
      </c>
      <c r="AX394" t="s">
        <v>74</v>
      </c>
      <c r="AY394" t="s">
        <v>74</v>
      </c>
      <c r="AZ394" t="s">
        <v>74</v>
      </c>
      <c r="BA394" t="s">
        <v>74</v>
      </c>
      <c r="BB394" t="s">
        <v>74</v>
      </c>
      <c r="BC394" t="s">
        <v>74</v>
      </c>
      <c r="BD394">
        <v>1249</v>
      </c>
      <c r="BE394" t="s">
        <v>74</v>
      </c>
      <c r="BF394" t="s">
        <v>74</v>
      </c>
      <c r="BG394" t="s">
        <v>74</v>
      </c>
      <c r="BH394" t="s">
        <v>74</v>
      </c>
      <c r="BI394">
        <v>9</v>
      </c>
      <c r="BJ394" t="s">
        <v>2004</v>
      </c>
      <c r="BK394" t="s">
        <v>7868</v>
      </c>
      <c r="BL394" t="s">
        <v>2005</v>
      </c>
      <c r="BM394" t="s">
        <v>7869</v>
      </c>
      <c r="BN394" t="s">
        <v>74</v>
      </c>
      <c r="BO394" t="s">
        <v>74</v>
      </c>
      <c r="BP394" t="s">
        <v>74</v>
      </c>
      <c r="BQ394" t="s">
        <v>74</v>
      </c>
      <c r="BR394" t="s">
        <v>106</v>
      </c>
      <c r="BS394" t="s">
        <v>7943</v>
      </c>
      <c r="BT394" t="str">
        <f>HYPERLINK("https%3A%2F%2Fwww.webofscience.com%2Fwos%2Fwoscc%2Ffull-record%2FWOS:001081844904085","View Full Record in Web of Science")</f>
        <v>View Full Record in Web of Science</v>
      </c>
    </row>
    <row r="395" spans="1:72" x14ac:dyDescent="0.15">
      <c r="A395" t="s">
        <v>7844</v>
      </c>
      <c r="B395" t="s">
        <v>7944</v>
      </c>
      <c r="C395" t="s">
        <v>74</v>
      </c>
      <c r="D395" t="s">
        <v>7846</v>
      </c>
      <c r="E395" t="s">
        <v>74</v>
      </c>
      <c r="F395" t="s">
        <v>7945</v>
      </c>
      <c r="G395" t="s">
        <v>74</v>
      </c>
      <c r="H395" t="s">
        <v>74</v>
      </c>
      <c r="I395" t="s">
        <v>7946</v>
      </c>
      <c r="J395" t="s">
        <v>7850</v>
      </c>
      <c r="K395" t="s">
        <v>74</v>
      </c>
      <c r="L395" t="s">
        <v>74</v>
      </c>
      <c r="M395" t="s">
        <v>78</v>
      </c>
      <c r="N395" t="s">
        <v>7851</v>
      </c>
      <c r="O395" t="s">
        <v>7852</v>
      </c>
      <c r="P395" t="s">
        <v>7853</v>
      </c>
      <c r="Q395" t="s">
        <v>7854</v>
      </c>
      <c r="R395" t="s">
        <v>74</v>
      </c>
      <c r="S395" t="s">
        <v>74</v>
      </c>
      <c r="T395" t="s">
        <v>74</v>
      </c>
      <c r="U395" t="s">
        <v>7947</v>
      </c>
      <c r="V395" t="s">
        <v>7948</v>
      </c>
      <c r="W395" t="s">
        <v>7949</v>
      </c>
      <c r="X395" t="s">
        <v>7950</v>
      </c>
      <c r="Y395" t="s">
        <v>7951</v>
      </c>
      <c r="Z395" t="s">
        <v>7952</v>
      </c>
      <c r="AA395" t="s">
        <v>74</v>
      </c>
      <c r="AB395" t="s">
        <v>74</v>
      </c>
      <c r="AC395" t="s">
        <v>7953</v>
      </c>
      <c r="AD395" t="s">
        <v>7954</v>
      </c>
      <c r="AE395" t="s">
        <v>7955</v>
      </c>
      <c r="AF395" t="s">
        <v>74</v>
      </c>
      <c r="AG395">
        <v>10</v>
      </c>
      <c r="AH395">
        <v>0</v>
      </c>
      <c r="AI395">
        <v>0</v>
      </c>
      <c r="AJ395">
        <v>0</v>
      </c>
      <c r="AK395">
        <v>0</v>
      </c>
      <c r="AL395" t="s">
        <v>7865</v>
      </c>
      <c r="AM395" t="s">
        <v>7866</v>
      </c>
      <c r="AN395" t="s">
        <v>7867</v>
      </c>
      <c r="AO395" t="s">
        <v>74</v>
      </c>
      <c r="AP395" t="s">
        <v>74</v>
      </c>
      <c r="AQ395" t="s">
        <v>74</v>
      </c>
      <c r="AR395" t="s">
        <v>74</v>
      </c>
      <c r="AS395" t="s">
        <v>74</v>
      </c>
      <c r="AT395" t="s">
        <v>74</v>
      </c>
      <c r="AU395">
        <v>2022</v>
      </c>
      <c r="AV395" t="s">
        <v>74</v>
      </c>
      <c r="AW395" t="s">
        <v>74</v>
      </c>
      <c r="AX395" t="s">
        <v>74</v>
      </c>
      <c r="AY395" t="s">
        <v>74</v>
      </c>
      <c r="AZ395" t="s">
        <v>74</v>
      </c>
      <c r="BA395" t="s">
        <v>74</v>
      </c>
      <c r="BB395" t="s">
        <v>74</v>
      </c>
      <c r="BC395" t="s">
        <v>74</v>
      </c>
      <c r="BD395">
        <v>1262</v>
      </c>
      <c r="BE395" t="s">
        <v>74</v>
      </c>
      <c r="BF395" t="s">
        <v>74</v>
      </c>
      <c r="BG395" t="s">
        <v>74</v>
      </c>
      <c r="BH395" t="s">
        <v>74</v>
      </c>
      <c r="BI395">
        <v>8</v>
      </c>
      <c r="BJ395" t="s">
        <v>2004</v>
      </c>
      <c r="BK395" t="s">
        <v>7868</v>
      </c>
      <c r="BL395" t="s">
        <v>2005</v>
      </c>
      <c r="BM395" t="s">
        <v>7869</v>
      </c>
      <c r="BN395" t="s">
        <v>74</v>
      </c>
      <c r="BO395" t="s">
        <v>74</v>
      </c>
      <c r="BP395" t="s">
        <v>74</v>
      </c>
      <c r="BQ395" t="s">
        <v>74</v>
      </c>
      <c r="BR395" t="s">
        <v>106</v>
      </c>
      <c r="BS395" t="s">
        <v>7956</v>
      </c>
      <c r="BT395" t="str">
        <f>HYPERLINK("https%3A%2F%2Fwww.webofscience.com%2Fwos%2Fwoscc%2Ffull-record%2FWOS:001081844904092","View Full Record in Web of Science")</f>
        <v>View Full Record in Web of Science</v>
      </c>
    </row>
    <row r="396" spans="1:72" x14ac:dyDescent="0.15">
      <c r="A396" t="s">
        <v>7844</v>
      </c>
      <c r="B396" t="s">
        <v>7957</v>
      </c>
      <c r="C396" t="s">
        <v>74</v>
      </c>
      <c r="D396" t="s">
        <v>7846</v>
      </c>
      <c r="E396" t="s">
        <v>74</v>
      </c>
      <c r="F396" t="s">
        <v>7958</v>
      </c>
      <c r="G396" t="s">
        <v>74</v>
      </c>
      <c r="H396" t="s">
        <v>7959</v>
      </c>
      <c r="I396" t="s">
        <v>7960</v>
      </c>
      <c r="J396" t="s">
        <v>7850</v>
      </c>
      <c r="K396" t="s">
        <v>74</v>
      </c>
      <c r="L396" t="s">
        <v>74</v>
      </c>
      <c r="M396" t="s">
        <v>78</v>
      </c>
      <c r="N396" t="s">
        <v>7851</v>
      </c>
      <c r="O396" t="s">
        <v>7852</v>
      </c>
      <c r="P396" t="s">
        <v>7853</v>
      </c>
      <c r="Q396" t="s">
        <v>7854</v>
      </c>
      <c r="R396" t="s">
        <v>74</v>
      </c>
      <c r="S396" t="s">
        <v>74</v>
      </c>
      <c r="T396" t="s">
        <v>74</v>
      </c>
      <c r="U396" t="s">
        <v>74</v>
      </c>
      <c r="V396" t="s">
        <v>7961</v>
      </c>
      <c r="W396" t="s">
        <v>7962</v>
      </c>
      <c r="X396" t="s">
        <v>7963</v>
      </c>
      <c r="Y396" t="s">
        <v>7964</v>
      </c>
      <c r="Z396" t="s">
        <v>7965</v>
      </c>
      <c r="AA396" t="s">
        <v>74</v>
      </c>
      <c r="AB396" t="s">
        <v>74</v>
      </c>
      <c r="AC396" t="s">
        <v>7966</v>
      </c>
      <c r="AD396" t="s">
        <v>7967</v>
      </c>
      <c r="AE396" t="s">
        <v>7968</v>
      </c>
      <c r="AF396" t="s">
        <v>74</v>
      </c>
      <c r="AG396">
        <v>8</v>
      </c>
      <c r="AH396">
        <v>0</v>
      </c>
      <c r="AI396">
        <v>0</v>
      </c>
      <c r="AJ396">
        <v>0</v>
      </c>
      <c r="AK396">
        <v>0</v>
      </c>
      <c r="AL396" t="s">
        <v>7865</v>
      </c>
      <c r="AM396" t="s">
        <v>7866</v>
      </c>
      <c r="AN396" t="s">
        <v>7867</v>
      </c>
      <c r="AO396" t="s">
        <v>74</v>
      </c>
      <c r="AP396" t="s">
        <v>74</v>
      </c>
      <c r="AQ396" t="s">
        <v>74</v>
      </c>
      <c r="AR396" t="s">
        <v>74</v>
      </c>
      <c r="AS396" t="s">
        <v>74</v>
      </c>
      <c r="AT396" t="s">
        <v>74</v>
      </c>
      <c r="AU396">
        <v>2022</v>
      </c>
      <c r="AV396" t="s">
        <v>74</v>
      </c>
      <c r="AW396" t="s">
        <v>74</v>
      </c>
      <c r="AX396" t="s">
        <v>74</v>
      </c>
      <c r="AY396" t="s">
        <v>74</v>
      </c>
      <c r="AZ396" t="s">
        <v>74</v>
      </c>
      <c r="BA396" t="s">
        <v>74</v>
      </c>
      <c r="BB396" t="s">
        <v>74</v>
      </c>
      <c r="BC396" t="s">
        <v>74</v>
      </c>
      <c r="BD396">
        <v>1086</v>
      </c>
      <c r="BE396" t="s">
        <v>74</v>
      </c>
      <c r="BF396" t="s">
        <v>74</v>
      </c>
      <c r="BG396" t="s">
        <v>74</v>
      </c>
      <c r="BH396" t="s">
        <v>74</v>
      </c>
      <c r="BI396">
        <v>9</v>
      </c>
      <c r="BJ396" t="s">
        <v>2004</v>
      </c>
      <c r="BK396" t="s">
        <v>7868</v>
      </c>
      <c r="BL396" t="s">
        <v>2005</v>
      </c>
      <c r="BM396" t="s">
        <v>7869</v>
      </c>
      <c r="BN396" t="s">
        <v>74</v>
      </c>
      <c r="BO396" t="s">
        <v>74</v>
      </c>
      <c r="BP396" t="s">
        <v>74</v>
      </c>
      <c r="BQ396" t="s">
        <v>74</v>
      </c>
      <c r="BR396" t="s">
        <v>106</v>
      </c>
      <c r="BS396" t="s">
        <v>7969</v>
      </c>
      <c r="BT396" t="str">
        <f>HYPERLINK("https%3A%2F%2Fwww.webofscience.com%2Fwos%2Fwoscc%2Ffull-record%2FWOS:001081844903041","View Full Record in Web of Science")</f>
        <v>View Full Record in Web of Science</v>
      </c>
    </row>
    <row r="397" spans="1:72" x14ac:dyDescent="0.15">
      <c r="A397" t="s">
        <v>7844</v>
      </c>
      <c r="B397" t="s">
        <v>7970</v>
      </c>
      <c r="C397" t="s">
        <v>74</v>
      </c>
      <c r="D397" t="s">
        <v>7846</v>
      </c>
      <c r="E397" t="s">
        <v>74</v>
      </c>
      <c r="F397" t="s">
        <v>7971</v>
      </c>
      <c r="G397" t="s">
        <v>74</v>
      </c>
      <c r="H397" t="s">
        <v>74</v>
      </c>
      <c r="I397" t="s">
        <v>7972</v>
      </c>
      <c r="J397" t="s">
        <v>7850</v>
      </c>
      <c r="K397" t="s">
        <v>74</v>
      </c>
      <c r="L397" t="s">
        <v>74</v>
      </c>
      <c r="M397" t="s">
        <v>78</v>
      </c>
      <c r="N397" t="s">
        <v>7851</v>
      </c>
      <c r="O397" t="s">
        <v>7852</v>
      </c>
      <c r="P397" t="s">
        <v>7853</v>
      </c>
      <c r="Q397" t="s">
        <v>7854</v>
      </c>
      <c r="R397" t="s">
        <v>74</v>
      </c>
      <c r="S397" t="s">
        <v>74</v>
      </c>
      <c r="T397" t="s">
        <v>74</v>
      </c>
      <c r="U397" t="s">
        <v>7973</v>
      </c>
      <c r="V397" t="s">
        <v>7974</v>
      </c>
      <c r="W397" t="s">
        <v>7975</v>
      </c>
      <c r="X397" t="s">
        <v>7976</v>
      </c>
      <c r="Y397" t="s">
        <v>7977</v>
      </c>
      <c r="Z397" t="s">
        <v>7978</v>
      </c>
      <c r="AA397" t="s">
        <v>74</v>
      </c>
      <c r="AB397" t="s">
        <v>74</v>
      </c>
      <c r="AC397" t="s">
        <v>7979</v>
      </c>
      <c r="AD397" t="s">
        <v>7979</v>
      </c>
      <c r="AE397" t="s">
        <v>7980</v>
      </c>
      <c r="AF397" t="s">
        <v>74</v>
      </c>
      <c r="AG397">
        <v>8</v>
      </c>
      <c r="AH397">
        <v>0</v>
      </c>
      <c r="AI397">
        <v>0</v>
      </c>
      <c r="AJ397">
        <v>1</v>
      </c>
      <c r="AK397">
        <v>1</v>
      </c>
      <c r="AL397" t="s">
        <v>7865</v>
      </c>
      <c r="AM397" t="s">
        <v>7866</v>
      </c>
      <c r="AN397" t="s">
        <v>7867</v>
      </c>
      <c r="AO397" t="s">
        <v>74</v>
      </c>
      <c r="AP397" t="s">
        <v>74</v>
      </c>
      <c r="AQ397" t="s">
        <v>74</v>
      </c>
      <c r="AR397" t="s">
        <v>74</v>
      </c>
      <c r="AS397" t="s">
        <v>74</v>
      </c>
      <c r="AT397" t="s">
        <v>74</v>
      </c>
      <c r="AU397">
        <v>2022</v>
      </c>
      <c r="AV397" t="s">
        <v>74</v>
      </c>
      <c r="AW397" t="s">
        <v>74</v>
      </c>
      <c r="AX397" t="s">
        <v>74</v>
      </c>
      <c r="AY397" t="s">
        <v>74</v>
      </c>
      <c r="AZ397" t="s">
        <v>74</v>
      </c>
      <c r="BA397" t="s">
        <v>74</v>
      </c>
      <c r="BB397" t="s">
        <v>74</v>
      </c>
      <c r="BC397" t="s">
        <v>74</v>
      </c>
      <c r="BD397">
        <v>1263</v>
      </c>
      <c r="BE397" t="s">
        <v>74</v>
      </c>
      <c r="BF397" t="s">
        <v>74</v>
      </c>
      <c r="BG397" t="s">
        <v>74</v>
      </c>
      <c r="BH397" t="s">
        <v>74</v>
      </c>
      <c r="BI397">
        <v>8</v>
      </c>
      <c r="BJ397" t="s">
        <v>2004</v>
      </c>
      <c r="BK397" t="s">
        <v>7868</v>
      </c>
      <c r="BL397" t="s">
        <v>2005</v>
      </c>
      <c r="BM397" t="s">
        <v>7869</v>
      </c>
      <c r="BN397" t="s">
        <v>74</v>
      </c>
      <c r="BO397" t="s">
        <v>74</v>
      </c>
      <c r="BP397" t="s">
        <v>74</v>
      </c>
      <c r="BQ397" t="s">
        <v>74</v>
      </c>
      <c r="BR397" t="s">
        <v>106</v>
      </c>
      <c r="BS397" t="s">
        <v>7981</v>
      </c>
      <c r="BT397" t="str">
        <f>HYPERLINK("https%3A%2F%2Fwww.webofscience.com%2Fwos%2Fwoscc%2Ffull-record%2FWOS:001081844904093","View Full Record in Web of Science")</f>
        <v>View Full Record in Web of Science</v>
      </c>
    </row>
    <row r="398" spans="1:72" x14ac:dyDescent="0.15">
      <c r="A398" t="s">
        <v>7844</v>
      </c>
      <c r="B398" t="s">
        <v>7982</v>
      </c>
      <c r="C398" t="s">
        <v>74</v>
      </c>
      <c r="D398" t="s">
        <v>7846</v>
      </c>
      <c r="E398" t="s">
        <v>74</v>
      </c>
      <c r="F398" t="s">
        <v>7983</v>
      </c>
      <c r="G398" t="s">
        <v>74</v>
      </c>
      <c r="H398" t="s">
        <v>7959</v>
      </c>
      <c r="I398" t="s">
        <v>7984</v>
      </c>
      <c r="J398" t="s">
        <v>7850</v>
      </c>
      <c r="K398" t="s">
        <v>74</v>
      </c>
      <c r="L398" t="s">
        <v>74</v>
      </c>
      <c r="M398" t="s">
        <v>78</v>
      </c>
      <c r="N398" t="s">
        <v>7851</v>
      </c>
      <c r="O398" t="s">
        <v>7852</v>
      </c>
      <c r="P398" t="s">
        <v>7853</v>
      </c>
      <c r="Q398" t="s">
        <v>7854</v>
      </c>
      <c r="R398" t="s">
        <v>74</v>
      </c>
      <c r="S398" t="s">
        <v>74</v>
      </c>
      <c r="T398" t="s">
        <v>74</v>
      </c>
      <c r="U398" t="s">
        <v>74</v>
      </c>
      <c r="V398" t="s">
        <v>7985</v>
      </c>
      <c r="W398" t="s">
        <v>7986</v>
      </c>
      <c r="X398" t="s">
        <v>7987</v>
      </c>
      <c r="Y398" t="s">
        <v>7988</v>
      </c>
      <c r="Z398" t="s">
        <v>7989</v>
      </c>
      <c r="AA398" t="s">
        <v>74</v>
      </c>
      <c r="AB398" t="s">
        <v>74</v>
      </c>
      <c r="AC398" t="s">
        <v>7990</v>
      </c>
      <c r="AD398" t="s">
        <v>7967</v>
      </c>
      <c r="AE398" t="s">
        <v>7991</v>
      </c>
      <c r="AF398" t="s">
        <v>74</v>
      </c>
      <c r="AG398">
        <v>14</v>
      </c>
      <c r="AH398">
        <v>0</v>
      </c>
      <c r="AI398">
        <v>0</v>
      </c>
      <c r="AJ398">
        <v>0</v>
      </c>
      <c r="AK398">
        <v>0</v>
      </c>
      <c r="AL398" t="s">
        <v>7865</v>
      </c>
      <c r="AM398" t="s">
        <v>7866</v>
      </c>
      <c r="AN398" t="s">
        <v>7867</v>
      </c>
      <c r="AO398" t="s">
        <v>74</v>
      </c>
      <c r="AP398" t="s">
        <v>74</v>
      </c>
      <c r="AQ398" t="s">
        <v>74</v>
      </c>
      <c r="AR398" t="s">
        <v>74</v>
      </c>
      <c r="AS398" t="s">
        <v>74</v>
      </c>
      <c r="AT398" t="s">
        <v>74</v>
      </c>
      <c r="AU398">
        <v>2022</v>
      </c>
      <c r="AV398" t="s">
        <v>74</v>
      </c>
      <c r="AW398" t="s">
        <v>74</v>
      </c>
      <c r="AX398" t="s">
        <v>74</v>
      </c>
      <c r="AY398" t="s">
        <v>74</v>
      </c>
      <c r="AZ398" t="s">
        <v>74</v>
      </c>
      <c r="BA398" t="s">
        <v>74</v>
      </c>
      <c r="BB398" t="s">
        <v>74</v>
      </c>
      <c r="BC398" t="s">
        <v>74</v>
      </c>
      <c r="BD398">
        <v>1153</v>
      </c>
      <c r="BE398" t="s">
        <v>74</v>
      </c>
      <c r="BF398" t="s">
        <v>74</v>
      </c>
      <c r="BG398" t="s">
        <v>74</v>
      </c>
      <c r="BH398" t="s">
        <v>74</v>
      </c>
      <c r="BI398">
        <v>9</v>
      </c>
      <c r="BJ398" t="s">
        <v>2004</v>
      </c>
      <c r="BK398" t="s">
        <v>7868</v>
      </c>
      <c r="BL398" t="s">
        <v>2005</v>
      </c>
      <c r="BM398" t="s">
        <v>7869</v>
      </c>
      <c r="BN398" t="s">
        <v>74</v>
      </c>
      <c r="BO398" t="s">
        <v>74</v>
      </c>
      <c r="BP398" t="s">
        <v>74</v>
      </c>
      <c r="BQ398" t="s">
        <v>74</v>
      </c>
      <c r="BR398" t="s">
        <v>106</v>
      </c>
      <c r="BS398" t="s">
        <v>7992</v>
      </c>
      <c r="BT398" t="str">
        <f>HYPERLINK("https%3A%2F%2Fwww.webofscience.com%2Fwos%2Fwoscc%2Ffull-record%2FWOS:001081844903102","View Full Record in Web of Science")</f>
        <v>View Full Record in Web of Science</v>
      </c>
    </row>
    <row r="399" spans="1:72" x14ac:dyDescent="0.15">
      <c r="A399" t="s">
        <v>7844</v>
      </c>
      <c r="B399" t="s">
        <v>7993</v>
      </c>
      <c r="C399" t="s">
        <v>74</v>
      </c>
      <c r="D399" t="s">
        <v>7846</v>
      </c>
      <c r="E399" t="s">
        <v>74</v>
      </c>
      <c r="F399" t="s">
        <v>7994</v>
      </c>
      <c r="G399" t="s">
        <v>74</v>
      </c>
      <c r="H399" t="s">
        <v>7959</v>
      </c>
      <c r="I399" t="s">
        <v>7995</v>
      </c>
      <c r="J399" t="s">
        <v>7850</v>
      </c>
      <c r="K399" t="s">
        <v>74</v>
      </c>
      <c r="L399" t="s">
        <v>74</v>
      </c>
      <c r="M399" t="s">
        <v>78</v>
      </c>
      <c r="N399" t="s">
        <v>7851</v>
      </c>
      <c r="O399" t="s">
        <v>7852</v>
      </c>
      <c r="P399" t="s">
        <v>7853</v>
      </c>
      <c r="Q399" t="s">
        <v>7854</v>
      </c>
      <c r="R399" t="s">
        <v>74</v>
      </c>
      <c r="S399" t="s">
        <v>74</v>
      </c>
      <c r="T399" t="s">
        <v>74</v>
      </c>
      <c r="U399" t="s">
        <v>74</v>
      </c>
      <c r="V399" t="s">
        <v>7996</v>
      </c>
      <c r="W399" t="s">
        <v>7997</v>
      </c>
      <c r="X399" t="s">
        <v>7998</v>
      </c>
      <c r="Y399" t="s">
        <v>7999</v>
      </c>
      <c r="Z399" t="s">
        <v>8000</v>
      </c>
      <c r="AA399" t="s">
        <v>74</v>
      </c>
      <c r="AB399" t="s">
        <v>74</v>
      </c>
      <c r="AC399" t="s">
        <v>8001</v>
      </c>
      <c r="AD399" t="s">
        <v>8002</v>
      </c>
      <c r="AE399" t="s">
        <v>8003</v>
      </c>
      <c r="AF399" t="s">
        <v>74</v>
      </c>
      <c r="AG399">
        <v>9</v>
      </c>
      <c r="AH399">
        <v>1</v>
      </c>
      <c r="AI399">
        <v>1</v>
      </c>
      <c r="AJ399">
        <v>0</v>
      </c>
      <c r="AK399">
        <v>0</v>
      </c>
      <c r="AL399" t="s">
        <v>7865</v>
      </c>
      <c r="AM399" t="s">
        <v>7866</v>
      </c>
      <c r="AN399" t="s">
        <v>7867</v>
      </c>
      <c r="AO399" t="s">
        <v>74</v>
      </c>
      <c r="AP399" t="s">
        <v>74</v>
      </c>
      <c r="AQ399" t="s">
        <v>74</v>
      </c>
      <c r="AR399" t="s">
        <v>74</v>
      </c>
      <c r="AS399" t="s">
        <v>74</v>
      </c>
      <c r="AT399" t="s">
        <v>74</v>
      </c>
      <c r="AU399">
        <v>2022</v>
      </c>
      <c r="AV399" t="s">
        <v>74</v>
      </c>
      <c r="AW399" t="s">
        <v>74</v>
      </c>
      <c r="AX399" t="s">
        <v>74</v>
      </c>
      <c r="AY399" t="s">
        <v>74</v>
      </c>
      <c r="AZ399" t="s">
        <v>74</v>
      </c>
      <c r="BA399" t="s">
        <v>74</v>
      </c>
      <c r="BB399" t="s">
        <v>74</v>
      </c>
      <c r="BC399" t="s">
        <v>74</v>
      </c>
      <c r="BD399">
        <v>1147</v>
      </c>
      <c r="BE399" t="s">
        <v>74</v>
      </c>
      <c r="BF399" t="s">
        <v>74</v>
      </c>
      <c r="BG399" t="s">
        <v>74</v>
      </c>
      <c r="BH399" t="s">
        <v>74</v>
      </c>
      <c r="BI399">
        <v>9</v>
      </c>
      <c r="BJ399" t="s">
        <v>2004</v>
      </c>
      <c r="BK399" t="s">
        <v>7868</v>
      </c>
      <c r="BL399" t="s">
        <v>2005</v>
      </c>
      <c r="BM399" t="s">
        <v>7869</v>
      </c>
      <c r="BN399" t="s">
        <v>74</v>
      </c>
      <c r="BO399" t="s">
        <v>74</v>
      </c>
      <c r="BP399" t="s">
        <v>74</v>
      </c>
      <c r="BQ399" t="s">
        <v>74</v>
      </c>
      <c r="BR399" t="s">
        <v>106</v>
      </c>
      <c r="BS399" t="s">
        <v>8004</v>
      </c>
      <c r="BT399" t="str">
        <f>HYPERLINK("https%3A%2F%2Fwww.webofscience.com%2Fwos%2Fwoscc%2Ffull-record%2FWOS:001081844903096","View Full Record in Web of Science")</f>
        <v>View Full Record in Web of Science</v>
      </c>
    </row>
    <row r="400" spans="1:72" x14ac:dyDescent="0.15">
      <c r="A400" t="s">
        <v>7844</v>
      </c>
      <c r="B400" t="s">
        <v>8005</v>
      </c>
      <c r="C400" t="s">
        <v>74</v>
      </c>
      <c r="D400" t="s">
        <v>7846</v>
      </c>
      <c r="E400" t="s">
        <v>74</v>
      </c>
      <c r="F400" t="s">
        <v>8006</v>
      </c>
      <c r="G400" t="s">
        <v>74</v>
      </c>
      <c r="H400" t="s">
        <v>74</v>
      </c>
      <c r="I400" t="s">
        <v>8007</v>
      </c>
      <c r="J400" t="s">
        <v>7850</v>
      </c>
      <c r="K400" t="s">
        <v>74</v>
      </c>
      <c r="L400" t="s">
        <v>74</v>
      </c>
      <c r="M400" t="s">
        <v>78</v>
      </c>
      <c r="N400" t="s">
        <v>7851</v>
      </c>
      <c r="O400" t="s">
        <v>7852</v>
      </c>
      <c r="P400" t="s">
        <v>7853</v>
      </c>
      <c r="Q400" t="s">
        <v>7854</v>
      </c>
      <c r="R400" t="s">
        <v>74</v>
      </c>
      <c r="S400" t="s">
        <v>74</v>
      </c>
      <c r="T400" t="s">
        <v>74</v>
      </c>
      <c r="U400" t="s">
        <v>74</v>
      </c>
      <c r="V400" t="s">
        <v>8008</v>
      </c>
      <c r="W400" t="s">
        <v>8009</v>
      </c>
      <c r="X400" t="s">
        <v>8010</v>
      </c>
      <c r="Y400" t="s">
        <v>8011</v>
      </c>
      <c r="Z400" t="s">
        <v>8012</v>
      </c>
      <c r="AA400" t="s">
        <v>74</v>
      </c>
      <c r="AB400" t="s">
        <v>74</v>
      </c>
      <c r="AC400" t="s">
        <v>8013</v>
      </c>
      <c r="AD400" t="s">
        <v>8014</v>
      </c>
      <c r="AE400" t="s">
        <v>8015</v>
      </c>
      <c r="AF400" t="s">
        <v>74</v>
      </c>
      <c r="AG400">
        <v>9</v>
      </c>
      <c r="AH400">
        <v>0</v>
      </c>
      <c r="AI400">
        <v>0</v>
      </c>
      <c r="AJ400">
        <v>0</v>
      </c>
      <c r="AK400">
        <v>0</v>
      </c>
      <c r="AL400" t="s">
        <v>7865</v>
      </c>
      <c r="AM400" t="s">
        <v>7866</v>
      </c>
      <c r="AN400" t="s">
        <v>7867</v>
      </c>
      <c r="AO400" t="s">
        <v>74</v>
      </c>
      <c r="AP400" t="s">
        <v>74</v>
      </c>
      <c r="AQ400" t="s">
        <v>74</v>
      </c>
      <c r="AR400" t="s">
        <v>74</v>
      </c>
      <c r="AS400" t="s">
        <v>74</v>
      </c>
      <c r="AT400" t="s">
        <v>74</v>
      </c>
      <c r="AU400">
        <v>2022</v>
      </c>
      <c r="AV400" t="s">
        <v>74</v>
      </c>
      <c r="AW400" t="s">
        <v>74</v>
      </c>
      <c r="AX400" t="s">
        <v>74</v>
      </c>
      <c r="AY400" t="s">
        <v>74</v>
      </c>
      <c r="AZ400" t="s">
        <v>74</v>
      </c>
      <c r="BA400" t="s">
        <v>74</v>
      </c>
      <c r="BB400" t="s">
        <v>74</v>
      </c>
      <c r="BC400" t="s">
        <v>74</v>
      </c>
      <c r="BD400">
        <v>1285</v>
      </c>
      <c r="BE400" t="s">
        <v>74</v>
      </c>
      <c r="BF400" t="s">
        <v>74</v>
      </c>
      <c r="BG400" t="s">
        <v>74</v>
      </c>
      <c r="BH400" t="s">
        <v>74</v>
      </c>
      <c r="BI400">
        <v>8</v>
      </c>
      <c r="BJ400" t="s">
        <v>2004</v>
      </c>
      <c r="BK400" t="s">
        <v>7868</v>
      </c>
      <c r="BL400" t="s">
        <v>2005</v>
      </c>
      <c r="BM400" t="s">
        <v>7869</v>
      </c>
      <c r="BN400" t="s">
        <v>74</v>
      </c>
      <c r="BO400" t="s">
        <v>74</v>
      </c>
      <c r="BP400" t="s">
        <v>74</v>
      </c>
      <c r="BQ400" t="s">
        <v>74</v>
      </c>
      <c r="BR400" t="s">
        <v>106</v>
      </c>
      <c r="BS400" t="s">
        <v>8016</v>
      </c>
      <c r="BT400" t="str">
        <f>HYPERLINK("https%3A%2F%2Fwww.webofscience.com%2Fwos%2Fwoscc%2Ffull-record%2FWOS:001081844904112","View Full Record in Web of Science")</f>
        <v>View Full Record in Web of Science</v>
      </c>
    </row>
    <row r="401" spans="1:72" x14ac:dyDescent="0.15">
      <c r="A401" t="s">
        <v>7844</v>
      </c>
      <c r="B401" t="s">
        <v>8017</v>
      </c>
      <c r="C401" t="s">
        <v>74</v>
      </c>
      <c r="D401" t="s">
        <v>7846</v>
      </c>
      <c r="E401" t="s">
        <v>74</v>
      </c>
      <c r="F401" t="s">
        <v>8018</v>
      </c>
      <c r="G401" t="s">
        <v>74</v>
      </c>
      <c r="H401" t="s">
        <v>8019</v>
      </c>
      <c r="I401" t="s">
        <v>8020</v>
      </c>
      <c r="J401" t="s">
        <v>7850</v>
      </c>
      <c r="K401" t="s">
        <v>74</v>
      </c>
      <c r="L401" t="s">
        <v>74</v>
      </c>
      <c r="M401" t="s">
        <v>78</v>
      </c>
      <c r="N401" t="s">
        <v>7851</v>
      </c>
      <c r="O401" t="s">
        <v>7852</v>
      </c>
      <c r="P401" t="s">
        <v>7853</v>
      </c>
      <c r="Q401" t="s">
        <v>7854</v>
      </c>
      <c r="R401" t="s">
        <v>74</v>
      </c>
      <c r="S401" t="s">
        <v>74</v>
      </c>
      <c r="T401" t="s">
        <v>74</v>
      </c>
      <c r="U401" t="s">
        <v>74</v>
      </c>
      <c r="V401" t="s">
        <v>8021</v>
      </c>
      <c r="W401" t="s">
        <v>8022</v>
      </c>
      <c r="X401" t="s">
        <v>8023</v>
      </c>
      <c r="Y401" t="s">
        <v>8024</v>
      </c>
      <c r="Z401" t="s">
        <v>8025</v>
      </c>
      <c r="AA401" t="s">
        <v>74</v>
      </c>
      <c r="AB401" t="s">
        <v>74</v>
      </c>
      <c r="AC401" t="s">
        <v>8026</v>
      </c>
      <c r="AD401" t="s">
        <v>8027</v>
      </c>
      <c r="AE401" t="s">
        <v>8028</v>
      </c>
      <c r="AF401" t="s">
        <v>74</v>
      </c>
      <c r="AG401">
        <v>11</v>
      </c>
      <c r="AH401">
        <v>0</v>
      </c>
      <c r="AI401">
        <v>0</v>
      </c>
      <c r="AJ401">
        <v>0</v>
      </c>
      <c r="AK401">
        <v>0</v>
      </c>
      <c r="AL401" t="s">
        <v>7865</v>
      </c>
      <c r="AM401" t="s">
        <v>7866</v>
      </c>
      <c r="AN401" t="s">
        <v>7867</v>
      </c>
      <c r="AO401" t="s">
        <v>74</v>
      </c>
      <c r="AP401" t="s">
        <v>74</v>
      </c>
      <c r="AQ401" t="s">
        <v>74</v>
      </c>
      <c r="AR401" t="s">
        <v>74</v>
      </c>
      <c r="AS401" t="s">
        <v>74</v>
      </c>
      <c r="AT401" t="s">
        <v>74</v>
      </c>
      <c r="AU401">
        <v>2022</v>
      </c>
      <c r="AV401" t="s">
        <v>74</v>
      </c>
      <c r="AW401" t="s">
        <v>74</v>
      </c>
      <c r="AX401" t="s">
        <v>74</v>
      </c>
      <c r="AY401" t="s">
        <v>74</v>
      </c>
      <c r="AZ401" t="s">
        <v>74</v>
      </c>
      <c r="BA401" t="s">
        <v>74</v>
      </c>
      <c r="BB401" t="s">
        <v>74</v>
      </c>
      <c r="BC401" t="s">
        <v>74</v>
      </c>
      <c r="BD401">
        <v>1265</v>
      </c>
      <c r="BE401" t="s">
        <v>74</v>
      </c>
      <c r="BF401" t="s">
        <v>74</v>
      </c>
      <c r="BG401" t="s">
        <v>74</v>
      </c>
      <c r="BH401" t="s">
        <v>74</v>
      </c>
      <c r="BI401">
        <v>9</v>
      </c>
      <c r="BJ401" t="s">
        <v>2004</v>
      </c>
      <c r="BK401" t="s">
        <v>7868</v>
      </c>
      <c r="BL401" t="s">
        <v>2005</v>
      </c>
      <c r="BM401" t="s">
        <v>7869</v>
      </c>
      <c r="BN401" t="s">
        <v>74</v>
      </c>
      <c r="BO401" t="s">
        <v>74</v>
      </c>
      <c r="BP401" t="s">
        <v>74</v>
      </c>
      <c r="BQ401" t="s">
        <v>74</v>
      </c>
      <c r="BR401" t="s">
        <v>106</v>
      </c>
      <c r="BS401" t="s">
        <v>8029</v>
      </c>
      <c r="BT401" t="str">
        <f>HYPERLINK("https%3A%2F%2Fwww.webofscience.com%2Fwos%2Fwoscc%2Ffull-record%2FWOS:001081844904095","View Full Record in Web of Science")</f>
        <v>View Full Record in Web of Science</v>
      </c>
    </row>
    <row r="402" spans="1:72" x14ac:dyDescent="0.15">
      <c r="A402" t="s">
        <v>7844</v>
      </c>
      <c r="B402" t="s">
        <v>8030</v>
      </c>
      <c r="C402" t="s">
        <v>74</v>
      </c>
      <c r="D402" t="s">
        <v>7846</v>
      </c>
      <c r="E402" t="s">
        <v>74</v>
      </c>
      <c r="F402" t="s">
        <v>8031</v>
      </c>
      <c r="G402" t="s">
        <v>74</v>
      </c>
      <c r="H402" t="s">
        <v>74</v>
      </c>
      <c r="I402" t="s">
        <v>8032</v>
      </c>
      <c r="J402" t="s">
        <v>7850</v>
      </c>
      <c r="K402" t="s">
        <v>74</v>
      </c>
      <c r="L402" t="s">
        <v>74</v>
      </c>
      <c r="M402" t="s">
        <v>78</v>
      </c>
      <c r="N402" t="s">
        <v>7851</v>
      </c>
      <c r="O402" t="s">
        <v>7852</v>
      </c>
      <c r="P402" t="s">
        <v>7853</v>
      </c>
      <c r="Q402" t="s">
        <v>7854</v>
      </c>
      <c r="R402" t="s">
        <v>74</v>
      </c>
      <c r="S402" t="s">
        <v>74</v>
      </c>
      <c r="T402" t="s">
        <v>74</v>
      </c>
      <c r="U402" t="s">
        <v>74</v>
      </c>
      <c r="V402" t="s">
        <v>8033</v>
      </c>
      <c r="W402" t="s">
        <v>8034</v>
      </c>
      <c r="X402" t="s">
        <v>8035</v>
      </c>
      <c r="Y402" t="s">
        <v>8036</v>
      </c>
      <c r="Z402" t="s">
        <v>8037</v>
      </c>
      <c r="AA402" t="s">
        <v>74</v>
      </c>
      <c r="AB402" t="s">
        <v>74</v>
      </c>
      <c r="AC402" t="s">
        <v>8038</v>
      </c>
      <c r="AD402" t="s">
        <v>8039</v>
      </c>
      <c r="AE402" t="s">
        <v>8040</v>
      </c>
      <c r="AF402" t="s">
        <v>74</v>
      </c>
      <c r="AG402">
        <v>10</v>
      </c>
      <c r="AH402">
        <v>0</v>
      </c>
      <c r="AI402">
        <v>0</v>
      </c>
      <c r="AJ402">
        <v>0</v>
      </c>
      <c r="AK402">
        <v>0</v>
      </c>
      <c r="AL402" t="s">
        <v>7865</v>
      </c>
      <c r="AM402" t="s">
        <v>7866</v>
      </c>
      <c r="AN402" t="s">
        <v>7867</v>
      </c>
      <c r="AO402" t="s">
        <v>74</v>
      </c>
      <c r="AP402" t="s">
        <v>74</v>
      </c>
      <c r="AQ402" t="s">
        <v>74</v>
      </c>
      <c r="AR402" t="s">
        <v>74</v>
      </c>
      <c r="AS402" t="s">
        <v>74</v>
      </c>
      <c r="AT402" t="s">
        <v>74</v>
      </c>
      <c r="AU402">
        <v>2022</v>
      </c>
      <c r="AV402" t="s">
        <v>74</v>
      </c>
      <c r="AW402" t="s">
        <v>74</v>
      </c>
      <c r="AX402" t="s">
        <v>74</v>
      </c>
      <c r="AY402" t="s">
        <v>74</v>
      </c>
      <c r="AZ402" t="s">
        <v>74</v>
      </c>
      <c r="BA402" t="s">
        <v>74</v>
      </c>
      <c r="BB402" t="s">
        <v>74</v>
      </c>
      <c r="BC402" t="s">
        <v>74</v>
      </c>
      <c r="BD402">
        <v>1093</v>
      </c>
      <c r="BE402" t="s">
        <v>74</v>
      </c>
      <c r="BF402" t="s">
        <v>74</v>
      </c>
      <c r="BG402" t="s">
        <v>74</v>
      </c>
      <c r="BH402" t="s">
        <v>74</v>
      </c>
      <c r="BI402">
        <v>8</v>
      </c>
      <c r="BJ402" t="s">
        <v>2004</v>
      </c>
      <c r="BK402" t="s">
        <v>7868</v>
      </c>
      <c r="BL402" t="s">
        <v>2005</v>
      </c>
      <c r="BM402" t="s">
        <v>7869</v>
      </c>
      <c r="BN402" t="s">
        <v>74</v>
      </c>
      <c r="BO402" t="s">
        <v>74</v>
      </c>
      <c r="BP402" t="s">
        <v>74</v>
      </c>
      <c r="BQ402" t="s">
        <v>74</v>
      </c>
      <c r="BR402" t="s">
        <v>106</v>
      </c>
      <c r="BS402" t="s">
        <v>8041</v>
      </c>
      <c r="BT402" t="str">
        <f>HYPERLINK("https%3A%2F%2Fwww.webofscience.com%2Fwos%2Fwoscc%2Ffull-record%2FWOS:001081844903047","View Full Record in Web of Science")</f>
        <v>View Full Record in Web of Science</v>
      </c>
    </row>
    <row r="403" spans="1:72" x14ac:dyDescent="0.15">
      <c r="A403" t="s">
        <v>7844</v>
      </c>
      <c r="B403" t="s">
        <v>8042</v>
      </c>
      <c r="C403" t="s">
        <v>74</v>
      </c>
      <c r="D403" t="s">
        <v>7846</v>
      </c>
      <c r="E403" t="s">
        <v>74</v>
      </c>
      <c r="F403" t="s">
        <v>8043</v>
      </c>
      <c r="G403" t="s">
        <v>74</v>
      </c>
      <c r="H403" t="s">
        <v>74</v>
      </c>
      <c r="I403" t="s">
        <v>8044</v>
      </c>
      <c r="J403" t="s">
        <v>7850</v>
      </c>
      <c r="K403" t="s">
        <v>74</v>
      </c>
      <c r="L403" t="s">
        <v>74</v>
      </c>
      <c r="M403" t="s">
        <v>78</v>
      </c>
      <c r="N403" t="s">
        <v>7851</v>
      </c>
      <c r="O403" t="s">
        <v>7852</v>
      </c>
      <c r="P403" t="s">
        <v>7853</v>
      </c>
      <c r="Q403" t="s">
        <v>7854</v>
      </c>
      <c r="R403" t="s">
        <v>74</v>
      </c>
      <c r="S403" t="s">
        <v>74</v>
      </c>
      <c r="T403" t="s">
        <v>74</v>
      </c>
      <c r="U403" t="s">
        <v>74</v>
      </c>
      <c r="V403" t="s">
        <v>8045</v>
      </c>
      <c r="W403" t="s">
        <v>8046</v>
      </c>
      <c r="X403" t="s">
        <v>8047</v>
      </c>
      <c r="Y403" t="s">
        <v>8048</v>
      </c>
      <c r="Z403" t="s">
        <v>8049</v>
      </c>
      <c r="AA403" t="s">
        <v>74</v>
      </c>
      <c r="AB403" t="s">
        <v>74</v>
      </c>
      <c r="AC403" t="s">
        <v>8050</v>
      </c>
      <c r="AD403" t="s">
        <v>8051</v>
      </c>
      <c r="AE403" t="s">
        <v>8052</v>
      </c>
      <c r="AF403" t="s">
        <v>74</v>
      </c>
      <c r="AG403">
        <v>4</v>
      </c>
      <c r="AH403">
        <v>1</v>
      </c>
      <c r="AI403">
        <v>1</v>
      </c>
      <c r="AJ403">
        <v>0</v>
      </c>
      <c r="AK403">
        <v>0</v>
      </c>
      <c r="AL403" t="s">
        <v>7865</v>
      </c>
      <c r="AM403" t="s">
        <v>7866</v>
      </c>
      <c r="AN403" t="s">
        <v>7867</v>
      </c>
      <c r="AO403" t="s">
        <v>74</v>
      </c>
      <c r="AP403" t="s">
        <v>74</v>
      </c>
      <c r="AQ403" t="s">
        <v>74</v>
      </c>
      <c r="AR403" t="s">
        <v>74</v>
      </c>
      <c r="AS403" t="s">
        <v>74</v>
      </c>
      <c r="AT403" t="s">
        <v>74</v>
      </c>
      <c r="AU403">
        <v>2022</v>
      </c>
      <c r="AV403" t="s">
        <v>74</v>
      </c>
      <c r="AW403" t="s">
        <v>74</v>
      </c>
      <c r="AX403" t="s">
        <v>74</v>
      </c>
      <c r="AY403" t="s">
        <v>74</v>
      </c>
      <c r="AZ403" t="s">
        <v>74</v>
      </c>
      <c r="BA403" t="s">
        <v>74</v>
      </c>
      <c r="BB403" t="s">
        <v>74</v>
      </c>
      <c r="BC403" t="s">
        <v>74</v>
      </c>
      <c r="BD403">
        <v>1268</v>
      </c>
      <c r="BE403" t="s">
        <v>74</v>
      </c>
      <c r="BF403" t="s">
        <v>74</v>
      </c>
      <c r="BG403" t="s">
        <v>74</v>
      </c>
      <c r="BH403" t="s">
        <v>74</v>
      </c>
      <c r="BI403">
        <v>8</v>
      </c>
      <c r="BJ403" t="s">
        <v>2004</v>
      </c>
      <c r="BK403" t="s">
        <v>7868</v>
      </c>
      <c r="BL403" t="s">
        <v>2005</v>
      </c>
      <c r="BM403" t="s">
        <v>7869</v>
      </c>
      <c r="BN403" t="s">
        <v>74</v>
      </c>
      <c r="BO403" t="s">
        <v>74</v>
      </c>
      <c r="BP403" t="s">
        <v>74</v>
      </c>
      <c r="BQ403" t="s">
        <v>74</v>
      </c>
      <c r="BR403" t="s">
        <v>106</v>
      </c>
      <c r="BS403" t="s">
        <v>8053</v>
      </c>
      <c r="BT403" t="str">
        <f>HYPERLINK("https%3A%2F%2Fwww.webofscience.com%2Fwos%2Fwoscc%2Ffull-record%2FWOS:001081844904098","View Full Record in Web of Science")</f>
        <v>View Full Record in Web of Science</v>
      </c>
    </row>
    <row r="404" spans="1:72" x14ac:dyDescent="0.15">
      <c r="A404" t="s">
        <v>7844</v>
      </c>
      <c r="B404" t="s">
        <v>8054</v>
      </c>
      <c r="C404" t="s">
        <v>74</v>
      </c>
      <c r="D404" t="s">
        <v>7846</v>
      </c>
      <c r="E404" t="s">
        <v>74</v>
      </c>
      <c r="F404" t="s">
        <v>8055</v>
      </c>
      <c r="G404" t="s">
        <v>74</v>
      </c>
      <c r="H404" t="s">
        <v>74</v>
      </c>
      <c r="I404" t="s">
        <v>8056</v>
      </c>
      <c r="J404" t="s">
        <v>7850</v>
      </c>
      <c r="K404" t="s">
        <v>74</v>
      </c>
      <c r="L404" t="s">
        <v>74</v>
      </c>
      <c r="M404" t="s">
        <v>78</v>
      </c>
      <c r="N404" t="s">
        <v>7851</v>
      </c>
      <c r="O404" t="s">
        <v>7852</v>
      </c>
      <c r="P404" t="s">
        <v>7853</v>
      </c>
      <c r="Q404" t="s">
        <v>7854</v>
      </c>
      <c r="R404" t="s">
        <v>74</v>
      </c>
      <c r="S404" t="s">
        <v>74</v>
      </c>
      <c r="T404" t="s">
        <v>74</v>
      </c>
      <c r="U404" t="s">
        <v>8057</v>
      </c>
      <c r="V404" t="s">
        <v>8058</v>
      </c>
      <c r="W404" t="s">
        <v>8059</v>
      </c>
      <c r="X404" t="s">
        <v>8060</v>
      </c>
      <c r="Y404" t="s">
        <v>8061</v>
      </c>
      <c r="Z404" t="s">
        <v>8062</v>
      </c>
      <c r="AA404" t="s">
        <v>74</v>
      </c>
      <c r="AB404" t="s">
        <v>74</v>
      </c>
      <c r="AC404" t="s">
        <v>8063</v>
      </c>
      <c r="AD404" t="s">
        <v>8064</v>
      </c>
      <c r="AE404" t="s">
        <v>8065</v>
      </c>
      <c r="AF404" t="s">
        <v>74</v>
      </c>
      <c r="AG404">
        <v>11</v>
      </c>
      <c r="AH404">
        <v>0</v>
      </c>
      <c r="AI404">
        <v>0</v>
      </c>
      <c r="AJ404">
        <v>1</v>
      </c>
      <c r="AK404">
        <v>1</v>
      </c>
      <c r="AL404" t="s">
        <v>7865</v>
      </c>
      <c r="AM404" t="s">
        <v>7866</v>
      </c>
      <c r="AN404" t="s">
        <v>7867</v>
      </c>
      <c r="AO404" t="s">
        <v>74</v>
      </c>
      <c r="AP404" t="s">
        <v>74</v>
      </c>
      <c r="AQ404" t="s">
        <v>74</v>
      </c>
      <c r="AR404" t="s">
        <v>74</v>
      </c>
      <c r="AS404" t="s">
        <v>74</v>
      </c>
      <c r="AT404" t="s">
        <v>74</v>
      </c>
      <c r="AU404">
        <v>2022</v>
      </c>
      <c r="AV404" t="s">
        <v>74</v>
      </c>
      <c r="AW404" t="s">
        <v>74</v>
      </c>
      <c r="AX404" t="s">
        <v>74</v>
      </c>
      <c r="AY404" t="s">
        <v>74</v>
      </c>
      <c r="AZ404" t="s">
        <v>74</v>
      </c>
      <c r="BA404" t="s">
        <v>74</v>
      </c>
      <c r="BB404" t="s">
        <v>74</v>
      </c>
      <c r="BC404" t="s">
        <v>74</v>
      </c>
      <c r="BD404">
        <v>1237</v>
      </c>
      <c r="BE404" t="s">
        <v>74</v>
      </c>
      <c r="BF404" t="s">
        <v>74</v>
      </c>
      <c r="BG404" t="s">
        <v>74</v>
      </c>
      <c r="BH404" t="s">
        <v>74</v>
      </c>
      <c r="BI404">
        <v>8</v>
      </c>
      <c r="BJ404" t="s">
        <v>2004</v>
      </c>
      <c r="BK404" t="s">
        <v>7868</v>
      </c>
      <c r="BL404" t="s">
        <v>2005</v>
      </c>
      <c r="BM404" t="s">
        <v>7869</v>
      </c>
      <c r="BN404" t="s">
        <v>74</v>
      </c>
      <c r="BO404" t="s">
        <v>74</v>
      </c>
      <c r="BP404" t="s">
        <v>74</v>
      </c>
      <c r="BQ404" t="s">
        <v>74</v>
      </c>
      <c r="BR404" t="s">
        <v>106</v>
      </c>
      <c r="BS404" t="s">
        <v>8066</v>
      </c>
      <c r="BT404" t="str">
        <f>HYPERLINK("https%3A%2F%2Fwww.webofscience.com%2Fwos%2Fwoscc%2Ffull-record%2FWOS:001081844904074","View Full Record in Web of Science")</f>
        <v>View Full Record in Web of Science</v>
      </c>
    </row>
    <row r="405" spans="1:72" x14ac:dyDescent="0.15">
      <c r="A405" t="s">
        <v>7844</v>
      </c>
      <c r="B405" t="s">
        <v>8067</v>
      </c>
      <c r="C405" t="s">
        <v>74</v>
      </c>
      <c r="D405" t="s">
        <v>7846</v>
      </c>
      <c r="E405" t="s">
        <v>74</v>
      </c>
      <c r="F405" t="s">
        <v>8068</v>
      </c>
      <c r="G405" t="s">
        <v>74</v>
      </c>
      <c r="H405" t="s">
        <v>74</v>
      </c>
      <c r="I405" t="s">
        <v>8069</v>
      </c>
      <c r="J405" t="s">
        <v>7850</v>
      </c>
      <c r="K405" t="s">
        <v>74</v>
      </c>
      <c r="L405" t="s">
        <v>74</v>
      </c>
      <c r="M405" t="s">
        <v>78</v>
      </c>
      <c r="N405" t="s">
        <v>7851</v>
      </c>
      <c r="O405" t="s">
        <v>7852</v>
      </c>
      <c r="P405" t="s">
        <v>7853</v>
      </c>
      <c r="Q405" t="s">
        <v>7854</v>
      </c>
      <c r="R405" t="s">
        <v>74</v>
      </c>
      <c r="S405" t="s">
        <v>74</v>
      </c>
      <c r="T405" t="s">
        <v>74</v>
      </c>
      <c r="U405" t="s">
        <v>74</v>
      </c>
      <c r="V405" t="s">
        <v>8070</v>
      </c>
      <c r="W405" t="s">
        <v>8071</v>
      </c>
      <c r="X405" t="s">
        <v>8072</v>
      </c>
      <c r="Y405" t="s">
        <v>8073</v>
      </c>
      <c r="Z405" t="s">
        <v>8074</v>
      </c>
      <c r="AA405" t="s">
        <v>8075</v>
      </c>
      <c r="AB405" t="s">
        <v>8076</v>
      </c>
      <c r="AC405" t="s">
        <v>8077</v>
      </c>
      <c r="AD405" t="s">
        <v>8078</v>
      </c>
      <c r="AE405" t="s">
        <v>8079</v>
      </c>
      <c r="AF405" t="s">
        <v>74</v>
      </c>
      <c r="AG405">
        <v>22</v>
      </c>
      <c r="AH405">
        <v>0</v>
      </c>
      <c r="AI405">
        <v>0</v>
      </c>
      <c r="AJ405">
        <v>0</v>
      </c>
      <c r="AK405">
        <v>0</v>
      </c>
      <c r="AL405" t="s">
        <v>7865</v>
      </c>
      <c r="AM405" t="s">
        <v>7866</v>
      </c>
      <c r="AN405" t="s">
        <v>7867</v>
      </c>
      <c r="AO405" t="s">
        <v>74</v>
      </c>
      <c r="AP405" t="s">
        <v>74</v>
      </c>
      <c r="AQ405" t="s">
        <v>74</v>
      </c>
      <c r="AR405" t="s">
        <v>74</v>
      </c>
      <c r="AS405" t="s">
        <v>74</v>
      </c>
      <c r="AT405" t="s">
        <v>74</v>
      </c>
      <c r="AU405">
        <v>2022</v>
      </c>
      <c r="AV405" t="s">
        <v>74</v>
      </c>
      <c r="AW405" t="s">
        <v>74</v>
      </c>
      <c r="AX405" t="s">
        <v>74</v>
      </c>
      <c r="AY405" t="s">
        <v>74</v>
      </c>
      <c r="AZ405" t="s">
        <v>74</v>
      </c>
      <c r="BA405" t="s">
        <v>74</v>
      </c>
      <c r="BB405" t="s">
        <v>74</v>
      </c>
      <c r="BC405" t="s">
        <v>74</v>
      </c>
      <c r="BD405">
        <v>1029</v>
      </c>
      <c r="BE405" t="s">
        <v>74</v>
      </c>
      <c r="BF405" t="s">
        <v>74</v>
      </c>
      <c r="BG405" t="s">
        <v>74</v>
      </c>
      <c r="BH405" t="s">
        <v>74</v>
      </c>
      <c r="BI405">
        <v>8</v>
      </c>
      <c r="BJ405" t="s">
        <v>2004</v>
      </c>
      <c r="BK405" t="s">
        <v>7868</v>
      </c>
      <c r="BL405" t="s">
        <v>2005</v>
      </c>
      <c r="BM405" t="s">
        <v>7869</v>
      </c>
      <c r="BN405" t="s">
        <v>74</v>
      </c>
      <c r="BO405" t="s">
        <v>74</v>
      </c>
      <c r="BP405" t="s">
        <v>74</v>
      </c>
      <c r="BQ405" t="s">
        <v>74</v>
      </c>
      <c r="BR405" t="s">
        <v>106</v>
      </c>
      <c r="BS405" t="s">
        <v>8080</v>
      </c>
      <c r="BT405" t="str">
        <f>HYPERLINK("https%3A%2F%2Fwww.webofscience.com%2Fwos%2Fwoscc%2Ffull-record%2FWOS:001081844902103","View Full Record in Web of Science")</f>
        <v>View Full Record in Web of Science</v>
      </c>
    </row>
    <row r="406" spans="1:72" x14ac:dyDescent="0.15">
      <c r="A406" t="s">
        <v>7844</v>
      </c>
      <c r="B406" t="s">
        <v>8081</v>
      </c>
      <c r="C406" t="s">
        <v>74</v>
      </c>
      <c r="D406" t="s">
        <v>7846</v>
      </c>
      <c r="E406" t="s">
        <v>74</v>
      </c>
      <c r="F406" t="s">
        <v>8082</v>
      </c>
      <c r="G406" t="s">
        <v>74</v>
      </c>
      <c r="H406" t="s">
        <v>8083</v>
      </c>
      <c r="I406" t="s">
        <v>8084</v>
      </c>
      <c r="J406" t="s">
        <v>7850</v>
      </c>
      <c r="K406" t="s">
        <v>74</v>
      </c>
      <c r="L406" t="s">
        <v>74</v>
      </c>
      <c r="M406" t="s">
        <v>78</v>
      </c>
      <c r="N406" t="s">
        <v>7851</v>
      </c>
      <c r="O406" t="s">
        <v>7852</v>
      </c>
      <c r="P406" t="s">
        <v>7853</v>
      </c>
      <c r="Q406" t="s">
        <v>7854</v>
      </c>
      <c r="R406" t="s">
        <v>74</v>
      </c>
      <c r="S406" t="s">
        <v>74</v>
      </c>
      <c r="T406" t="s">
        <v>74</v>
      </c>
      <c r="U406" t="s">
        <v>74</v>
      </c>
      <c r="V406" t="s">
        <v>8085</v>
      </c>
      <c r="W406" t="s">
        <v>8086</v>
      </c>
      <c r="X406" t="s">
        <v>8087</v>
      </c>
      <c r="Y406" t="s">
        <v>8088</v>
      </c>
      <c r="Z406" t="s">
        <v>8089</v>
      </c>
      <c r="AA406" t="s">
        <v>74</v>
      </c>
      <c r="AB406" t="s">
        <v>74</v>
      </c>
      <c r="AC406" t="s">
        <v>8090</v>
      </c>
      <c r="AD406" t="s">
        <v>8091</v>
      </c>
      <c r="AE406" t="s">
        <v>8092</v>
      </c>
      <c r="AF406" t="s">
        <v>74</v>
      </c>
      <c r="AG406">
        <v>18</v>
      </c>
      <c r="AH406">
        <v>0</v>
      </c>
      <c r="AI406">
        <v>0</v>
      </c>
      <c r="AJ406">
        <v>0</v>
      </c>
      <c r="AK406">
        <v>0</v>
      </c>
      <c r="AL406" t="s">
        <v>7865</v>
      </c>
      <c r="AM406" t="s">
        <v>7866</v>
      </c>
      <c r="AN406" t="s">
        <v>7867</v>
      </c>
      <c r="AO406" t="s">
        <v>74</v>
      </c>
      <c r="AP406" t="s">
        <v>74</v>
      </c>
      <c r="AQ406" t="s">
        <v>74</v>
      </c>
      <c r="AR406" t="s">
        <v>74</v>
      </c>
      <c r="AS406" t="s">
        <v>74</v>
      </c>
      <c r="AT406" t="s">
        <v>74</v>
      </c>
      <c r="AU406">
        <v>2022</v>
      </c>
      <c r="AV406" t="s">
        <v>74</v>
      </c>
      <c r="AW406" t="s">
        <v>74</v>
      </c>
      <c r="AX406" t="s">
        <v>74</v>
      </c>
      <c r="AY406" t="s">
        <v>74</v>
      </c>
      <c r="AZ406" t="s">
        <v>74</v>
      </c>
      <c r="BA406" t="s">
        <v>74</v>
      </c>
      <c r="BB406" t="s">
        <v>74</v>
      </c>
      <c r="BC406" t="s">
        <v>74</v>
      </c>
      <c r="BD406">
        <v>1173</v>
      </c>
      <c r="BE406" t="s">
        <v>74</v>
      </c>
      <c r="BF406" t="s">
        <v>74</v>
      </c>
      <c r="BG406" t="s">
        <v>74</v>
      </c>
      <c r="BH406" t="s">
        <v>74</v>
      </c>
      <c r="BI406">
        <v>9</v>
      </c>
      <c r="BJ406" t="s">
        <v>2004</v>
      </c>
      <c r="BK406" t="s">
        <v>7868</v>
      </c>
      <c r="BL406" t="s">
        <v>2005</v>
      </c>
      <c r="BM406" t="s">
        <v>7869</v>
      </c>
      <c r="BN406" t="s">
        <v>74</v>
      </c>
      <c r="BO406" t="s">
        <v>74</v>
      </c>
      <c r="BP406" t="s">
        <v>74</v>
      </c>
      <c r="BQ406" t="s">
        <v>74</v>
      </c>
      <c r="BR406" t="s">
        <v>106</v>
      </c>
      <c r="BS406" t="s">
        <v>8093</v>
      </c>
      <c r="BT406" t="str">
        <f>HYPERLINK("https%3A%2F%2Fwww.webofscience.com%2Fwos%2Fwoscc%2Ffull-record%2FWOS:001081844904015","View Full Record in Web of Science")</f>
        <v>View Full Record in Web of Science</v>
      </c>
    </row>
    <row r="407" spans="1:72" x14ac:dyDescent="0.15">
      <c r="A407" t="s">
        <v>8094</v>
      </c>
      <c r="B407" t="s">
        <v>8095</v>
      </c>
      <c r="C407" t="s">
        <v>8095</v>
      </c>
      <c r="D407" t="s">
        <v>74</v>
      </c>
      <c r="E407" t="s">
        <v>74</v>
      </c>
      <c r="F407" t="s">
        <v>8096</v>
      </c>
      <c r="G407" t="s">
        <v>8095</v>
      </c>
      <c r="H407" t="s">
        <v>74</v>
      </c>
      <c r="I407" t="s">
        <v>8097</v>
      </c>
      <c r="J407" t="s">
        <v>8098</v>
      </c>
      <c r="K407" t="s">
        <v>74</v>
      </c>
      <c r="L407" t="s">
        <v>74</v>
      </c>
      <c r="M407" t="s">
        <v>78</v>
      </c>
      <c r="N407" t="s">
        <v>8099</v>
      </c>
      <c r="O407" t="s">
        <v>74</v>
      </c>
      <c r="P407" t="s">
        <v>74</v>
      </c>
      <c r="Q407" t="s">
        <v>74</v>
      </c>
      <c r="R407" t="s">
        <v>74</v>
      </c>
      <c r="S407" t="s">
        <v>74</v>
      </c>
      <c r="T407" t="s">
        <v>74</v>
      </c>
      <c r="U407" t="s">
        <v>8100</v>
      </c>
      <c r="V407" t="s">
        <v>74</v>
      </c>
      <c r="W407" t="s">
        <v>74</v>
      </c>
      <c r="X407" t="s">
        <v>74</v>
      </c>
      <c r="Y407" t="s">
        <v>74</v>
      </c>
      <c r="Z407" t="s">
        <v>74</v>
      </c>
      <c r="AA407" t="s">
        <v>74</v>
      </c>
      <c r="AB407" t="s">
        <v>74</v>
      </c>
      <c r="AC407" t="s">
        <v>74</v>
      </c>
      <c r="AD407" t="s">
        <v>74</v>
      </c>
      <c r="AE407" t="s">
        <v>74</v>
      </c>
      <c r="AF407" t="s">
        <v>74</v>
      </c>
      <c r="AG407">
        <v>312</v>
      </c>
      <c r="AH407">
        <v>0</v>
      </c>
      <c r="AI407">
        <v>0</v>
      </c>
      <c r="AJ407">
        <v>0</v>
      </c>
      <c r="AK407">
        <v>0</v>
      </c>
      <c r="AL407" t="s">
        <v>8101</v>
      </c>
      <c r="AM407" t="s">
        <v>8102</v>
      </c>
      <c r="AN407" t="s">
        <v>8103</v>
      </c>
      <c r="AO407" t="s">
        <v>74</v>
      </c>
      <c r="AP407" t="s">
        <v>74</v>
      </c>
      <c r="AQ407" t="s">
        <v>8104</v>
      </c>
      <c r="AR407" t="s">
        <v>74</v>
      </c>
      <c r="AS407" t="s">
        <v>74</v>
      </c>
      <c r="AT407" t="s">
        <v>74</v>
      </c>
      <c r="AU407">
        <v>2022</v>
      </c>
      <c r="AV407" t="s">
        <v>74</v>
      </c>
      <c r="AW407" t="s">
        <v>74</v>
      </c>
      <c r="AX407" t="s">
        <v>74</v>
      </c>
      <c r="AY407" t="s">
        <v>74</v>
      </c>
      <c r="AZ407" t="s">
        <v>74</v>
      </c>
      <c r="BA407" t="s">
        <v>74</v>
      </c>
      <c r="BB407">
        <v>1</v>
      </c>
      <c r="BC407" t="s">
        <v>5868</v>
      </c>
      <c r="BD407" t="s">
        <v>74</v>
      </c>
      <c r="BE407" t="s">
        <v>74</v>
      </c>
      <c r="BF407" t="s">
        <v>74</v>
      </c>
      <c r="BG407" t="s">
        <v>74</v>
      </c>
      <c r="BH407" t="s">
        <v>74</v>
      </c>
      <c r="BI407">
        <v>40</v>
      </c>
      <c r="BJ407" t="s">
        <v>8105</v>
      </c>
      <c r="BK407" t="s">
        <v>8106</v>
      </c>
      <c r="BL407" t="s">
        <v>8107</v>
      </c>
      <c r="BM407" t="s">
        <v>8108</v>
      </c>
      <c r="BN407" t="s">
        <v>74</v>
      </c>
      <c r="BO407" t="s">
        <v>74</v>
      </c>
      <c r="BP407" t="s">
        <v>74</v>
      </c>
      <c r="BQ407" t="s">
        <v>74</v>
      </c>
      <c r="BR407" t="s">
        <v>106</v>
      </c>
      <c r="BS407" t="s">
        <v>8109</v>
      </c>
      <c r="BT407" t="str">
        <f>HYPERLINK("https%3A%2F%2Fwww.webofscience.com%2Fwos%2Fwoscc%2Ffull-record%2FWOS:001092957200001","View Full Record in Web of Science")</f>
        <v>View Full Record in Web of Science</v>
      </c>
    </row>
    <row r="408" spans="1:72" x14ac:dyDescent="0.15">
      <c r="A408" t="s">
        <v>8094</v>
      </c>
      <c r="B408" t="s">
        <v>8095</v>
      </c>
      <c r="C408" t="s">
        <v>74</v>
      </c>
      <c r="D408" t="s">
        <v>74</v>
      </c>
      <c r="E408" t="s">
        <v>74</v>
      </c>
      <c r="F408" t="s">
        <v>8095</v>
      </c>
      <c r="G408" t="s">
        <v>74</v>
      </c>
      <c r="H408" t="s">
        <v>74</v>
      </c>
      <c r="I408" t="s">
        <v>8110</v>
      </c>
      <c r="J408" t="s">
        <v>8098</v>
      </c>
      <c r="K408" t="s">
        <v>74</v>
      </c>
      <c r="L408" t="s">
        <v>74</v>
      </c>
      <c r="M408" t="s">
        <v>78</v>
      </c>
      <c r="N408" t="s">
        <v>8111</v>
      </c>
      <c r="O408" t="s">
        <v>74</v>
      </c>
      <c r="P408" t="s">
        <v>74</v>
      </c>
      <c r="Q408" t="s">
        <v>74</v>
      </c>
      <c r="R408" t="s">
        <v>74</v>
      </c>
      <c r="S408" t="s">
        <v>74</v>
      </c>
      <c r="T408" t="s">
        <v>74</v>
      </c>
      <c r="U408" t="s">
        <v>8112</v>
      </c>
      <c r="V408" t="s">
        <v>74</v>
      </c>
      <c r="W408" t="s">
        <v>74</v>
      </c>
      <c r="X408" t="s">
        <v>74</v>
      </c>
      <c r="Y408" t="s">
        <v>74</v>
      </c>
      <c r="Z408" t="s">
        <v>74</v>
      </c>
      <c r="AA408" t="s">
        <v>74</v>
      </c>
      <c r="AB408" t="s">
        <v>74</v>
      </c>
      <c r="AC408" t="s">
        <v>74</v>
      </c>
      <c r="AD408" t="s">
        <v>74</v>
      </c>
      <c r="AE408" t="s">
        <v>74</v>
      </c>
      <c r="AF408" t="s">
        <v>74</v>
      </c>
      <c r="AG408">
        <v>311</v>
      </c>
      <c r="AH408">
        <v>1</v>
      </c>
      <c r="AI408">
        <v>1</v>
      </c>
      <c r="AJ408">
        <v>0</v>
      </c>
      <c r="AK408">
        <v>0</v>
      </c>
      <c r="AL408" t="s">
        <v>8101</v>
      </c>
      <c r="AM408" t="s">
        <v>8102</v>
      </c>
      <c r="AN408" t="s">
        <v>8103</v>
      </c>
      <c r="AO408" t="s">
        <v>74</v>
      </c>
      <c r="AP408" t="s">
        <v>74</v>
      </c>
      <c r="AQ408" t="s">
        <v>8104</v>
      </c>
      <c r="AR408" t="s">
        <v>74</v>
      </c>
      <c r="AS408" t="s">
        <v>74</v>
      </c>
      <c r="AT408" t="s">
        <v>74</v>
      </c>
      <c r="AU408">
        <v>2022</v>
      </c>
      <c r="AV408" t="s">
        <v>74</v>
      </c>
      <c r="AW408" t="s">
        <v>74</v>
      </c>
      <c r="AX408" t="s">
        <v>74</v>
      </c>
      <c r="AY408" t="s">
        <v>74</v>
      </c>
      <c r="AZ408" t="s">
        <v>74</v>
      </c>
      <c r="BA408" t="s">
        <v>74</v>
      </c>
      <c r="BB408">
        <v>1</v>
      </c>
      <c r="BC408">
        <v>265</v>
      </c>
      <c r="BD408" t="s">
        <v>74</v>
      </c>
      <c r="BE408" t="s">
        <v>74</v>
      </c>
      <c r="BF408" t="s">
        <v>74</v>
      </c>
      <c r="BG408" t="s">
        <v>74</v>
      </c>
      <c r="BH408" t="s">
        <v>74</v>
      </c>
      <c r="BI408">
        <v>265</v>
      </c>
      <c r="BJ408" t="s">
        <v>8105</v>
      </c>
      <c r="BK408" t="s">
        <v>8106</v>
      </c>
      <c r="BL408" t="s">
        <v>8107</v>
      </c>
      <c r="BM408" t="s">
        <v>8108</v>
      </c>
      <c r="BN408" t="s">
        <v>74</v>
      </c>
      <c r="BO408" t="s">
        <v>74</v>
      </c>
      <c r="BP408" t="s">
        <v>74</v>
      </c>
      <c r="BQ408" t="s">
        <v>74</v>
      </c>
      <c r="BR408" t="s">
        <v>106</v>
      </c>
      <c r="BS408" t="s">
        <v>8113</v>
      </c>
      <c r="BT408" t="str">
        <f>HYPERLINK("https%3A%2F%2Fwww.webofscience.com%2Fwos%2Fwoscc%2Ffull-record%2FWOS:001092957200010","View Full Record in Web of Science")</f>
        <v>View Full Record in Web of Science</v>
      </c>
    </row>
    <row r="409" spans="1:72" x14ac:dyDescent="0.15">
      <c r="A409" t="s">
        <v>8094</v>
      </c>
      <c r="B409" t="s">
        <v>8095</v>
      </c>
      <c r="C409" t="s">
        <v>8095</v>
      </c>
      <c r="D409" t="s">
        <v>74</v>
      </c>
      <c r="E409" t="s">
        <v>74</v>
      </c>
      <c r="F409" t="s">
        <v>8096</v>
      </c>
      <c r="G409" t="s">
        <v>8095</v>
      </c>
      <c r="H409" t="s">
        <v>74</v>
      </c>
      <c r="I409" t="s">
        <v>8114</v>
      </c>
      <c r="J409" t="s">
        <v>8098</v>
      </c>
      <c r="K409" t="s">
        <v>74</v>
      </c>
      <c r="L409" t="s">
        <v>74</v>
      </c>
      <c r="M409" t="s">
        <v>78</v>
      </c>
      <c r="N409" t="s">
        <v>8115</v>
      </c>
      <c r="O409" t="s">
        <v>74</v>
      </c>
      <c r="P409" t="s">
        <v>74</v>
      </c>
      <c r="Q409" t="s">
        <v>74</v>
      </c>
      <c r="R409" t="s">
        <v>74</v>
      </c>
      <c r="S409" t="s">
        <v>74</v>
      </c>
      <c r="T409" t="s">
        <v>74</v>
      </c>
      <c r="U409" t="s">
        <v>74</v>
      </c>
      <c r="V409" t="s">
        <v>74</v>
      </c>
      <c r="W409" t="s">
        <v>74</v>
      </c>
      <c r="X409" t="s">
        <v>74</v>
      </c>
      <c r="Y409" t="s">
        <v>74</v>
      </c>
      <c r="Z409" t="s">
        <v>74</v>
      </c>
      <c r="AA409" t="s">
        <v>74</v>
      </c>
      <c r="AB409" t="s">
        <v>74</v>
      </c>
      <c r="AC409" t="s">
        <v>74</v>
      </c>
      <c r="AD409" t="s">
        <v>74</v>
      </c>
      <c r="AE409" t="s">
        <v>74</v>
      </c>
      <c r="AF409" t="s">
        <v>74</v>
      </c>
      <c r="AG409">
        <v>0</v>
      </c>
      <c r="AH409">
        <v>0</v>
      </c>
      <c r="AI409">
        <v>0</v>
      </c>
      <c r="AJ409">
        <v>0</v>
      </c>
      <c r="AK409">
        <v>0</v>
      </c>
      <c r="AL409" t="s">
        <v>8101</v>
      </c>
      <c r="AM409" t="s">
        <v>8102</v>
      </c>
      <c r="AN409" t="s">
        <v>8103</v>
      </c>
      <c r="AO409" t="s">
        <v>74</v>
      </c>
      <c r="AP409" t="s">
        <v>74</v>
      </c>
      <c r="AQ409" t="s">
        <v>8104</v>
      </c>
      <c r="AR409" t="s">
        <v>74</v>
      </c>
      <c r="AS409" t="s">
        <v>74</v>
      </c>
      <c r="AT409" t="s">
        <v>74</v>
      </c>
      <c r="AU409">
        <v>2022</v>
      </c>
      <c r="AV409" t="s">
        <v>74</v>
      </c>
      <c r="AW409" t="s">
        <v>74</v>
      </c>
      <c r="AX409" t="s">
        <v>74</v>
      </c>
      <c r="AY409" t="s">
        <v>74</v>
      </c>
      <c r="AZ409" t="s">
        <v>74</v>
      </c>
      <c r="BA409" t="s">
        <v>74</v>
      </c>
      <c r="BB409">
        <v>25</v>
      </c>
      <c r="BC409">
        <v>53</v>
      </c>
      <c r="BD409" t="s">
        <v>74</v>
      </c>
      <c r="BE409" t="s">
        <v>74</v>
      </c>
      <c r="BF409" t="s">
        <v>74</v>
      </c>
      <c r="BG409" t="s">
        <v>74</v>
      </c>
      <c r="BH409" t="s">
        <v>74</v>
      </c>
      <c r="BI409">
        <v>29</v>
      </c>
      <c r="BJ409" t="s">
        <v>8105</v>
      </c>
      <c r="BK409" t="s">
        <v>8106</v>
      </c>
      <c r="BL409" t="s">
        <v>8107</v>
      </c>
      <c r="BM409" t="s">
        <v>8108</v>
      </c>
      <c r="BN409" t="s">
        <v>74</v>
      </c>
      <c r="BO409" t="s">
        <v>74</v>
      </c>
      <c r="BP409" t="s">
        <v>74</v>
      </c>
      <c r="BQ409" t="s">
        <v>74</v>
      </c>
      <c r="BR409" t="s">
        <v>106</v>
      </c>
      <c r="BS409" t="s">
        <v>8116</v>
      </c>
      <c r="BT409" t="str">
        <f>HYPERLINK("https%3A%2F%2Fwww.webofscience.com%2Fwos%2Fwoscc%2Ffull-record%2FWOS:001092957200002","View Full Record in Web of Science")</f>
        <v>View Full Record in Web of Science</v>
      </c>
    </row>
    <row r="410" spans="1:72" x14ac:dyDescent="0.15">
      <c r="A410" t="s">
        <v>8094</v>
      </c>
      <c r="B410" t="s">
        <v>8095</v>
      </c>
      <c r="C410" t="s">
        <v>8095</v>
      </c>
      <c r="D410" t="s">
        <v>74</v>
      </c>
      <c r="E410" t="s">
        <v>74</v>
      </c>
      <c r="F410" t="s">
        <v>8096</v>
      </c>
      <c r="G410" t="s">
        <v>8095</v>
      </c>
      <c r="H410" t="s">
        <v>74</v>
      </c>
      <c r="I410" t="s">
        <v>8117</v>
      </c>
      <c r="J410" t="s">
        <v>8098</v>
      </c>
      <c r="K410" t="s">
        <v>74</v>
      </c>
      <c r="L410" t="s">
        <v>74</v>
      </c>
      <c r="M410" t="s">
        <v>78</v>
      </c>
      <c r="N410" t="s">
        <v>8115</v>
      </c>
      <c r="O410" t="s">
        <v>74</v>
      </c>
      <c r="P410" t="s">
        <v>74</v>
      </c>
      <c r="Q410" t="s">
        <v>74</v>
      </c>
      <c r="R410" t="s">
        <v>74</v>
      </c>
      <c r="S410" t="s">
        <v>74</v>
      </c>
      <c r="T410" t="s">
        <v>74</v>
      </c>
      <c r="U410" t="s">
        <v>74</v>
      </c>
      <c r="V410" t="s">
        <v>74</v>
      </c>
      <c r="W410" t="s">
        <v>74</v>
      </c>
      <c r="X410" t="s">
        <v>74</v>
      </c>
      <c r="Y410" t="s">
        <v>74</v>
      </c>
      <c r="Z410" t="s">
        <v>74</v>
      </c>
      <c r="AA410" t="s">
        <v>74</v>
      </c>
      <c r="AB410" t="s">
        <v>74</v>
      </c>
      <c r="AC410" t="s">
        <v>74</v>
      </c>
      <c r="AD410" t="s">
        <v>74</v>
      </c>
      <c r="AE410" t="s">
        <v>74</v>
      </c>
      <c r="AF410" t="s">
        <v>74</v>
      </c>
      <c r="AG410">
        <v>0</v>
      </c>
      <c r="AH410">
        <v>0</v>
      </c>
      <c r="AI410">
        <v>0</v>
      </c>
      <c r="AJ410">
        <v>0</v>
      </c>
      <c r="AK410">
        <v>0</v>
      </c>
      <c r="AL410" t="s">
        <v>8101</v>
      </c>
      <c r="AM410" t="s">
        <v>8102</v>
      </c>
      <c r="AN410" t="s">
        <v>8103</v>
      </c>
      <c r="AO410" t="s">
        <v>74</v>
      </c>
      <c r="AP410" t="s">
        <v>74</v>
      </c>
      <c r="AQ410" t="s">
        <v>8104</v>
      </c>
      <c r="AR410" t="s">
        <v>74</v>
      </c>
      <c r="AS410" t="s">
        <v>74</v>
      </c>
      <c r="AT410" t="s">
        <v>74</v>
      </c>
      <c r="AU410">
        <v>2022</v>
      </c>
      <c r="AV410" t="s">
        <v>74</v>
      </c>
      <c r="AW410" t="s">
        <v>74</v>
      </c>
      <c r="AX410" t="s">
        <v>74</v>
      </c>
      <c r="AY410" t="s">
        <v>74</v>
      </c>
      <c r="AZ410" t="s">
        <v>74</v>
      </c>
      <c r="BA410" t="s">
        <v>74</v>
      </c>
      <c r="BB410">
        <v>54</v>
      </c>
      <c r="BC410">
        <v>83</v>
      </c>
      <c r="BD410" t="s">
        <v>74</v>
      </c>
      <c r="BE410" t="s">
        <v>74</v>
      </c>
      <c r="BF410" t="s">
        <v>74</v>
      </c>
      <c r="BG410" t="s">
        <v>74</v>
      </c>
      <c r="BH410" t="s">
        <v>74</v>
      </c>
      <c r="BI410">
        <v>30</v>
      </c>
      <c r="BJ410" t="s">
        <v>8105</v>
      </c>
      <c r="BK410" t="s">
        <v>8106</v>
      </c>
      <c r="BL410" t="s">
        <v>8107</v>
      </c>
      <c r="BM410" t="s">
        <v>8108</v>
      </c>
      <c r="BN410" t="s">
        <v>74</v>
      </c>
      <c r="BO410" t="s">
        <v>74</v>
      </c>
      <c r="BP410" t="s">
        <v>74</v>
      </c>
      <c r="BQ410" t="s">
        <v>74</v>
      </c>
      <c r="BR410" t="s">
        <v>106</v>
      </c>
      <c r="BS410" t="s">
        <v>8118</v>
      </c>
      <c r="BT410" t="str">
        <f>HYPERLINK("https%3A%2F%2Fwww.webofscience.com%2Fwos%2Fwoscc%2Ffull-record%2FWOS:001092957200003","View Full Record in Web of Science")</f>
        <v>View Full Record in Web of Science</v>
      </c>
    </row>
    <row r="411" spans="1:72" x14ac:dyDescent="0.15">
      <c r="A411" t="s">
        <v>8094</v>
      </c>
      <c r="B411" t="s">
        <v>8095</v>
      </c>
      <c r="C411" t="s">
        <v>8095</v>
      </c>
      <c r="D411" t="s">
        <v>74</v>
      </c>
      <c r="E411" t="s">
        <v>74</v>
      </c>
      <c r="F411" t="s">
        <v>8096</v>
      </c>
      <c r="G411" t="s">
        <v>8095</v>
      </c>
      <c r="H411" t="s">
        <v>74</v>
      </c>
      <c r="I411" t="s">
        <v>8119</v>
      </c>
      <c r="J411" t="s">
        <v>8098</v>
      </c>
      <c r="K411" t="s">
        <v>74</v>
      </c>
      <c r="L411" t="s">
        <v>74</v>
      </c>
      <c r="M411" t="s">
        <v>78</v>
      </c>
      <c r="N411" t="s">
        <v>8115</v>
      </c>
      <c r="O411" t="s">
        <v>74</v>
      </c>
      <c r="P411" t="s">
        <v>74</v>
      </c>
      <c r="Q411" t="s">
        <v>74</v>
      </c>
      <c r="R411" t="s">
        <v>74</v>
      </c>
      <c r="S411" t="s">
        <v>74</v>
      </c>
      <c r="T411" t="s">
        <v>74</v>
      </c>
      <c r="U411" t="s">
        <v>74</v>
      </c>
      <c r="V411" t="s">
        <v>74</v>
      </c>
      <c r="W411" t="s">
        <v>74</v>
      </c>
      <c r="X411" t="s">
        <v>74</v>
      </c>
      <c r="Y411" t="s">
        <v>74</v>
      </c>
      <c r="Z411" t="s">
        <v>74</v>
      </c>
      <c r="AA411" t="s">
        <v>74</v>
      </c>
      <c r="AB411" t="s">
        <v>74</v>
      </c>
      <c r="AC411" t="s">
        <v>74</v>
      </c>
      <c r="AD411" t="s">
        <v>74</v>
      </c>
      <c r="AE411" t="s">
        <v>74</v>
      </c>
      <c r="AF411" t="s">
        <v>74</v>
      </c>
      <c r="AG411">
        <v>0</v>
      </c>
      <c r="AH411">
        <v>0</v>
      </c>
      <c r="AI411">
        <v>0</v>
      </c>
      <c r="AJ411">
        <v>0</v>
      </c>
      <c r="AK411">
        <v>0</v>
      </c>
      <c r="AL411" t="s">
        <v>8101</v>
      </c>
      <c r="AM411" t="s">
        <v>8102</v>
      </c>
      <c r="AN411" t="s">
        <v>8103</v>
      </c>
      <c r="AO411" t="s">
        <v>74</v>
      </c>
      <c r="AP411" t="s">
        <v>74</v>
      </c>
      <c r="AQ411" t="s">
        <v>8104</v>
      </c>
      <c r="AR411" t="s">
        <v>74</v>
      </c>
      <c r="AS411" t="s">
        <v>74</v>
      </c>
      <c r="AT411" t="s">
        <v>74</v>
      </c>
      <c r="AU411">
        <v>2022</v>
      </c>
      <c r="AV411" t="s">
        <v>74</v>
      </c>
      <c r="AW411" t="s">
        <v>74</v>
      </c>
      <c r="AX411" t="s">
        <v>74</v>
      </c>
      <c r="AY411" t="s">
        <v>74</v>
      </c>
      <c r="AZ411" t="s">
        <v>74</v>
      </c>
      <c r="BA411" t="s">
        <v>74</v>
      </c>
      <c r="BB411">
        <v>84</v>
      </c>
      <c r="BC411">
        <v>101</v>
      </c>
      <c r="BD411" t="s">
        <v>74</v>
      </c>
      <c r="BE411" t="s">
        <v>74</v>
      </c>
      <c r="BF411" t="s">
        <v>74</v>
      </c>
      <c r="BG411" t="s">
        <v>74</v>
      </c>
      <c r="BH411" t="s">
        <v>74</v>
      </c>
      <c r="BI411">
        <v>18</v>
      </c>
      <c r="BJ411" t="s">
        <v>8105</v>
      </c>
      <c r="BK411" t="s">
        <v>8106</v>
      </c>
      <c r="BL411" t="s">
        <v>8107</v>
      </c>
      <c r="BM411" t="s">
        <v>8108</v>
      </c>
      <c r="BN411" t="s">
        <v>74</v>
      </c>
      <c r="BO411" t="s">
        <v>74</v>
      </c>
      <c r="BP411" t="s">
        <v>74</v>
      </c>
      <c r="BQ411" t="s">
        <v>74</v>
      </c>
      <c r="BR411" t="s">
        <v>106</v>
      </c>
      <c r="BS411" t="s">
        <v>8120</v>
      </c>
      <c r="BT411" t="str">
        <f>HYPERLINK("https%3A%2F%2Fwww.webofscience.com%2Fwos%2Fwoscc%2Ffull-record%2FWOS:001092957200004","View Full Record in Web of Science")</f>
        <v>View Full Record in Web of Science</v>
      </c>
    </row>
    <row r="412" spans="1:72" x14ac:dyDescent="0.15">
      <c r="A412" t="s">
        <v>8094</v>
      </c>
      <c r="B412" t="s">
        <v>8095</v>
      </c>
      <c r="C412" t="s">
        <v>8095</v>
      </c>
      <c r="D412" t="s">
        <v>74</v>
      </c>
      <c r="E412" t="s">
        <v>74</v>
      </c>
      <c r="F412" t="s">
        <v>8096</v>
      </c>
      <c r="G412" t="s">
        <v>8095</v>
      </c>
      <c r="H412" t="s">
        <v>74</v>
      </c>
      <c r="I412" t="s">
        <v>8121</v>
      </c>
      <c r="J412" t="s">
        <v>8098</v>
      </c>
      <c r="K412" t="s">
        <v>74</v>
      </c>
      <c r="L412" t="s">
        <v>74</v>
      </c>
      <c r="M412" t="s">
        <v>78</v>
      </c>
      <c r="N412" t="s">
        <v>8115</v>
      </c>
      <c r="O412" t="s">
        <v>74</v>
      </c>
      <c r="P412" t="s">
        <v>74</v>
      </c>
      <c r="Q412" t="s">
        <v>74</v>
      </c>
      <c r="R412" t="s">
        <v>74</v>
      </c>
      <c r="S412" t="s">
        <v>74</v>
      </c>
      <c r="T412" t="s">
        <v>74</v>
      </c>
      <c r="U412" t="s">
        <v>74</v>
      </c>
      <c r="V412" t="s">
        <v>74</v>
      </c>
      <c r="W412" t="s">
        <v>74</v>
      </c>
      <c r="X412" t="s">
        <v>74</v>
      </c>
      <c r="Y412" t="s">
        <v>74</v>
      </c>
      <c r="Z412" t="s">
        <v>74</v>
      </c>
      <c r="AA412" t="s">
        <v>74</v>
      </c>
      <c r="AB412" t="s">
        <v>74</v>
      </c>
      <c r="AC412" t="s">
        <v>74</v>
      </c>
      <c r="AD412" t="s">
        <v>74</v>
      </c>
      <c r="AE412" t="s">
        <v>74</v>
      </c>
      <c r="AF412" t="s">
        <v>74</v>
      </c>
      <c r="AG412">
        <v>0</v>
      </c>
      <c r="AH412">
        <v>0</v>
      </c>
      <c r="AI412">
        <v>0</v>
      </c>
      <c r="AJ412">
        <v>0</v>
      </c>
      <c r="AK412">
        <v>0</v>
      </c>
      <c r="AL412" t="s">
        <v>8101</v>
      </c>
      <c r="AM412" t="s">
        <v>8102</v>
      </c>
      <c r="AN412" t="s">
        <v>8103</v>
      </c>
      <c r="AO412" t="s">
        <v>74</v>
      </c>
      <c r="AP412" t="s">
        <v>74</v>
      </c>
      <c r="AQ412" t="s">
        <v>8104</v>
      </c>
      <c r="AR412" t="s">
        <v>74</v>
      </c>
      <c r="AS412" t="s">
        <v>74</v>
      </c>
      <c r="AT412" t="s">
        <v>74</v>
      </c>
      <c r="AU412">
        <v>2022</v>
      </c>
      <c r="AV412" t="s">
        <v>74</v>
      </c>
      <c r="AW412" t="s">
        <v>74</v>
      </c>
      <c r="AX412" t="s">
        <v>74</v>
      </c>
      <c r="AY412" t="s">
        <v>74</v>
      </c>
      <c r="AZ412" t="s">
        <v>74</v>
      </c>
      <c r="BA412" t="s">
        <v>74</v>
      </c>
      <c r="BB412">
        <v>105</v>
      </c>
      <c r="BC412">
        <v>129</v>
      </c>
      <c r="BD412" t="s">
        <v>74</v>
      </c>
      <c r="BE412" t="s">
        <v>74</v>
      </c>
      <c r="BF412" t="s">
        <v>74</v>
      </c>
      <c r="BG412" t="s">
        <v>74</v>
      </c>
      <c r="BH412" t="s">
        <v>74</v>
      </c>
      <c r="BI412">
        <v>25</v>
      </c>
      <c r="BJ412" t="s">
        <v>8105</v>
      </c>
      <c r="BK412" t="s">
        <v>8106</v>
      </c>
      <c r="BL412" t="s">
        <v>8107</v>
      </c>
      <c r="BM412" t="s">
        <v>8108</v>
      </c>
      <c r="BN412" t="s">
        <v>74</v>
      </c>
      <c r="BO412" t="s">
        <v>74</v>
      </c>
      <c r="BP412" t="s">
        <v>74</v>
      </c>
      <c r="BQ412" t="s">
        <v>74</v>
      </c>
      <c r="BR412" t="s">
        <v>106</v>
      </c>
      <c r="BS412" t="s">
        <v>8122</v>
      </c>
      <c r="BT412" t="str">
        <f>HYPERLINK("https%3A%2F%2Fwww.webofscience.com%2Fwos%2Fwoscc%2Ffull-record%2FWOS:001092957200005","View Full Record in Web of Science")</f>
        <v>View Full Record in Web of Science</v>
      </c>
    </row>
    <row r="413" spans="1:72" x14ac:dyDescent="0.15">
      <c r="A413" t="s">
        <v>8094</v>
      </c>
      <c r="B413" t="s">
        <v>8095</v>
      </c>
      <c r="C413" t="s">
        <v>8095</v>
      </c>
      <c r="D413" t="s">
        <v>74</v>
      </c>
      <c r="E413" t="s">
        <v>74</v>
      </c>
      <c r="F413" t="s">
        <v>8096</v>
      </c>
      <c r="G413" t="s">
        <v>8095</v>
      </c>
      <c r="H413" t="s">
        <v>74</v>
      </c>
      <c r="I413" t="s">
        <v>8123</v>
      </c>
      <c r="J413" t="s">
        <v>8098</v>
      </c>
      <c r="K413" t="s">
        <v>74</v>
      </c>
      <c r="L413" t="s">
        <v>74</v>
      </c>
      <c r="M413" t="s">
        <v>78</v>
      </c>
      <c r="N413" t="s">
        <v>8115</v>
      </c>
      <c r="O413" t="s">
        <v>74</v>
      </c>
      <c r="P413" t="s">
        <v>74</v>
      </c>
      <c r="Q413" t="s">
        <v>74</v>
      </c>
      <c r="R413" t="s">
        <v>74</v>
      </c>
      <c r="S413" t="s">
        <v>74</v>
      </c>
      <c r="T413" t="s">
        <v>74</v>
      </c>
      <c r="U413" t="s">
        <v>74</v>
      </c>
      <c r="V413" t="s">
        <v>74</v>
      </c>
      <c r="W413" t="s">
        <v>74</v>
      </c>
      <c r="X413" t="s">
        <v>74</v>
      </c>
      <c r="Y413" t="s">
        <v>74</v>
      </c>
      <c r="Z413" t="s">
        <v>74</v>
      </c>
      <c r="AA413" t="s">
        <v>74</v>
      </c>
      <c r="AB413" t="s">
        <v>74</v>
      </c>
      <c r="AC413" t="s">
        <v>74</v>
      </c>
      <c r="AD413" t="s">
        <v>74</v>
      </c>
      <c r="AE413" t="s">
        <v>74</v>
      </c>
      <c r="AF413" t="s">
        <v>74</v>
      </c>
      <c r="AG413">
        <v>0</v>
      </c>
      <c r="AH413">
        <v>0</v>
      </c>
      <c r="AI413">
        <v>0</v>
      </c>
      <c r="AJ413">
        <v>0</v>
      </c>
      <c r="AK413">
        <v>0</v>
      </c>
      <c r="AL413" t="s">
        <v>8101</v>
      </c>
      <c r="AM413" t="s">
        <v>8102</v>
      </c>
      <c r="AN413" t="s">
        <v>8103</v>
      </c>
      <c r="AO413" t="s">
        <v>74</v>
      </c>
      <c r="AP413" t="s">
        <v>74</v>
      </c>
      <c r="AQ413" t="s">
        <v>8104</v>
      </c>
      <c r="AR413" t="s">
        <v>74</v>
      </c>
      <c r="AS413" t="s">
        <v>74</v>
      </c>
      <c r="AT413" t="s">
        <v>74</v>
      </c>
      <c r="AU413">
        <v>2022</v>
      </c>
      <c r="AV413" t="s">
        <v>74</v>
      </c>
      <c r="AW413" t="s">
        <v>74</v>
      </c>
      <c r="AX413" t="s">
        <v>74</v>
      </c>
      <c r="AY413" t="s">
        <v>74</v>
      </c>
      <c r="AZ413" t="s">
        <v>74</v>
      </c>
      <c r="BA413" t="s">
        <v>74</v>
      </c>
      <c r="BB413">
        <v>130</v>
      </c>
      <c r="BC413">
        <v>149</v>
      </c>
      <c r="BD413" t="s">
        <v>74</v>
      </c>
      <c r="BE413" t="s">
        <v>74</v>
      </c>
      <c r="BF413" t="s">
        <v>74</v>
      </c>
      <c r="BG413" t="s">
        <v>74</v>
      </c>
      <c r="BH413" t="s">
        <v>74</v>
      </c>
      <c r="BI413">
        <v>20</v>
      </c>
      <c r="BJ413" t="s">
        <v>8105</v>
      </c>
      <c r="BK413" t="s">
        <v>8106</v>
      </c>
      <c r="BL413" t="s">
        <v>8107</v>
      </c>
      <c r="BM413" t="s">
        <v>8108</v>
      </c>
      <c r="BN413" t="s">
        <v>74</v>
      </c>
      <c r="BO413" t="s">
        <v>74</v>
      </c>
      <c r="BP413" t="s">
        <v>74</v>
      </c>
      <c r="BQ413" t="s">
        <v>74</v>
      </c>
      <c r="BR413" t="s">
        <v>106</v>
      </c>
      <c r="BS413" t="s">
        <v>8124</v>
      </c>
      <c r="BT413" t="str">
        <f>HYPERLINK("https%3A%2F%2Fwww.webofscience.com%2Fwos%2Fwoscc%2Ffull-record%2FWOS:001092957200006","View Full Record in Web of Science")</f>
        <v>View Full Record in Web of Science</v>
      </c>
    </row>
    <row r="414" spans="1:72" x14ac:dyDescent="0.15">
      <c r="A414" t="s">
        <v>8094</v>
      </c>
      <c r="B414" t="s">
        <v>8095</v>
      </c>
      <c r="C414" t="s">
        <v>8095</v>
      </c>
      <c r="D414" t="s">
        <v>74</v>
      </c>
      <c r="E414" t="s">
        <v>74</v>
      </c>
      <c r="F414" t="s">
        <v>8096</v>
      </c>
      <c r="G414" t="s">
        <v>8095</v>
      </c>
      <c r="H414" t="s">
        <v>74</v>
      </c>
      <c r="I414" t="s">
        <v>8125</v>
      </c>
      <c r="J414" t="s">
        <v>8098</v>
      </c>
      <c r="K414" t="s">
        <v>74</v>
      </c>
      <c r="L414" t="s">
        <v>74</v>
      </c>
      <c r="M414" t="s">
        <v>78</v>
      </c>
      <c r="N414" t="s">
        <v>8115</v>
      </c>
      <c r="O414" t="s">
        <v>74</v>
      </c>
      <c r="P414" t="s">
        <v>74</v>
      </c>
      <c r="Q414" t="s">
        <v>74</v>
      </c>
      <c r="R414" t="s">
        <v>74</v>
      </c>
      <c r="S414" t="s">
        <v>74</v>
      </c>
      <c r="T414" t="s">
        <v>74</v>
      </c>
      <c r="U414" t="s">
        <v>74</v>
      </c>
      <c r="V414" t="s">
        <v>74</v>
      </c>
      <c r="W414" t="s">
        <v>74</v>
      </c>
      <c r="X414" t="s">
        <v>74</v>
      </c>
      <c r="Y414" t="s">
        <v>74</v>
      </c>
      <c r="Z414" t="s">
        <v>74</v>
      </c>
      <c r="AA414" t="s">
        <v>74</v>
      </c>
      <c r="AB414" t="s">
        <v>74</v>
      </c>
      <c r="AC414" t="s">
        <v>74</v>
      </c>
      <c r="AD414" t="s">
        <v>74</v>
      </c>
      <c r="AE414" t="s">
        <v>74</v>
      </c>
      <c r="AF414" t="s">
        <v>74</v>
      </c>
      <c r="AG414">
        <v>0</v>
      </c>
      <c r="AH414">
        <v>0</v>
      </c>
      <c r="AI414">
        <v>0</v>
      </c>
      <c r="AJ414">
        <v>0</v>
      </c>
      <c r="AK414">
        <v>0</v>
      </c>
      <c r="AL414" t="s">
        <v>8101</v>
      </c>
      <c r="AM414" t="s">
        <v>8102</v>
      </c>
      <c r="AN414" t="s">
        <v>8103</v>
      </c>
      <c r="AO414" t="s">
        <v>74</v>
      </c>
      <c r="AP414" t="s">
        <v>74</v>
      </c>
      <c r="AQ414" t="s">
        <v>8104</v>
      </c>
      <c r="AR414" t="s">
        <v>74</v>
      </c>
      <c r="AS414" t="s">
        <v>74</v>
      </c>
      <c r="AT414" t="s">
        <v>74</v>
      </c>
      <c r="AU414">
        <v>2022</v>
      </c>
      <c r="AV414" t="s">
        <v>74</v>
      </c>
      <c r="AW414" t="s">
        <v>74</v>
      </c>
      <c r="AX414" t="s">
        <v>74</v>
      </c>
      <c r="AY414" t="s">
        <v>74</v>
      </c>
      <c r="AZ414" t="s">
        <v>74</v>
      </c>
      <c r="BA414" t="s">
        <v>74</v>
      </c>
      <c r="BB414">
        <v>153</v>
      </c>
      <c r="BC414">
        <v>175</v>
      </c>
      <c r="BD414" t="s">
        <v>74</v>
      </c>
      <c r="BE414" t="s">
        <v>74</v>
      </c>
      <c r="BF414" t="s">
        <v>74</v>
      </c>
      <c r="BG414" t="s">
        <v>74</v>
      </c>
      <c r="BH414" t="s">
        <v>74</v>
      </c>
      <c r="BI414">
        <v>23</v>
      </c>
      <c r="BJ414" t="s">
        <v>8105</v>
      </c>
      <c r="BK414" t="s">
        <v>8106</v>
      </c>
      <c r="BL414" t="s">
        <v>8107</v>
      </c>
      <c r="BM414" t="s">
        <v>8108</v>
      </c>
      <c r="BN414" t="s">
        <v>74</v>
      </c>
      <c r="BO414" t="s">
        <v>74</v>
      </c>
      <c r="BP414" t="s">
        <v>74</v>
      </c>
      <c r="BQ414" t="s">
        <v>74</v>
      </c>
      <c r="BR414" t="s">
        <v>106</v>
      </c>
      <c r="BS414" t="s">
        <v>8126</v>
      </c>
      <c r="BT414" t="str">
        <f>HYPERLINK("https%3A%2F%2Fwww.webofscience.com%2Fwos%2Fwoscc%2Ffull-record%2FWOS:001092957200007","View Full Record in Web of Science")</f>
        <v>View Full Record in Web of Science</v>
      </c>
    </row>
    <row r="415" spans="1:72" x14ac:dyDescent="0.15">
      <c r="A415" t="s">
        <v>8094</v>
      </c>
      <c r="B415" t="s">
        <v>8095</v>
      </c>
      <c r="C415" t="s">
        <v>8095</v>
      </c>
      <c r="D415" t="s">
        <v>74</v>
      </c>
      <c r="E415" t="s">
        <v>74</v>
      </c>
      <c r="F415" t="s">
        <v>8096</v>
      </c>
      <c r="G415" t="s">
        <v>8095</v>
      </c>
      <c r="H415" t="s">
        <v>74</v>
      </c>
      <c r="I415" t="s">
        <v>8127</v>
      </c>
      <c r="J415" t="s">
        <v>8098</v>
      </c>
      <c r="K415" t="s">
        <v>74</v>
      </c>
      <c r="L415" t="s">
        <v>74</v>
      </c>
      <c r="M415" t="s">
        <v>78</v>
      </c>
      <c r="N415" t="s">
        <v>8115</v>
      </c>
      <c r="O415" t="s">
        <v>74</v>
      </c>
      <c r="P415" t="s">
        <v>74</v>
      </c>
      <c r="Q415" t="s">
        <v>74</v>
      </c>
      <c r="R415" t="s">
        <v>74</v>
      </c>
      <c r="S415" t="s">
        <v>74</v>
      </c>
      <c r="T415" t="s">
        <v>74</v>
      </c>
      <c r="U415" t="s">
        <v>74</v>
      </c>
      <c r="V415" t="s">
        <v>74</v>
      </c>
      <c r="W415" t="s">
        <v>74</v>
      </c>
      <c r="X415" t="s">
        <v>74</v>
      </c>
      <c r="Y415" t="s">
        <v>74</v>
      </c>
      <c r="Z415" t="s">
        <v>74</v>
      </c>
      <c r="AA415" t="s">
        <v>74</v>
      </c>
      <c r="AB415" t="s">
        <v>74</v>
      </c>
      <c r="AC415" t="s">
        <v>74</v>
      </c>
      <c r="AD415" t="s">
        <v>74</v>
      </c>
      <c r="AE415" t="s">
        <v>74</v>
      </c>
      <c r="AF415" t="s">
        <v>74</v>
      </c>
      <c r="AG415">
        <v>0</v>
      </c>
      <c r="AH415">
        <v>0</v>
      </c>
      <c r="AI415">
        <v>0</v>
      </c>
      <c r="AJ415">
        <v>0</v>
      </c>
      <c r="AK415">
        <v>0</v>
      </c>
      <c r="AL415" t="s">
        <v>8101</v>
      </c>
      <c r="AM415" t="s">
        <v>8102</v>
      </c>
      <c r="AN415" t="s">
        <v>8103</v>
      </c>
      <c r="AO415" t="s">
        <v>74</v>
      </c>
      <c r="AP415" t="s">
        <v>74</v>
      </c>
      <c r="AQ415" t="s">
        <v>8104</v>
      </c>
      <c r="AR415" t="s">
        <v>74</v>
      </c>
      <c r="AS415" t="s">
        <v>74</v>
      </c>
      <c r="AT415" t="s">
        <v>74</v>
      </c>
      <c r="AU415">
        <v>2022</v>
      </c>
      <c r="AV415" t="s">
        <v>74</v>
      </c>
      <c r="AW415" t="s">
        <v>74</v>
      </c>
      <c r="AX415" t="s">
        <v>74</v>
      </c>
      <c r="AY415" t="s">
        <v>74</v>
      </c>
      <c r="AZ415" t="s">
        <v>74</v>
      </c>
      <c r="BA415" t="s">
        <v>74</v>
      </c>
      <c r="BB415">
        <v>176</v>
      </c>
      <c r="BC415">
        <v>193</v>
      </c>
      <c r="BD415" t="s">
        <v>74</v>
      </c>
      <c r="BE415" t="s">
        <v>74</v>
      </c>
      <c r="BF415" t="s">
        <v>74</v>
      </c>
      <c r="BG415" t="s">
        <v>74</v>
      </c>
      <c r="BH415" t="s">
        <v>74</v>
      </c>
      <c r="BI415">
        <v>18</v>
      </c>
      <c r="BJ415" t="s">
        <v>8105</v>
      </c>
      <c r="BK415" t="s">
        <v>8106</v>
      </c>
      <c r="BL415" t="s">
        <v>8107</v>
      </c>
      <c r="BM415" t="s">
        <v>8108</v>
      </c>
      <c r="BN415" t="s">
        <v>74</v>
      </c>
      <c r="BO415" t="s">
        <v>74</v>
      </c>
      <c r="BP415" t="s">
        <v>74</v>
      </c>
      <c r="BQ415" t="s">
        <v>74</v>
      </c>
      <c r="BR415" t="s">
        <v>106</v>
      </c>
      <c r="BS415" t="s">
        <v>8128</v>
      </c>
      <c r="BT415" t="str">
        <f>HYPERLINK("https%3A%2F%2Fwww.webofscience.com%2Fwos%2Fwoscc%2Ffull-record%2FWOS:001092957200008","View Full Record in Web of Science")</f>
        <v>View Full Record in Web of Science</v>
      </c>
    </row>
    <row r="416" spans="1:72" x14ac:dyDescent="0.15">
      <c r="A416" t="s">
        <v>8094</v>
      </c>
      <c r="B416" t="s">
        <v>8095</v>
      </c>
      <c r="C416" t="s">
        <v>8095</v>
      </c>
      <c r="D416" t="s">
        <v>74</v>
      </c>
      <c r="E416" t="s">
        <v>74</v>
      </c>
      <c r="F416" t="s">
        <v>8096</v>
      </c>
      <c r="G416" t="s">
        <v>8095</v>
      </c>
      <c r="H416" t="s">
        <v>74</v>
      </c>
      <c r="I416" t="s">
        <v>8129</v>
      </c>
      <c r="J416" t="s">
        <v>8098</v>
      </c>
      <c r="K416" t="s">
        <v>74</v>
      </c>
      <c r="L416" t="s">
        <v>74</v>
      </c>
      <c r="M416" t="s">
        <v>78</v>
      </c>
      <c r="N416" t="s">
        <v>8099</v>
      </c>
      <c r="O416" t="s">
        <v>74</v>
      </c>
      <c r="P416" t="s">
        <v>74</v>
      </c>
      <c r="Q416" t="s">
        <v>74</v>
      </c>
      <c r="R416" t="s">
        <v>74</v>
      </c>
      <c r="S416" t="s">
        <v>74</v>
      </c>
      <c r="T416" t="s">
        <v>74</v>
      </c>
      <c r="U416" t="s">
        <v>74</v>
      </c>
      <c r="V416" t="s">
        <v>74</v>
      </c>
      <c r="W416" t="s">
        <v>74</v>
      </c>
      <c r="X416" t="s">
        <v>74</v>
      </c>
      <c r="Y416" t="s">
        <v>74</v>
      </c>
      <c r="Z416" t="s">
        <v>74</v>
      </c>
      <c r="AA416" t="s">
        <v>74</v>
      </c>
      <c r="AB416" t="s">
        <v>74</v>
      </c>
      <c r="AC416" t="s">
        <v>74</v>
      </c>
      <c r="AD416" t="s">
        <v>74</v>
      </c>
      <c r="AE416" t="s">
        <v>74</v>
      </c>
      <c r="AF416" t="s">
        <v>74</v>
      </c>
      <c r="AG416">
        <v>0</v>
      </c>
      <c r="AH416">
        <v>0</v>
      </c>
      <c r="AI416">
        <v>0</v>
      </c>
      <c r="AJ416">
        <v>0</v>
      </c>
      <c r="AK416">
        <v>0</v>
      </c>
      <c r="AL416" t="s">
        <v>8101</v>
      </c>
      <c r="AM416" t="s">
        <v>8102</v>
      </c>
      <c r="AN416" t="s">
        <v>8103</v>
      </c>
      <c r="AO416" t="s">
        <v>74</v>
      </c>
      <c r="AP416" t="s">
        <v>74</v>
      </c>
      <c r="AQ416" t="s">
        <v>8104</v>
      </c>
      <c r="AR416" t="s">
        <v>74</v>
      </c>
      <c r="AS416" t="s">
        <v>74</v>
      </c>
      <c r="AT416" t="s">
        <v>74</v>
      </c>
      <c r="AU416">
        <v>2022</v>
      </c>
      <c r="AV416" t="s">
        <v>74</v>
      </c>
      <c r="AW416" t="s">
        <v>74</v>
      </c>
      <c r="AX416" t="s">
        <v>74</v>
      </c>
      <c r="AY416" t="s">
        <v>74</v>
      </c>
      <c r="AZ416" t="s">
        <v>74</v>
      </c>
      <c r="BA416" t="s">
        <v>74</v>
      </c>
      <c r="BB416">
        <v>195</v>
      </c>
      <c r="BC416">
        <v>200</v>
      </c>
      <c r="BD416" t="s">
        <v>74</v>
      </c>
      <c r="BE416" t="s">
        <v>74</v>
      </c>
      <c r="BF416" t="s">
        <v>74</v>
      </c>
      <c r="BG416" t="s">
        <v>74</v>
      </c>
      <c r="BH416" t="s">
        <v>74</v>
      </c>
      <c r="BI416">
        <v>6</v>
      </c>
      <c r="BJ416" t="s">
        <v>8105</v>
      </c>
      <c r="BK416" t="s">
        <v>8106</v>
      </c>
      <c r="BL416" t="s">
        <v>8107</v>
      </c>
      <c r="BM416" t="s">
        <v>8108</v>
      </c>
      <c r="BN416" t="s">
        <v>74</v>
      </c>
      <c r="BO416" t="s">
        <v>74</v>
      </c>
      <c r="BP416" t="s">
        <v>74</v>
      </c>
      <c r="BQ416" t="s">
        <v>74</v>
      </c>
      <c r="BR416" t="s">
        <v>106</v>
      </c>
      <c r="BS416" t="s">
        <v>8130</v>
      </c>
      <c r="BT416" t="str">
        <f>HYPERLINK("https%3A%2F%2Fwww.webofscience.com%2Fwos%2Fwoscc%2Ffull-record%2FWOS:001092957200009","View Full Record in Web of Science")</f>
        <v>View Full Record in Web of Science</v>
      </c>
    </row>
    <row r="417" spans="1:72" x14ac:dyDescent="0.15">
      <c r="A417" t="s">
        <v>7844</v>
      </c>
      <c r="B417" t="s">
        <v>8131</v>
      </c>
      <c r="C417" t="s">
        <v>74</v>
      </c>
      <c r="D417" t="s">
        <v>7846</v>
      </c>
      <c r="E417" t="s">
        <v>74</v>
      </c>
      <c r="F417" t="s">
        <v>7847</v>
      </c>
      <c r="G417" t="s">
        <v>74</v>
      </c>
      <c r="H417" t="s">
        <v>7848</v>
      </c>
      <c r="I417" t="s">
        <v>8132</v>
      </c>
      <c r="J417" t="s">
        <v>7850</v>
      </c>
      <c r="K417" t="s">
        <v>74</v>
      </c>
      <c r="L417" t="s">
        <v>74</v>
      </c>
      <c r="M417" t="s">
        <v>78</v>
      </c>
      <c r="N417" t="s">
        <v>7851</v>
      </c>
      <c r="O417" t="s">
        <v>7852</v>
      </c>
      <c r="P417" t="s">
        <v>7853</v>
      </c>
      <c r="Q417" t="s">
        <v>7854</v>
      </c>
      <c r="R417" t="s">
        <v>74</v>
      </c>
      <c r="S417" t="s">
        <v>74</v>
      </c>
      <c r="T417" t="s">
        <v>74</v>
      </c>
      <c r="U417" t="s">
        <v>8133</v>
      </c>
      <c r="V417" t="s">
        <v>8134</v>
      </c>
      <c r="W417" t="s">
        <v>7856</v>
      </c>
      <c r="X417" t="s">
        <v>7880</v>
      </c>
      <c r="Y417" t="s">
        <v>8135</v>
      </c>
      <c r="Z417" t="s">
        <v>8136</v>
      </c>
      <c r="AA417" t="s">
        <v>8137</v>
      </c>
      <c r="AB417" t="s">
        <v>8138</v>
      </c>
      <c r="AC417" t="s">
        <v>74</v>
      </c>
      <c r="AD417" t="s">
        <v>74</v>
      </c>
      <c r="AE417" t="s">
        <v>74</v>
      </c>
      <c r="AF417" t="s">
        <v>74</v>
      </c>
      <c r="AG417">
        <v>12</v>
      </c>
      <c r="AH417">
        <v>0</v>
      </c>
      <c r="AI417">
        <v>0</v>
      </c>
      <c r="AJ417">
        <v>0</v>
      </c>
      <c r="AK417">
        <v>0</v>
      </c>
      <c r="AL417" t="s">
        <v>7865</v>
      </c>
      <c r="AM417" t="s">
        <v>7866</v>
      </c>
      <c r="AN417" t="s">
        <v>7867</v>
      </c>
      <c r="AO417" t="s">
        <v>74</v>
      </c>
      <c r="AP417" t="s">
        <v>74</v>
      </c>
      <c r="AQ417" t="s">
        <v>74</v>
      </c>
      <c r="AR417" t="s">
        <v>74</v>
      </c>
      <c r="AS417" t="s">
        <v>74</v>
      </c>
      <c r="AT417" t="s">
        <v>74</v>
      </c>
      <c r="AU417">
        <v>2022</v>
      </c>
      <c r="AV417" t="s">
        <v>74</v>
      </c>
      <c r="AW417" t="s">
        <v>74</v>
      </c>
      <c r="AX417" t="s">
        <v>74</v>
      </c>
      <c r="AY417" t="s">
        <v>74</v>
      </c>
      <c r="AZ417" t="s">
        <v>74</v>
      </c>
      <c r="BA417" t="s">
        <v>74</v>
      </c>
      <c r="BB417" t="s">
        <v>74</v>
      </c>
      <c r="BC417" t="s">
        <v>74</v>
      </c>
      <c r="BD417">
        <v>1047</v>
      </c>
      <c r="BE417" t="s">
        <v>74</v>
      </c>
      <c r="BF417" t="s">
        <v>74</v>
      </c>
      <c r="BG417" t="s">
        <v>74</v>
      </c>
      <c r="BH417" t="s">
        <v>74</v>
      </c>
      <c r="BI417">
        <v>11</v>
      </c>
      <c r="BJ417" t="s">
        <v>2004</v>
      </c>
      <c r="BK417" t="s">
        <v>7868</v>
      </c>
      <c r="BL417" t="s">
        <v>2005</v>
      </c>
      <c r="BM417" t="s">
        <v>7869</v>
      </c>
      <c r="BN417" t="s">
        <v>74</v>
      </c>
      <c r="BO417" t="s">
        <v>74</v>
      </c>
      <c r="BP417" t="s">
        <v>74</v>
      </c>
      <c r="BQ417" t="s">
        <v>74</v>
      </c>
      <c r="BR417" t="s">
        <v>106</v>
      </c>
      <c r="BS417" t="s">
        <v>8139</v>
      </c>
      <c r="BT417" t="str">
        <f>HYPERLINK("https%3A%2F%2Fwww.webofscience.com%2Fwos%2Fwoscc%2Ffull-record%2FWOS:001081844903005","View Full Record in Web of Science")</f>
        <v>View Full Record in Web of Science</v>
      </c>
    </row>
    <row r="418" spans="1:72" x14ac:dyDescent="0.15">
      <c r="A418" t="s">
        <v>7844</v>
      </c>
      <c r="B418" t="s">
        <v>8140</v>
      </c>
      <c r="C418" t="s">
        <v>74</v>
      </c>
      <c r="D418" t="s">
        <v>7846</v>
      </c>
      <c r="E418" t="s">
        <v>74</v>
      </c>
      <c r="F418" t="s">
        <v>8141</v>
      </c>
      <c r="G418" t="s">
        <v>74</v>
      </c>
      <c r="H418" t="s">
        <v>8142</v>
      </c>
      <c r="I418" t="s">
        <v>8143</v>
      </c>
      <c r="J418" t="s">
        <v>7850</v>
      </c>
      <c r="K418" t="s">
        <v>74</v>
      </c>
      <c r="L418" t="s">
        <v>74</v>
      </c>
      <c r="M418" t="s">
        <v>78</v>
      </c>
      <c r="N418" t="s">
        <v>7851</v>
      </c>
      <c r="O418" t="s">
        <v>7852</v>
      </c>
      <c r="P418" t="s">
        <v>7853</v>
      </c>
      <c r="Q418" t="s">
        <v>7854</v>
      </c>
      <c r="R418" t="s">
        <v>74</v>
      </c>
      <c r="S418" t="s">
        <v>74</v>
      </c>
      <c r="T418" t="s">
        <v>74</v>
      </c>
      <c r="U418" t="s">
        <v>74</v>
      </c>
      <c r="V418" t="s">
        <v>8144</v>
      </c>
      <c r="W418" t="s">
        <v>8145</v>
      </c>
      <c r="X418" t="s">
        <v>8146</v>
      </c>
      <c r="Y418" t="s">
        <v>8147</v>
      </c>
      <c r="Z418" t="s">
        <v>8148</v>
      </c>
      <c r="AA418" t="s">
        <v>8149</v>
      </c>
      <c r="AB418" t="s">
        <v>8150</v>
      </c>
      <c r="AC418" t="s">
        <v>74</v>
      </c>
      <c r="AD418" t="s">
        <v>74</v>
      </c>
      <c r="AE418" t="s">
        <v>74</v>
      </c>
      <c r="AF418" t="s">
        <v>74</v>
      </c>
      <c r="AG418">
        <v>23</v>
      </c>
      <c r="AH418">
        <v>0</v>
      </c>
      <c r="AI418">
        <v>0</v>
      </c>
      <c r="AJ418">
        <v>0</v>
      </c>
      <c r="AK418">
        <v>0</v>
      </c>
      <c r="AL418" t="s">
        <v>7865</v>
      </c>
      <c r="AM418" t="s">
        <v>7866</v>
      </c>
      <c r="AN418" t="s">
        <v>7867</v>
      </c>
      <c r="AO418" t="s">
        <v>74</v>
      </c>
      <c r="AP418" t="s">
        <v>74</v>
      </c>
      <c r="AQ418" t="s">
        <v>74</v>
      </c>
      <c r="AR418" t="s">
        <v>74</v>
      </c>
      <c r="AS418" t="s">
        <v>74</v>
      </c>
      <c r="AT418" t="s">
        <v>74</v>
      </c>
      <c r="AU418">
        <v>2022</v>
      </c>
      <c r="AV418" t="s">
        <v>74</v>
      </c>
      <c r="AW418" t="s">
        <v>74</v>
      </c>
      <c r="AX418" t="s">
        <v>74</v>
      </c>
      <c r="AY418" t="s">
        <v>74</v>
      </c>
      <c r="AZ418" t="s">
        <v>74</v>
      </c>
      <c r="BA418" t="s">
        <v>74</v>
      </c>
      <c r="BB418" t="s">
        <v>74</v>
      </c>
      <c r="BC418" t="s">
        <v>74</v>
      </c>
      <c r="BD418">
        <v>1186</v>
      </c>
      <c r="BE418" t="s">
        <v>74</v>
      </c>
      <c r="BF418" t="s">
        <v>74</v>
      </c>
      <c r="BG418" t="s">
        <v>74</v>
      </c>
      <c r="BH418" t="s">
        <v>74</v>
      </c>
      <c r="BI418">
        <v>11</v>
      </c>
      <c r="BJ418" t="s">
        <v>2004</v>
      </c>
      <c r="BK418" t="s">
        <v>7868</v>
      </c>
      <c r="BL418" t="s">
        <v>2005</v>
      </c>
      <c r="BM418" t="s">
        <v>7869</v>
      </c>
      <c r="BN418" t="s">
        <v>74</v>
      </c>
      <c r="BO418" t="s">
        <v>74</v>
      </c>
      <c r="BP418" t="s">
        <v>74</v>
      </c>
      <c r="BQ418" t="s">
        <v>74</v>
      </c>
      <c r="BR418" t="s">
        <v>106</v>
      </c>
      <c r="BS418" t="s">
        <v>8151</v>
      </c>
      <c r="BT418" t="str">
        <f>HYPERLINK("https%3A%2F%2Fwww.webofscience.com%2Fwos%2Fwoscc%2Ffull-record%2FWOS:001081844904028","View Full Record in Web of Science")</f>
        <v>View Full Record in Web of Science</v>
      </c>
    </row>
    <row r="419" spans="1:72" x14ac:dyDescent="0.15">
      <c r="A419" t="s">
        <v>7844</v>
      </c>
      <c r="B419" t="s">
        <v>8152</v>
      </c>
      <c r="C419" t="s">
        <v>74</v>
      </c>
      <c r="D419" t="s">
        <v>7846</v>
      </c>
      <c r="E419" t="s">
        <v>74</v>
      </c>
      <c r="F419" t="s">
        <v>8153</v>
      </c>
      <c r="G419" t="s">
        <v>74</v>
      </c>
      <c r="H419" t="s">
        <v>74</v>
      </c>
      <c r="I419" t="s">
        <v>8154</v>
      </c>
      <c r="J419" t="s">
        <v>7850</v>
      </c>
      <c r="K419" t="s">
        <v>74</v>
      </c>
      <c r="L419" t="s">
        <v>74</v>
      </c>
      <c r="M419" t="s">
        <v>78</v>
      </c>
      <c r="N419" t="s">
        <v>7851</v>
      </c>
      <c r="O419" t="s">
        <v>7852</v>
      </c>
      <c r="P419" t="s">
        <v>7853</v>
      </c>
      <c r="Q419" t="s">
        <v>7854</v>
      </c>
      <c r="R419" t="s">
        <v>74</v>
      </c>
      <c r="S419" t="s">
        <v>74</v>
      </c>
      <c r="T419" t="s">
        <v>74</v>
      </c>
      <c r="U419" t="s">
        <v>74</v>
      </c>
      <c r="V419" t="s">
        <v>8155</v>
      </c>
      <c r="W419" t="s">
        <v>8156</v>
      </c>
      <c r="X419" t="s">
        <v>8157</v>
      </c>
      <c r="Y419" t="s">
        <v>8158</v>
      </c>
      <c r="Z419" t="s">
        <v>8159</v>
      </c>
      <c r="AA419" t="s">
        <v>74</v>
      </c>
      <c r="AB419" t="s">
        <v>74</v>
      </c>
      <c r="AC419" t="s">
        <v>74</v>
      </c>
      <c r="AD419" t="s">
        <v>74</v>
      </c>
      <c r="AE419" t="s">
        <v>74</v>
      </c>
      <c r="AF419" t="s">
        <v>74</v>
      </c>
      <c r="AG419">
        <v>16</v>
      </c>
      <c r="AH419">
        <v>0</v>
      </c>
      <c r="AI419">
        <v>0</v>
      </c>
      <c r="AJ419">
        <v>0</v>
      </c>
      <c r="AK419">
        <v>0</v>
      </c>
      <c r="AL419" t="s">
        <v>7865</v>
      </c>
      <c r="AM419" t="s">
        <v>7866</v>
      </c>
      <c r="AN419" t="s">
        <v>7867</v>
      </c>
      <c r="AO419" t="s">
        <v>74</v>
      </c>
      <c r="AP419" t="s">
        <v>74</v>
      </c>
      <c r="AQ419" t="s">
        <v>74</v>
      </c>
      <c r="AR419" t="s">
        <v>74</v>
      </c>
      <c r="AS419" t="s">
        <v>74</v>
      </c>
      <c r="AT419" t="s">
        <v>74</v>
      </c>
      <c r="AU419">
        <v>2022</v>
      </c>
      <c r="AV419" t="s">
        <v>74</v>
      </c>
      <c r="AW419" t="s">
        <v>74</v>
      </c>
      <c r="AX419" t="s">
        <v>74</v>
      </c>
      <c r="AY419" t="s">
        <v>74</v>
      </c>
      <c r="AZ419" t="s">
        <v>74</v>
      </c>
      <c r="BA419" t="s">
        <v>74</v>
      </c>
      <c r="BB419" t="s">
        <v>74</v>
      </c>
      <c r="BC419" t="s">
        <v>74</v>
      </c>
      <c r="BD419">
        <v>1217</v>
      </c>
      <c r="BE419" t="s">
        <v>74</v>
      </c>
      <c r="BF419" t="s">
        <v>74</v>
      </c>
      <c r="BG419" t="s">
        <v>74</v>
      </c>
      <c r="BH419" t="s">
        <v>74</v>
      </c>
      <c r="BI419">
        <v>8</v>
      </c>
      <c r="BJ419" t="s">
        <v>2004</v>
      </c>
      <c r="BK419" t="s">
        <v>7868</v>
      </c>
      <c r="BL419" t="s">
        <v>2005</v>
      </c>
      <c r="BM419" t="s">
        <v>7869</v>
      </c>
      <c r="BN419" t="s">
        <v>74</v>
      </c>
      <c r="BO419" t="s">
        <v>74</v>
      </c>
      <c r="BP419" t="s">
        <v>74</v>
      </c>
      <c r="BQ419" t="s">
        <v>74</v>
      </c>
      <c r="BR419" t="s">
        <v>106</v>
      </c>
      <c r="BS419" t="s">
        <v>8160</v>
      </c>
      <c r="BT419" t="str">
        <f>HYPERLINK("https%3A%2F%2Fwww.webofscience.com%2Fwos%2Fwoscc%2Ffull-record%2FWOS:001081844904057","View Full Record in Web of Science")</f>
        <v>View Full Record in Web of Science</v>
      </c>
    </row>
    <row r="420" spans="1:72" x14ac:dyDescent="0.15">
      <c r="A420" t="s">
        <v>7844</v>
      </c>
      <c r="B420" t="s">
        <v>8161</v>
      </c>
      <c r="C420" t="s">
        <v>74</v>
      </c>
      <c r="D420" t="s">
        <v>7846</v>
      </c>
      <c r="E420" t="s">
        <v>74</v>
      </c>
      <c r="F420" t="s">
        <v>8162</v>
      </c>
      <c r="G420" t="s">
        <v>74</v>
      </c>
      <c r="H420" t="s">
        <v>74</v>
      </c>
      <c r="I420" t="s">
        <v>8163</v>
      </c>
      <c r="J420" t="s">
        <v>7850</v>
      </c>
      <c r="K420" t="s">
        <v>74</v>
      </c>
      <c r="L420" t="s">
        <v>74</v>
      </c>
      <c r="M420" t="s">
        <v>78</v>
      </c>
      <c r="N420" t="s">
        <v>7851</v>
      </c>
      <c r="O420" t="s">
        <v>7852</v>
      </c>
      <c r="P420" t="s">
        <v>7853</v>
      </c>
      <c r="Q420" t="s">
        <v>7854</v>
      </c>
      <c r="R420" t="s">
        <v>74</v>
      </c>
      <c r="S420" t="s">
        <v>74</v>
      </c>
      <c r="T420" t="s">
        <v>74</v>
      </c>
      <c r="U420" t="s">
        <v>74</v>
      </c>
      <c r="V420" t="s">
        <v>8164</v>
      </c>
      <c r="W420" t="s">
        <v>8165</v>
      </c>
      <c r="X420" t="s">
        <v>8166</v>
      </c>
      <c r="Y420" t="s">
        <v>8167</v>
      </c>
      <c r="Z420" t="s">
        <v>8168</v>
      </c>
      <c r="AA420" t="s">
        <v>74</v>
      </c>
      <c r="AB420" t="s">
        <v>74</v>
      </c>
      <c r="AC420" t="s">
        <v>74</v>
      </c>
      <c r="AD420" t="s">
        <v>74</v>
      </c>
      <c r="AE420" t="s">
        <v>74</v>
      </c>
      <c r="AF420" t="s">
        <v>74</v>
      </c>
      <c r="AG420">
        <v>3</v>
      </c>
      <c r="AH420">
        <v>0</v>
      </c>
      <c r="AI420">
        <v>0</v>
      </c>
      <c r="AJ420">
        <v>0</v>
      </c>
      <c r="AK420">
        <v>0</v>
      </c>
      <c r="AL420" t="s">
        <v>7865</v>
      </c>
      <c r="AM420" t="s">
        <v>7866</v>
      </c>
      <c r="AN420" t="s">
        <v>7867</v>
      </c>
      <c r="AO420" t="s">
        <v>74</v>
      </c>
      <c r="AP420" t="s">
        <v>74</v>
      </c>
      <c r="AQ420" t="s">
        <v>74</v>
      </c>
      <c r="AR420" t="s">
        <v>74</v>
      </c>
      <c r="AS420" t="s">
        <v>74</v>
      </c>
      <c r="AT420" t="s">
        <v>74</v>
      </c>
      <c r="AU420">
        <v>2022</v>
      </c>
      <c r="AV420" t="s">
        <v>74</v>
      </c>
      <c r="AW420" t="s">
        <v>74</v>
      </c>
      <c r="AX420" t="s">
        <v>74</v>
      </c>
      <c r="AY420" t="s">
        <v>74</v>
      </c>
      <c r="AZ420" t="s">
        <v>74</v>
      </c>
      <c r="BA420" t="s">
        <v>74</v>
      </c>
      <c r="BB420" t="s">
        <v>74</v>
      </c>
      <c r="BC420" t="s">
        <v>74</v>
      </c>
      <c r="BD420">
        <v>1239</v>
      </c>
      <c r="BE420" t="s">
        <v>74</v>
      </c>
      <c r="BF420" t="s">
        <v>74</v>
      </c>
      <c r="BG420" t="s">
        <v>74</v>
      </c>
      <c r="BH420" t="s">
        <v>74</v>
      </c>
      <c r="BI420">
        <v>7</v>
      </c>
      <c r="BJ420" t="s">
        <v>2004</v>
      </c>
      <c r="BK420" t="s">
        <v>7868</v>
      </c>
      <c r="BL420" t="s">
        <v>2005</v>
      </c>
      <c r="BM420" t="s">
        <v>7869</v>
      </c>
      <c r="BN420" t="s">
        <v>74</v>
      </c>
      <c r="BO420" t="s">
        <v>74</v>
      </c>
      <c r="BP420" t="s">
        <v>74</v>
      </c>
      <c r="BQ420" t="s">
        <v>74</v>
      </c>
      <c r="BR420" t="s">
        <v>106</v>
      </c>
      <c r="BS420" t="s">
        <v>8169</v>
      </c>
      <c r="BT420" t="str">
        <f>HYPERLINK("https%3A%2F%2Fwww.webofscience.com%2Fwos%2Fwoscc%2Ffull-record%2FWOS:001081844904076","View Full Record in Web of Science")</f>
        <v>View Full Record in Web of Science</v>
      </c>
    </row>
    <row r="421" spans="1:72" x14ac:dyDescent="0.15">
      <c r="A421" t="s">
        <v>7844</v>
      </c>
      <c r="B421" t="s">
        <v>8170</v>
      </c>
      <c r="C421" t="s">
        <v>74</v>
      </c>
      <c r="D421" t="s">
        <v>7846</v>
      </c>
      <c r="E421" t="s">
        <v>74</v>
      </c>
      <c r="F421" t="s">
        <v>8171</v>
      </c>
      <c r="G421" t="s">
        <v>74</v>
      </c>
      <c r="H421" t="s">
        <v>1983</v>
      </c>
      <c r="I421" t="s">
        <v>8172</v>
      </c>
      <c r="J421" t="s">
        <v>7850</v>
      </c>
      <c r="K421" t="s">
        <v>74</v>
      </c>
      <c r="L421" t="s">
        <v>74</v>
      </c>
      <c r="M421" t="s">
        <v>78</v>
      </c>
      <c r="N421" t="s">
        <v>7851</v>
      </c>
      <c r="O421" t="s">
        <v>7852</v>
      </c>
      <c r="P421" t="s">
        <v>7853</v>
      </c>
      <c r="Q421" t="s">
        <v>7854</v>
      </c>
      <c r="R421" t="s">
        <v>74</v>
      </c>
      <c r="S421" t="s">
        <v>74</v>
      </c>
      <c r="T421" t="s">
        <v>74</v>
      </c>
      <c r="U421" t="s">
        <v>74</v>
      </c>
      <c r="V421" t="s">
        <v>8173</v>
      </c>
      <c r="W421" t="s">
        <v>8174</v>
      </c>
      <c r="X421" t="s">
        <v>8175</v>
      </c>
      <c r="Y421" t="s">
        <v>1990</v>
      </c>
      <c r="Z421" t="s">
        <v>8176</v>
      </c>
      <c r="AA421" t="s">
        <v>74</v>
      </c>
      <c r="AB421" t="s">
        <v>74</v>
      </c>
      <c r="AC421" t="s">
        <v>74</v>
      </c>
      <c r="AD421" t="s">
        <v>74</v>
      </c>
      <c r="AE421" t="s">
        <v>74</v>
      </c>
      <c r="AF421" t="s">
        <v>74</v>
      </c>
      <c r="AG421">
        <v>7</v>
      </c>
      <c r="AH421">
        <v>0</v>
      </c>
      <c r="AI421">
        <v>0</v>
      </c>
      <c r="AJ421">
        <v>0</v>
      </c>
      <c r="AK421">
        <v>0</v>
      </c>
      <c r="AL421" t="s">
        <v>7865</v>
      </c>
      <c r="AM421" t="s">
        <v>7866</v>
      </c>
      <c r="AN421" t="s">
        <v>7867</v>
      </c>
      <c r="AO421" t="s">
        <v>74</v>
      </c>
      <c r="AP421" t="s">
        <v>74</v>
      </c>
      <c r="AQ421" t="s">
        <v>74</v>
      </c>
      <c r="AR421" t="s">
        <v>74</v>
      </c>
      <c r="AS421" t="s">
        <v>74</v>
      </c>
      <c r="AT421" t="s">
        <v>74</v>
      </c>
      <c r="AU421">
        <v>2022</v>
      </c>
      <c r="AV421" t="s">
        <v>74</v>
      </c>
      <c r="AW421" t="s">
        <v>74</v>
      </c>
      <c r="AX421" t="s">
        <v>74</v>
      </c>
      <c r="AY421" t="s">
        <v>74</v>
      </c>
      <c r="AZ421" t="s">
        <v>74</v>
      </c>
      <c r="BA421" t="s">
        <v>74</v>
      </c>
      <c r="BB421" t="s">
        <v>74</v>
      </c>
      <c r="BC421" t="s">
        <v>74</v>
      </c>
      <c r="BD421">
        <v>1110</v>
      </c>
      <c r="BE421" t="s">
        <v>74</v>
      </c>
      <c r="BF421" t="s">
        <v>74</v>
      </c>
      <c r="BG421" t="s">
        <v>74</v>
      </c>
      <c r="BH421" t="s">
        <v>74</v>
      </c>
      <c r="BI421">
        <v>9</v>
      </c>
      <c r="BJ421" t="s">
        <v>2004</v>
      </c>
      <c r="BK421" t="s">
        <v>7868</v>
      </c>
      <c r="BL421" t="s">
        <v>2005</v>
      </c>
      <c r="BM421" t="s">
        <v>7869</v>
      </c>
      <c r="BN421" t="s">
        <v>74</v>
      </c>
      <c r="BO421" t="s">
        <v>74</v>
      </c>
      <c r="BP421" t="s">
        <v>74</v>
      </c>
      <c r="BQ421" t="s">
        <v>74</v>
      </c>
      <c r="BR421" t="s">
        <v>106</v>
      </c>
      <c r="BS421" t="s">
        <v>8177</v>
      </c>
      <c r="BT421" t="str">
        <f>HYPERLINK("https%3A%2F%2Fwww.webofscience.com%2Fwos%2Fwoscc%2Ffull-record%2FWOS:001081844903060","View Full Record in Web of Science")</f>
        <v>View Full Record in Web of Science</v>
      </c>
    </row>
    <row r="422" spans="1:72" x14ac:dyDescent="0.15">
      <c r="A422" t="s">
        <v>7844</v>
      </c>
      <c r="B422" t="s">
        <v>8131</v>
      </c>
      <c r="C422" t="s">
        <v>74</v>
      </c>
      <c r="D422" t="s">
        <v>8178</v>
      </c>
      <c r="E422" t="s">
        <v>74</v>
      </c>
      <c r="F422" t="s">
        <v>7847</v>
      </c>
      <c r="G422" t="s">
        <v>74</v>
      </c>
      <c r="H422" t="s">
        <v>7848</v>
      </c>
      <c r="I422" t="s">
        <v>8179</v>
      </c>
      <c r="J422" t="s">
        <v>7850</v>
      </c>
      <c r="K422" t="s">
        <v>74</v>
      </c>
      <c r="L422" t="s">
        <v>74</v>
      </c>
      <c r="M422" t="s">
        <v>78</v>
      </c>
      <c r="N422" t="s">
        <v>7851</v>
      </c>
      <c r="O422" t="s">
        <v>7852</v>
      </c>
      <c r="P422" t="s">
        <v>7853</v>
      </c>
      <c r="Q422" t="s">
        <v>7854</v>
      </c>
      <c r="R422" t="s">
        <v>74</v>
      </c>
      <c r="S422" t="s">
        <v>74</v>
      </c>
      <c r="T422" t="s">
        <v>74</v>
      </c>
      <c r="U422" t="s">
        <v>8180</v>
      </c>
      <c r="V422" t="s">
        <v>8181</v>
      </c>
      <c r="W422" t="s">
        <v>7856</v>
      </c>
      <c r="X422" t="s">
        <v>8182</v>
      </c>
      <c r="Y422" t="s">
        <v>8183</v>
      </c>
      <c r="Z422" t="s">
        <v>74</v>
      </c>
      <c r="AA422" t="s">
        <v>8184</v>
      </c>
      <c r="AB422" t="s">
        <v>8185</v>
      </c>
      <c r="AC422" t="s">
        <v>7862</v>
      </c>
      <c r="AD422" t="s">
        <v>7863</v>
      </c>
      <c r="AE422" t="s">
        <v>7864</v>
      </c>
      <c r="AF422" t="s">
        <v>74</v>
      </c>
      <c r="AG422">
        <v>22</v>
      </c>
      <c r="AH422">
        <v>0</v>
      </c>
      <c r="AI422">
        <v>0</v>
      </c>
      <c r="AJ422">
        <v>0</v>
      </c>
      <c r="AK422">
        <v>0</v>
      </c>
      <c r="AL422" t="s">
        <v>7865</v>
      </c>
      <c r="AM422" t="s">
        <v>7866</v>
      </c>
      <c r="AN422" t="s">
        <v>7867</v>
      </c>
      <c r="AO422" t="s">
        <v>74</v>
      </c>
      <c r="AP422" t="s">
        <v>74</v>
      </c>
      <c r="AQ422" t="s">
        <v>74</v>
      </c>
      <c r="AR422" t="s">
        <v>74</v>
      </c>
      <c r="AS422" t="s">
        <v>74</v>
      </c>
      <c r="AT422" t="s">
        <v>74</v>
      </c>
      <c r="AU422">
        <v>2022</v>
      </c>
      <c r="AV422" t="s">
        <v>74</v>
      </c>
      <c r="AW422" t="s">
        <v>74</v>
      </c>
      <c r="AX422" t="s">
        <v>74</v>
      </c>
      <c r="AY422" t="s">
        <v>74</v>
      </c>
      <c r="AZ422" t="s">
        <v>74</v>
      </c>
      <c r="BA422" t="s">
        <v>74</v>
      </c>
      <c r="BB422" t="s">
        <v>74</v>
      </c>
      <c r="BC422" t="s">
        <v>74</v>
      </c>
      <c r="BD422">
        <v>521</v>
      </c>
      <c r="BE422" t="s">
        <v>74</v>
      </c>
      <c r="BF422" t="s">
        <v>74</v>
      </c>
      <c r="BG422" t="s">
        <v>74</v>
      </c>
      <c r="BH422" t="s">
        <v>74</v>
      </c>
      <c r="BI422">
        <v>11</v>
      </c>
      <c r="BJ422" t="s">
        <v>2004</v>
      </c>
      <c r="BK422" t="s">
        <v>7868</v>
      </c>
      <c r="BL422" t="s">
        <v>2005</v>
      </c>
      <c r="BM422" t="s">
        <v>8186</v>
      </c>
      <c r="BN422" t="s">
        <v>74</v>
      </c>
      <c r="BO422" t="s">
        <v>74</v>
      </c>
      <c r="BP422" t="s">
        <v>74</v>
      </c>
      <c r="BQ422" t="s">
        <v>74</v>
      </c>
      <c r="BR422" t="s">
        <v>106</v>
      </c>
      <c r="BS422" t="s">
        <v>8187</v>
      </c>
      <c r="BT422" t="str">
        <f>HYPERLINK("https%3A%2F%2Fwww.webofscience.com%2Fwos%2Fwoscc%2Ffull-record%2FWOS:001070848604047","View Full Record in Web of Science")</f>
        <v>View Full Record in Web of Science</v>
      </c>
    </row>
    <row r="423" spans="1:72" x14ac:dyDescent="0.15">
      <c r="A423" t="s">
        <v>7844</v>
      </c>
      <c r="B423" t="s">
        <v>8188</v>
      </c>
      <c r="C423" t="s">
        <v>74</v>
      </c>
      <c r="D423" t="s">
        <v>8178</v>
      </c>
      <c r="E423" t="s">
        <v>74</v>
      </c>
      <c r="F423" t="s">
        <v>8189</v>
      </c>
      <c r="G423" t="s">
        <v>74</v>
      </c>
      <c r="H423" t="s">
        <v>8190</v>
      </c>
      <c r="I423" t="s">
        <v>8191</v>
      </c>
      <c r="J423" t="s">
        <v>7850</v>
      </c>
      <c r="K423" t="s">
        <v>74</v>
      </c>
      <c r="L423" t="s">
        <v>74</v>
      </c>
      <c r="M423" t="s">
        <v>78</v>
      </c>
      <c r="N423" t="s">
        <v>7851</v>
      </c>
      <c r="O423" t="s">
        <v>7852</v>
      </c>
      <c r="P423" t="s">
        <v>7853</v>
      </c>
      <c r="Q423" t="s">
        <v>7854</v>
      </c>
      <c r="R423" t="s">
        <v>74</v>
      </c>
      <c r="S423" t="s">
        <v>74</v>
      </c>
      <c r="T423" t="s">
        <v>74</v>
      </c>
      <c r="U423" t="s">
        <v>74</v>
      </c>
      <c r="V423" t="s">
        <v>8192</v>
      </c>
      <c r="W423" t="s">
        <v>8193</v>
      </c>
      <c r="X423" t="s">
        <v>8194</v>
      </c>
      <c r="Y423" t="s">
        <v>8195</v>
      </c>
      <c r="Z423" t="s">
        <v>8196</v>
      </c>
      <c r="AA423" t="s">
        <v>74</v>
      </c>
      <c r="AB423" t="s">
        <v>74</v>
      </c>
      <c r="AC423" t="s">
        <v>8197</v>
      </c>
      <c r="AD423" t="s">
        <v>8198</v>
      </c>
      <c r="AE423" t="s">
        <v>8199</v>
      </c>
      <c r="AF423" t="s">
        <v>74</v>
      </c>
      <c r="AG423">
        <v>11</v>
      </c>
      <c r="AH423">
        <v>0</v>
      </c>
      <c r="AI423">
        <v>0</v>
      </c>
      <c r="AJ423">
        <v>0</v>
      </c>
      <c r="AK423">
        <v>0</v>
      </c>
      <c r="AL423" t="s">
        <v>7865</v>
      </c>
      <c r="AM423" t="s">
        <v>7866</v>
      </c>
      <c r="AN423" t="s">
        <v>7867</v>
      </c>
      <c r="AO423" t="s">
        <v>74</v>
      </c>
      <c r="AP423" t="s">
        <v>74</v>
      </c>
      <c r="AQ423" t="s">
        <v>74</v>
      </c>
      <c r="AR423" t="s">
        <v>74</v>
      </c>
      <c r="AS423" t="s">
        <v>74</v>
      </c>
      <c r="AT423" t="s">
        <v>74</v>
      </c>
      <c r="AU423">
        <v>2022</v>
      </c>
      <c r="AV423" t="s">
        <v>74</v>
      </c>
      <c r="AW423" t="s">
        <v>74</v>
      </c>
      <c r="AX423" t="s">
        <v>74</v>
      </c>
      <c r="AY423" t="s">
        <v>74</v>
      </c>
      <c r="AZ423" t="s">
        <v>74</v>
      </c>
      <c r="BA423" t="s">
        <v>74</v>
      </c>
      <c r="BB423" t="s">
        <v>74</v>
      </c>
      <c r="BC423" t="s">
        <v>74</v>
      </c>
      <c r="BD423">
        <v>655</v>
      </c>
      <c r="BE423" t="s">
        <v>74</v>
      </c>
      <c r="BF423" t="s">
        <v>74</v>
      </c>
      <c r="BG423" t="s">
        <v>74</v>
      </c>
      <c r="BH423" t="s">
        <v>74</v>
      </c>
      <c r="BI423">
        <v>9</v>
      </c>
      <c r="BJ423" t="s">
        <v>2004</v>
      </c>
      <c r="BK423" t="s">
        <v>7868</v>
      </c>
      <c r="BL423" t="s">
        <v>2005</v>
      </c>
      <c r="BM423" t="s">
        <v>8186</v>
      </c>
      <c r="BN423" t="s">
        <v>74</v>
      </c>
      <c r="BO423" t="s">
        <v>74</v>
      </c>
      <c r="BP423" t="s">
        <v>74</v>
      </c>
      <c r="BQ423" t="s">
        <v>74</v>
      </c>
      <c r="BR423" t="s">
        <v>106</v>
      </c>
      <c r="BS423" t="s">
        <v>8200</v>
      </c>
      <c r="BT423" t="str">
        <f>HYPERLINK("https%3A%2F%2Fwww.webofscience.com%2Fwos%2Fwoscc%2Ffull-record%2FWOS:001070848605047","View Full Record in Web of Science")</f>
        <v>View Full Record in Web of Science</v>
      </c>
    </row>
    <row r="424" spans="1:72" x14ac:dyDescent="0.15">
      <c r="A424" t="s">
        <v>7844</v>
      </c>
      <c r="B424" t="s">
        <v>8201</v>
      </c>
      <c r="C424" t="s">
        <v>74</v>
      </c>
      <c r="D424" t="s">
        <v>8178</v>
      </c>
      <c r="E424" t="s">
        <v>74</v>
      </c>
      <c r="F424" t="s">
        <v>8202</v>
      </c>
      <c r="G424" t="s">
        <v>74</v>
      </c>
      <c r="H424" t="s">
        <v>8190</v>
      </c>
      <c r="I424" t="s">
        <v>8203</v>
      </c>
      <c r="J424" t="s">
        <v>7850</v>
      </c>
      <c r="K424" t="s">
        <v>74</v>
      </c>
      <c r="L424" t="s">
        <v>74</v>
      </c>
      <c r="M424" t="s">
        <v>78</v>
      </c>
      <c r="N424" t="s">
        <v>7851</v>
      </c>
      <c r="O424" t="s">
        <v>7852</v>
      </c>
      <c r="P424" t="s">
        <v>7853</v>
      </c>
      <c r="Q424" t="s">
        <v>7854</v>
      </c>
      <c r="R424" t="s">
        <v>74</v>
      </c>
      <c r="S424" t="s">
        <v>74</v>
      </c>
      <c r="T424" t="s">
        <v>74</v>
      </c>
      <c r="U424" t="s">
        <v>74</v>
      </c>
      <c r="V424" t="s">
        <v>8204</v>
      </c>
      <c r="W424" t="s">
        <v>8205</v>
      </c>
      <c r="X424" t="s">
        <v>8206</v>
      </c>
      <c r="Y424" t="s">
        <v>8207</v>
      </c>
      <c r="Z424" t="s">
        <v>8208</v>
      </c>
      <c r="AA424" t="s">
        <v>74</v>
      </c>
      <c r="AB424" t="s">
        <v>74</v>
      </c>
      <c r="AC424" t="s">
        <v>74</v>
      </c>
      <c r="AD424" t="s">
        <v>74</v>
      </c>
      <c r="AE424" t="s">
        <v>74</v>
      </c>
      <c r="AF424" t="s">
        <v>74</v>
      </c>
      <c r="AG424">
        <v>9</v>
      </c>
      <c r="AH424">
        <v>0</v>
      </c>
      <c r="AI424">
        <v>0</v>
      </c>
      <c r="AJ424">
        <v>0</v>
      </c>
      <c r="AK424">
        <v>0</v>
      </c>
      <c r="AL424" t="s">
        <v>7865</v>
      </c>
      <c r="AM424" t="s">
        <v>7866</v>
      </c>
      <c r="AN424" t="s">
        <v>7867</v>
      </c>
      <c r="AO424" t="s">
        <v>74</v>
      </c>
      <c r="AP424" t="s">
        <v>74</v>
      </c>
      <c r="AQ424" t="s">
        <v>74</v>
      </c>
      <c r="AR424" t="s">
        <v>74</v>
      </c>
      <c r="AS424" t="s">
        <v>74</v>
      </c>
      <c r="AT424" t="s">
        <v>74</v>
      </c>
      <c r="AU424">
        <v>2022</v>
      </c>
      <c r="AV424" t="s">
        <v>74</v>
      </c>
      <c r="AW424" t="s">
        <v>74</v>
      </c>
      <c r="AX424" t="s">
        <v>74</v>
      </c>
      <c r="AY424" t="s">
        <v>74</v>
      </c>
      <c r="AZ424" t="s">
        <v>74</v>
      </c>
      <c r="BA424" t="s">
        <v>74</v>
      </c>
      <c r="BB424" t="s">
        <v>74</v>
      </c>
      <c r="BC424" t="s">
        <v>74</v>
      </c>
      <c r="BD424">
        <v>590</v>
      </c>
      <c r="BE424" t="s">
        <v>74</v>
      </c>
      <c r="BF424" t="s">
        <v>74</v>
      </c>
      <c r="BG424" t="s">
        <v>74</v>
      </c>
      <c r="BH424" t="s">
        <v>74</v>
      </c>
      <c r="BI424">
        <v>9</v>
      </c>
      <c r="BJ424" t="s">
        <v>2004</v>
      </c>
      <c r="BK424" t="s">
        <v>7868</v>
      </c>
      <c r="BL424" t="s">
        <v>2005</v>
      </c>
      <c r="BM424" t="s">
        <v>8186</v>
      </c>
      <c r="BN424" t="s">
        <v>74</v>
      </c>
      <c r="BO424" t="s">
        <v>74</v>
      </c>
      <c r="BP424" t="s">
        <v>74</v>
      </c>
      <c r="BQ424" t="s">
        <v>74</v>
      </c>
      <c r="BR424" t="s">
        <v>106</v>
      </c>
      <c r="BS424" t="s">
        <v>8209</v>
      </c>
      <c r="BT424" t="str">
        <f>HYPERLINK("https%3A%2F%2Fwww.webofscience.com%2Fwos%2Fwoscc%2Ffull-record%2FWOS:001070848604105","View Full Record in Web of Science")</f>
        <v>View Full Record in Web of Science</v>
      </c>
    </row>
    <row r="425" spans="1:72" x14ac:dyDescent="0.15">
      <c r="A425" t="s">
        <v>7844</v>
      </c>
      <c r="B425" t="s">
        <v>8210</v>
      </c>
      <c r="C425" t="s">
        <v>74</v>
      </c>
      <c r="D425" t="s">
        <v>8178</v>
      </c>
      <c r="E425" t="s">
        <v>74</v>
      </c>
      <c r="F425" t="s">
        <v>8211</v>
      </c>
      <c r="G425" t="s">
        <v>74</v>
      </c>
      <c r="H425" t="s">
        <v>8212</v>
      </c>
      <c r="I425" t="s">
        <v>8213</v>
      </c>
      <c r="J425" t="s">
        <v>7850</v>
      </c>
      <c r="K425" t="s">
        <v>74</v>
      </c>
      <c r="L425" t="s">
        <v>74</v>
      </c>
      <c r="M425" t="s">
        <v>78</v>
      </c>
      <c r="N425" t="s">
        <v>7851</v>
      </c>
      <c r="O425" t="s">
        <v>7852</v>
      </c>
      <c r="P425" t="s">
        <v>7853</v>
      </c>
      <c r="Q425" t="s">
        <v>7854</v>
      </c>
      <c r="R425" t="s">
        <v>74</v>
      </c>
      <c r="S425" t="s">
        <v>74</v>
      </c>
      <c r="T425" t="s">
        <v>74</v>
      </c>
      <c r="U425" t="s">
        <v>74</v>
      </c>
      <c r="V425" t="s">
        <v>8214</v>
      </c>
      <c r="W425" t="s">
        <v>8215</v>
      </c>
      <c r="X425" t="s">
        <v>8216</v>
      </c>
      <c r="Y425" t="s">
        <v>8217</v>
      </c>
      <c r="Z425" t="s">
        <v>8218</v>
      </c>
      <c r="AA425" t="s">
        <v>74</v>
      </c>
      <c r="AB425" t="s">
        <v>74</v>
      </c>
      <c r="AC425" t="s">
        <v>8219</v>
      </c>
      <c r="AD425" t="s">
        <v>8220</v>
      </c>
      <c r="AE425" t="s">
        <v>8221</v>
      </c>
      <c r="AF425" t="s">
        <v>74</v>
      </c>
      <c r="AG425">
        <v>17</v>
      </c>
      <c r="AH425">
        <v>0</v>
      </c>
      <c r="AI425">
        <v>0</v>
      </c>
      <c r="AJ425">
        <v>0</v>
      </c>
      <c r="AK425">
        <v>0</v>
      </c>
      <c r="AL425" t="s">
        <v>7865</v>
      </c>
      <c r="AM425" t="s">
        <v>7866</v>
      </c>
      <c r="AN425" t="s">
        <v>7867</v>
      </c>
      <c r="AO425" t="s">
        <v>74</v>
      </c>
      <c r="AP425" t="s">
        <v>74</v>
      </c>
      <c r="AQ425" t="s">
        <v>74</v>
      </c>
      <c r="AR425" t="s">
        <v>74</v>
      </c>
      <c r="AS425" t="s">
        <v>74</v>
      </c>
      <c r="AT425" t="s">
        <v>74</v>
      </c>
      <c r="AU425">
        <v>2022</v>
      </c>
      <c r="AV425" t="s">
        <v>74</v>
      </c>
      <c r="AW425" t="s">
        <v>74</v>
      </c>
      <c r="AX425" t="s">
        <v>74</v>
      </c>
      <c r="AY425" t="s">
        <v>74</v>
      </c>
      <c r="AZ425" t="s">
        <v>74</v>
      </c>
      <c r="BA425" t="s">
        <v>74</v>
      </c>
      <c r="BB425" t="s">
        <v>74</v>
      </c>
      <c r="BC425" t="s">
        <v>74</v>
      </c>
      <c r="BD425">
        <v>399</v>
      </c>
      <c r="BE425" t="s">
        <v>74</v>
      </c>
      <c r="BF425" t="s">
        <v>74</v>
      </c>
      <c r="BG425" t="s">
        <v>74</v>
      </c>
      <c r="BH425" t="s">
        <v>74</v>
      </c>
      <c r="BI425">
        <v>9</v>
      </c>
      <c r="BJ425" t="s">
        <v>2004</v>
      </c>
      <c r="BK425" t="s">
        <v>7868</v>
      </c>
      <c r="BL425" t="s">
        <v>2005</v>
      </c>
      <c r="BM425" t="s">
        <v>8186</v>
      </c>
      <c r="BN425" t="s">
        <v>74</v>
      </c>
      <c r="BO425" t="s">
        <v>74</v>
      </c>
      <c r="BP425" t="s">
        <v>74</v>
      </c>
      <c r="BQ425" t="s">
        <v>74</v>
      </c>
      <c r="BR425" t="s">
        <v>106</v>
      </c>
      <c r="BS425" t="s">
        <v>8222</v>
      </c>
      <c r="BT425" t="str">
        <f>HYPERLINK("https%3A%2F%2Fwww.webofscience.com%2Fwos%2Fwoscc%2Ffull-record%2FWOS:001070848603052","View Full Record in Web of Science")</f>
        <v>View Full Record in Web of Science</v>
      </c>
    </row>
    <row r="426" spans="1:72" x14ac:dyDescent="0.15">
      <c r="A426" t="s">
        <v>7844</v>
      </c>
      <c r="B426" t="s">
        <v>8223</v>
      </c>
      <c r="C426" t="s">
        <v>74</v>
      </c>
      <c r="D426" t="s">
        <v>8178</v>
      </c>
      <c r="E426" t="s">
        <v>74</v>
      </c>
      <c r="F426" t="s">
        <v>8224</v>
      </c>
      <c r="G426" t="s">
        <v>74</v>
      </c>
      <c r="H426" t="s">
        <v>8225</v>
      </c>
      <c r="I426" t="s">
        <v>8226</v>
      </c>
      <c r="J426" t="s">
        <v>7850</v>
      </c>
      <c r="K426" t="s">
        <v>74</v>
      </c>
      <c r="L426" t="s">
        <v>74</v>
      </c>
      <c r="M426" t="s">
        <v>78</v>
      </c>
      <c r="N426" t="s">
        <v>7851</v>
      </c>
      <c r="O426" t="s">
        <v>7852</v>
      </c>
      <c r="P426" t="s">
        <v>7853</v>
      </c>
      <c r="Q426" t="s">
        <v>7854</v>
      </c>
      <c r="R426" t="s">
        <v>74</v>
      </c>
      <c r="S426" t="s">
        <v>74</v>
      </c>
      <c r="T426" t="s">
        <v>74</v>
      </c>
      <c r="U426" t="s">
        <v>8227</v>
      </c>
      <c r="V426" t="s">
        <v>8228</v>
      </c>
      <c r="W426" t="s">
        <v>8229</v>
      </c>
      <c r="X426" t="s">
        <v>8230</v>
      </c>
      <c r="Y426" t="s">
        <v>8231</v>
      </c>
      <c r="Z426" t="s">
        <v>8232</v>
      </c>
      <c r="AA426" t="s">
        <v>74</v>
      </c>
      <c r="AB426" t="s">
        <v>74</v>
      </c>
      <c r="AC426" t="s">
        <v>74</v>
      </c>
      <c r="AD426" t="s">
        <v>74</v>
      </c>
      <c r="AE426" t="s">
        <v>74</v>
      </c>
      <c r="AF426" t="s">
        <v>74</v>
      </c>
      <c r="AG426">
        <v>19</v>
      </c>
      <c r="AH426">
        <v>0</v>
      </c>
      <c r="AI426">
        <v>0</v>
      </c>
      <c r="AJ426">
        <v>3</v>
      </c>
      <c r="AK426">
        <v>3</v>
      </c>
      <c r="AL426" t="s">
        <v>7865</v>
      </c>
      <c r="AM426" t="s">
        <v>7866</v>
      </c>
      <c r="AN426" t="s">
        <v>7867</v>
      </c>
      <c r="AO426" t="s">
        <v>74</v>
      </c>
      <c r="AP426" t="s">
        <v>74</v>
      </c>
      <c r="AQ426" t="s">
        <v>74</v>
      </c>
      <c r="AR426" t="s">
        <v>74</v>
      </c>
      <c r="AS426" t="s">
        <v>74</v>
      </c>
      <c r="AT426" t="s">
        <v>74</v>
      </c>
      <c r="AU426">
        <v>2022</v>
      </c>
      <c r="AV426" t="s">
        <v>74</v>
      </c>
      <c r="AW426" t="s">
        <v>74</v>
      </c>
      <c r="AX426" t="s">
        <v>74</v>
      </c>
      <c r="AY426" t="s">
        <v>74</v>
      </c>
      <c r="AZ426" t="s">
        <v>74</v>
      </c>
      <c r="BA426" t="s">
        <v>74</v>
      </c>
      <c r="BB426" t="s">
        <v>74</v>
      </c>
      <c r="BC426" t="s">
        <v>74</v>
      </c>
      <c r="BD426">
        <v>14</v>
      </c>
      <c r="BE426" t="s">
        <v>74</v>
      </c>
      <c r="BF426" t="s">
        <v>74</v>
      </c>
      <c r="BG426" t="s">
        <v>74</v>
      </c>
      <c r="BH426" t="s">
        <v>74</v>
      </c>
      <c r="BI426">
        <v>12</v>
      </c>
      <c r="BJ426" t="s">
        <v>2004</v>
      </c>
      <c r="BK426" t="s">
        <v>7868</v>
      </c>
      <c r="BL426" t="s">
        <v>2005</v>
      </c>
      <c r="BM426" t="s">
        <v>8186</v>
      </c>
      <c r="BN426" t="s">
        <v>74</v>
      </c>
      <c r="BO426" t="s">
        <v>74</v>
      </c>
      <c r="BP426" t="s">
        <v>74</v>
      </c>
      <c r="BQ426" t="s">
        <v>74</v>
      </c>
      <c r="BR426" t="s">
        <v>106</v>
      </c>
      <c r="BS426" t="s">
        <v>8233</v>
      </c>
      <c r="BT426" t="str">
        <f>HYPERLINK("https%3A%2F%2Fwww.webofscience.com%2Fwos%2Fwoscc%2Ffull-record%2FWOS:001070848600012","View Full Record in Web of Science")</f>
        <v>View Full Record in Web of Science</v>
      </c>
    </row>
    <row r="427" spans="1:72" x14ac:dyDescent="0.15">
      <c r="A427" t="s">
        <v>7844</v>
      </c>
      <c r="B427" t="s">
        <v>8234</v>
      </c>
      <c r="C427" t="s">
        <v>74</v>
      </c>
      <c r="D427" t="s">
        <v>8178</v>
      </c>
      <c r="E427" t="s">
        <v>74</v>
      </c>
      <c r="F427" t="s">
        <v>8235</v>
      </c>
      <c r="G427" t="s">
        <v>74</v>
      </c>
      <c r="H427" t="s">
        <v>8190</v>
      </c>
      <c r="I427" t="s">
        <v>8236</v>
      </c>
      <c r="J427" t="s">
        <v>7850</v>
      </c>
      <c r="K427" t="s">
        <v>74</v>
      </c>
      <c r="L427" t="s">
        <v>74</v>
      </c>
      <c r="M427" t="s">
        <v>78</v>
      </c>
      <c r="N427" t="s">
        <v>7851</v>
      </c>
      <c r="O427" t="s">
        <v>7852</v>
      </c>
      <c r="P427" t="s">
        <v>7853</v>
      </c>
      <c r="Q427" t="s">
        <v>7854</v>
      </c>
      <c r="R427" t="s">
        <v>74</v>
      </c>
      <c r="S427" t="s">
        <v>74</v>
      </c>
      <c r="T427" t="s">
        <v>74</v>
      </c>
      <c r="U427" t="s">
        <v>74</v>
      </c>
      <c r="V427" t="s">
        <v>8237</v>
      </c>
      <c r="W427" t="s">
        <v>74</v>
      </c>
      <c r="X427" t="s">
        <v>74</v>
      </c>
      <c r="Y427" t="s">
        <v>74</v>
      </c>
      <c r="Z427" t="s">
        <v>8238</v>
      </c>
      <c r="AA427" t="s">
        <v>74</v>
      </c>
      <c r="AB427" t="s">
        <v>74</v>
      </c>
      <c r="AC427" t="s">
        <v>74</v>
      </c>
      <c r="AD427" t="s">
        <v>74</v>
      </c>
      <c r="AE427" t="s">
        <v>74</v>
      </c>
      <c r="AF427" t="s">
        <v>74</v>
      </c>
      <c r="AG427">
        <v>5</v>
      </c>
      <c r="AH427">
        <v>0</v>
      </c>
      <c r="AI427">
        <v>0</v>
      </c>
      <c r="AJ427">
        <v>0</v>
      </c>
      <c r="AK427">
        <v>0</v>
      </c>
      <c r="AL427" t="s">
        <v>7865</v>
      </c>
      <c r="AM427" t="s">
        <v>7866</v>
      </c>
      <c r="AN427" t="s">
        <v>7867</v>
      </c>
      <c r="AO427" t="s">
        <v>74</v>
      </c>
      <c r="AP427" t="s">
        <v>74</v>
      </c>
      <c r="AQ427" t="s">
        <v>74</v>
      </c>
      <c r="AR427" t="s">
        <v>74</v>
      </c>
      <c r="AS427" t="s">
        <v>74</v>
      </c>
      <c r="AT427" t="s">
        <v>74</v>
      </c>
      <c r="AU427">
        <v>2022</v>
      </c>
      <c r="AV427" t="s">
        <v>74</v>
      </c>
      <c r="AW427" t="s">
        <v>74</v>
      </c>
      <c r="AX427" t="s">
        <v>74</v>
      </c>
      <c r="AY427" t="s">
        <v>74</v>
      </c>
      <c r="AZ427" t="s">
        <v>74</v>
      </c>
      <c r="BA427" t="s">
        <v>74</v>
      </c>
      <c r="BB427" t="s">
        <v>74</v>
      </c>
      <c r="BC427" t="s">
        <v>74</v>
      </c>
      <c r="BD427">
        <v>137</v>
      </c>
      <c r="BE427" t="s">
        <v>74</v>
      </c>
      <c r="BF427" t="s">
        <v>74</v>
      </c>
      <c r="BG427" t="s">
        <v>74</v>
      </c>
      <c r="BH427" t="s">
        <v>74</v>
      </c>
      <c r="BI427">
        <v>9</v>
      </c>
      <c r="BJ427" t="s">
        <v>2004</v>
      </c>
      <c r="BK427" t="s">
        <v>7868</v>
      </c>
      <c r="BL427" t="s">
        <v>2005</v>
      </c>
      <c r="BM427" t="s">
        <v>8186</v>
      </c>
      <c r="BN427" t="s">
        <v>74</v>
      </c>
      <c r="BO427" t="s">
        <v>74</v>
      </c>
      <c r="BP427" t="s">
        <v>74</v>
      </c>
      <c r="BQ427" t="s">
        <v>74</v>
      </c>
      <c r="BR427" t="s">
        <v>106</v>
      </c>
      <c r="BS427" t="s">
        <v>8239</v>
      </c>
      <c r="BT427" t="str">
        <f>HYPERLINK("https%3A%2F%2Fwww.webofscience.com%2Fwos%2Fwoscc%2Ffull-record%2FWOS:001070848601037","View Full Record in Web of Science")</f>
        <v>View Full Record in Web of Science</v>
      </c>
    </row>
    <row r="428" spans="1:72" x14ac:dyDescent="0.15">
      <c r="A428" t="s">
        <v>7844</v>
      </c>
      <c r="B428" t="s">
        <v>8240</v>
      </c>
      <c r="C428" t="s">
        <v>74</v>
      </c>
      <c r="D428" t="s">
        <v>8178</v>
      </c>
      <c r="E428" t="s">
        <v>74</v>
      </c>
      <c r="F428" t="s">
        <v>8241</v>
      </c>
      <c r="G428" t="s">
        <v>74</v>
      </c>
      <c r="H428" t="s">
        <v>8242</v>
      </c>
      <c r="I428" t="s">
        <v>8243</v>
      </c>
      <c r="J428" t="s">
        <v>7850</v>
      </c>
      <c r="K428" t="s">
        <v>74</v>
      </c>
      <c r="L428" t="s">
        <v>74</v>
      </c>
      <c r="M428" t="s">
        <v>78</v>
      </c>
      <c r="N428" t="s">
        <v>7851</v>
      </c>
      <c r="O428" t="s">
        <v>7852</v>
      </c>
      <c r="P428" t="s">
        <v>7853</v>
      </c>
      <c r="Q428" t="s">
        <v>7854</v>
      </c>
      <c r="R428" t="s">
        <v>74</v>
      </c>
      <c r="S428" t="s">
        <v>74</v>
      </c>
      <c r="T428" t="s">
        <v>74</v>
      </c>
      <c r="U428" t="s">
        <v>74</v>
      </c>
      <c r="V428" t="s">
        <v>8244</v>
      </c>
      <c r="W428" t="s">
        <v>8245</v>
      </c>
      <c r="X428" t="s">
        <v>74</v>
      </c>
      <c r="Y428" t="s">
        <v>8246</v>
      </c>
      <c r="Z428" t="s">
        <v>8247</v>
      </c>
      <c r="AA428" t="s">
        <v>74</v>
      </c>
      <c r="AB428" t="s">
        <v>74</v>
      </c>
      <c r="AC428" t="s">
        <v>8248</v>
      </c>
      <c r="AD428" t="s">
        <v>8249</v>
      </c>
      <c r="AE428" t="s">
        <v>8250</v>
      </c>
      <c r="AF428" t="s">
        <v>74</v>
      </c>
      <c r="AG428">
        <v>18</v>
      </c>
      <c r="AH428">
        <v>0</v>
      </c>
      <c r="AI428">
        <v>0</v>
      </c>
      <c r="AJ428">
        <v>0</v>
      </c>
      <c r="AK428">
        <v>0</v>
      </c>
      <c r="AL428" t="s">
        <v>7865</v>
      </c>
      <c r="AM428" t="s">
        <v>7866</v>
      </c>
      <c r="AN428" t="s">
        <v>7867</v>
      </c>
      <c r="AO428" t="s">
        <v>74</v>
      </c>
      <c r="AP428" t="s">
        <v>74</v>
      </c>
      <c r="AQ428" t="s">
        <v>74</v>
      </c>
      <c r="AR428" t="s">
        <v>74</v>
      </c>
      <c r="AS428" t="s">
        <v>74</v>
      </c>
      <c r="AT428" t="s">
        <v>74</v>
      </c>
      <c r="AU428">
        <v>2022</v>
      </c>
      <c r="AV428" t="s">
        <v>74</v>
      </c>
      <c r="AW428" t="s">
        <v>74</v>
      </c>
      <c r="AX428" t="s">
        <v>74</v>
      </c>
      <c r="AY428" t="s">
        <v>74</v>
      </c>
      <c r="AZ428" t="s">
        <v>74</v>
      </c>
      <c r="BA428" t="s">
        <v>74</v>
      </c>
      <c r="BB428" t="s">
        <v>74</v>
      </c>
      <c r="BC428" t="s">
        <v>74</v>
      </c>
      <c r="BD428">
        <v>79</v>
      </c>
      <c r="BE428" t="s">
        <v>74</v>
      </c>
      <c r="BF428" t="s">
        <v>74</v>
      </c>
      <c r="BG428" t="s">
        <v>74</v>
      </c>
      <c r="BH428" t="s">
        <v>74</v>
      </c>
      <c r="BI428">
        <v>9</v>
      </c>
      <c r="BJ428" t="s">
        <v>2004</v>
      </c>
      <c r="BK428" t="s">
        <v>7868</v>
      </c>
      <c r="BL428" t="s">
        <v>2005</v>
      </c>
      <c r="BM428" t="s">
        <v>8186</v>
      </c>
      <c r="BN428" t="s">
        <v>74</v>
      </c>
      <c r="BO428" t="s">
        <v>74</v>
      </c>
      <c r="BP428" t="s">
        <v>74</v>
      </c>
      <c r="BQ428" t="s">
        <v>74</v>
      </c>
      <c r="BR428" t="s">
        <v>106</v>
      </c>
      <c r="BS428" t="s">
        <v>8251</v>
      </c>
      <c r="BT428" t="str">
        <f>HYPERLINK("https%3A%2F%2Fwww.webofscience.com%2Fwos%2Fwoscc%2Ffull-record%2FWOS:001070848600067","View Full Record in Web of Science")</f>
        <v>View Full Record in Web of Science</v>
      </c>
    </row>
    <row r="429" spans="1:72" x14ac:dyDescent="0.15">
      <c r="A429" t="s">
        <v>7844</v>
      </c>
      <c r="B429" t="s">
        <v>8252</v>
      </c>
      <c r="C429" t="s">
        <v>74</v>
      </c>
      <c r="D429" t="s">
        <v>8178</v>
      </c>
      <c r="E429" t="s">
        <v>74</v>
      </c>
      <c r="F429" t="s">
        <v>8253</v>
      </c>
      <c r="G429" t="s">
        <v>74</v>
      </c>
      <c r="H429" t="s">
        <v>8242</v>
      </c>
      <c r="I429" t="s">
        <v>8254</v>
      </c>
      <c r="J429" t="s">
        <v>7850</v>
      </c>
      <c r="K429" t="s">
        <v>74</v>
      </c>
      <c r="L429" t="s">
        <v>74</v>
      </c>
      <c r="M429" t="s">
        <v>78</v>
      </c>
      <c r="N429" t="s">
        <v>7851</v>
      </c>
      <c r="O429" t="s">
        <v>7852</v>
      </c>
      <c r="P429" t="s">
        <v>7853</v>
      </c>
      <c r="Q429" t="s">
        <v>7854</v>
      </c>
      <c r="R429" t="s">
        <v>74</v>
      </c>
      <c r="S429" t="s">
        <v>74</v>
      </c>
      <c r="T429" t="s">
        <v>74</v>
      </c>
      <c r="U429" t="s">
        <v>8255</v>
      </c>
      <c r="V429" t="s">
        <v>8256</v>
      </c>
      <c r="W429" t="s">
        <v>8257</v>
      </c>
      <c r="X429" t="s">
        <v>8258</v>
      </c>
      <c r="Y429" t="s">
        <v>8259</v>
      </c>
      <c r="Z429" t="s">
        <v>8260</v>
      </c>
      <c r="AA429" t="s">
        <v>8261</v>
      </c>
      <c r="AB429" t="s">
        <v>8262</v>
      </c>
      <c r="AC429" t="s">
        <v>8263</v>
      </c>
      <c r="AD429" t="s">
        <v>8264</v>
      </c>
      <c r="AE429" t="s">
        <v>8265</v>
      </c>
      <c r="AF429" t="s">
        <v>74</v>
      </c>
      <c r="AG429">
        <v>30</v>
      </c>
      <c r="AH429">
        <v>0</v>
      </c>
      <c r="AI429">
        <v>0</v>
      </c>
      <c r="AJ429">
        <v>0</v>
      </c>
      <c r="AK429">
        <v>0</v>
      </c>
      <c r="AL429" t="s">
        <v>7865</v>
      </c>
      <c r="AM429" t="s">
        <v>7866</v>
      </c>
      <c r="AN429" t="s">
        <v>7867</v>
      </c>
      <c r="AO429" t="s">
        <v>74</v>
      </c>
      <c r="AP429" t="s">
        <v>74</v>
      </c>
      <c r="AQ429" t="s">
        <v>74</v>
      </c>
      <c r="AR429" t="s">
        <v>74</v>
      </c>
      <c r="AS429" t="s">
        <v>74</v>
      </c>
      <c r="AT429" t="s">
        <v>74</v>
      </c>
      <c r="AU429">
        <v>2022</v>
      </c>
      <c r="AV429" t="s">
        <v>74</v>
      </c>
      <c r="AW429" t="s">
        <v>74</v>
      </c>
      <c r="AX429" t="s">
        <v>74</v>
      </c>
      <c r="AY429" t="s">
        <v>74</v>
      </c>
      <c r="AZ429" t="s">
        <v>74</v>
      </c>
      <c r="BA429" t="s">
        <v>74</v>
      </c>
      <c r="BB429" t="s">
        <v>74</v>
      </c>
      <c r="BC429" t="s">
        <v>74</v>
      </c>
      <c r="BD429">
        <v>136</v>
      </c>
      <c r="BE429" t="s">
        <v>74</v>
      </c>
      <c r="BF429" t="s">
        <v>74</v>
      </c>
      <c r="BG429" t="s">
        <v>74</v>
      </c>
      <c r="BH429" t="s">
        <v>74</v>
      </c>
      <c r="BI429">
        <v>9</v>
      </c>
      <c r="BJ429" t="s">
        <v>2004</v>
      </c>
      <c r="BK429" t="s">
        <v>7868</v>
      </c>
      <c r="BL429" t="s">
        <v>2005</v>
      </c>
      <c r="BM429" t="s">
        <v>8186</v>
      </c>
      <c r="BN429" t="s">
        <v>74</v>
      </c>
      <c r="BO429" t="s">
        <v>74</v>
      </c>
      <c r="BP429" t="s">
        <v>74</v>
      </c>
      <c r="BQ429" t="s">
        <v>74</v>
      </c>
      <c r="BR429" t="s">
        <v>106</v>
      </c>
      <c r="BS429" t="s">
        <v>8266</v>
      </c>
      <c r="BT429" t="str">
        <f>HYPERLINK("https%3A%2F%2Fwww.webofscience.com%2Fwos%2Fwoscc%2Ffull-record%2FWOS:001070848601036","View Full Record in Web of Science")</f>
        <v>View Full Record in Web of Science</v>
      </c>
    </row>
    <row r="430" spans="1:72" x14ac:dyDescent="0.15">
      <c r="A430" t="s">
        <v>7844</v>
      </c>
      <c r="B430" t="s">
        <v>8267</v>
      </c>
      <c r="C430" t="s">
        <v>74</v>
      </c>
      <c r="D430" t="s">
        <v>8178</v>
      </c>
      <c r="E430" t="s">
        <v>74</v>
      </c>
      <c r="F430" t="s">
        <v>8268</v>
      </c>
      <c r="G430" t="s">
        <v>74</v>
      </c>
      <c r="H430" t="s">
        <v>74</v>
      </c>
      <c r="I430" t="s">
        <v>8269</v>
      </c>
      <c r="J430" t="s">
        <v>7850</v>
      </c>
      <c r="K430" t="s">
        <v>74</v>
      </c>
      <c r="L430" t="s">
        <v>74</v>
      </c>
      <c r="M430" t="s">
        <v>78</v>
      </c>
      <c r="N430" t="s">
        <v>7851</v>
      </c>
      <c r="O430" t="s">
        <v>7852</v>
      </c>
      <c r="P430" t="s">
        <v>7853</v>
      </c>
      <c r="Q430" t="s">
        <v>7854</v>
      </c>
      <c r="R430" t="s">
        <v>74</v>
      </c>
      <c r="S430" t="s">
        <v>74</v>
      </c>
      <c r="T430" t="s">
        <v>74</v>
      </c>
      <c r="U430" t="s">
        <v>74</v>
      </c>
      <c r="V430" t="s">
        <v>8270</v>
      </c>
      <c r="W430" t="s">
        <v>8271</v>
      </c>
      <c r="X430" t="s">
        <v>8272</v>
      </c>
      <c r="Y430" t="s">
        <v>8273</v>
      </c>
      <c r="Z430" t="s">
        <v>8274</v>
      </c>
      <c r="AA430" t="s">
        <v>74</v>
      </c>
      <c r="AB430" t="s">
        <v>74</v>
      </c>
      <c r="AC430" t="s">
        <v>8275</v>
      </c>
      <c r="AD430" t="s">
        <v>8276</v>
      </c>
      <c r="AE430" t="s">
        <v>8277</v>
      </c>
      <c r="AF430" t="s">
        <v>74</v>
      </c>
      <c r="AG430">
        <v>15</v>
      </c>
      <c r="AH430">
        <v>0</v>
      </c>
      <c r="AI430">
        <v>0</v>
      </c>
      <c r="AJ430">
        <v>1</v>
      </c>
      <c r="AK430">
        <v>1</v>
      </c>
      <c r="AL430" t="s">
        <v>7865</v>
      </c>
      <c r="AM430" t="s">
        <v>7866</v>
      </c>
      <c r="AN430" t="s">
        <v>7867</v>
      </c>
      <c r="AO430" t="s">
        <v>74</v>
      </c>
      <c r="AP430" t="s">
        <v>74</v>
      </c>
      <c r="AQ430" t="s">
        <v>74</v>
      </c>
      <c r="AR430" t="s">
        <v>74</v>
      </c>
      <c r="AS430" t="s">
        <v>74</v>
      </c>
      <c r="AT430" t="s">
        <v>74</v>
      </c>
      <c r="AU430">
        <v>2022</v>
      </c>
      <c r="AV430" t="s">
        <v>74</v>
      </c>
      <c r="AW430" t="s">
        <v>74</v>
      </c>
      <c r="AX430" t="s">
        <v>74</v>
      </c>
      <c r="AY430" t="s">
        <v>74</v>
      </c>
      <c r="AZ430" t="s">
        <v>74</v>
      </c>
      <c r="BA430" t="s">
        <v>74</v>
      </c>
      <c r="BB430" t="s">
        <v>74</v>
      </c>
      <c r="BC430" t="s">
        <v>74</v>
      </c>
      <c r="BD430">
        <v>123</v>
      </c>
      <c r="BE430" t="s">
        <v>74</v>
      </c>
      <c r="BF430" t="s">
        <v>74</v>
      </c>
      <c r="BG430" t="s">
        <v>74</v>
      </c>
      <c r="BH430" t="s">
        <v>74</v>
      </c>
      <c r="BI430">
        <v>8</v>
      </c>
      <c r="BJ430" t="s">
        <v>2004</v>
      </c>
      <c r="BK430" t="s">
        <v>7868</v>
      </c>
      <c r="BL430" t="s">
        <v>2005</v>
      </c>
      <c r="BM430" t="s">
        <v>8186</v>
      </c>
      <c r="BN430" t="s">
        <v>74</v>
      </c>
      <c r="BO430" t="s">
        <v>74</v>
      </c>
      <c r="BP430" t="s">
        <v>74</v>
      </c>
      <c r="BQ430" t="s">
        <v>74</v>
      </c>
      <c r="BR430" t="s">
        <v>106</v>
      </c>
      <c r="BS430" t="s">
        <v>8278</v>
      </c>
      <c r="BT430" t="str">
        <f>HYPERLINK("https%3A%2F%2Fwww.webofscience.com%2Fwos%2Fwoscc%2Ffull-record%2FWOS:001070848601026","View Full Record in Web of Science")</f>
        <v>View Full Record in Web of Science</v>
      </c>
    </row>
    <row r="431" spans="1:72" x14ac:dyDescent="0.15">
      <c r="A431" t="s">
        <v>7844</v>
      </c>
      <c r="B431" t="s">
        <v>8279</v>
      </c>
      <c r="C431" t="s">
        <v>74</v>
      </c>
      <c r="D431" t="s">
        <v>8178</v>
      </c>
      <c r="E431" t="s">
        <v>74</v>
      </c>
      <c r="F431" t="s">
        <v>8280</v>
      </c>
      <c r="G431" t="s">
        <v>74</v>
      </c>
      <c r="H431" t="s">
        <v>8281</v>
      </c>
      <c r="I431" t="s">
        <v>8282</v>
      </c>
      <c r="J431" t="s">
        <v>7850</v>
      </c>
      <c r="K431" t="s">
        <v>74</v>
      </c>
      <c r="L431" t="s">
        <v>74</v>
      </c>
      <c r="M431" t="s">
        <v>78</v>
      </c>
      <c r="N431" t="s">
        <v>7851</v>
      </c>
      <c r="O431" t="s">
        <v>7852</v>
      </c>
      <c r="P431" t="s">
        <v>7853</v>
      </c>
      <c r="Q431" t="s">
        <v>7854</v>
      </c>
      <c r="R431" t="s">
        <v>74</v>
      </c>
      <c r="S431" t="s">
        <v>74</v>
      </c>
      <c r="T431" t="s">
        <v>74</v>
      </c>
      <c r="U431" t="s">
        <v>74</v>
      </c>
      <c r="V431" t="s">
        <v>8283</v>
      </c>
      <c r="W431" t="s">
        <v>8284</v>
      </c>
      <c r="X431" t="s">
        <v>8285</v>
      </c>
      <c r="Y431" t="s">
        <v>8286</v>
      </c>
      <c r="Z431" t="s">
        <v>8287</v>
      </c>
      <c r="AA431" t="s">
        <v>8288</v>
      </c>
      <c r="AB431" t="s">
        <v>8289</v>
      </c>
      <c r="AC431" t="s">
        <v>8290</v>
      </c>
      <c r="AD431" t="s">
        <v>8291</v>
      </c>
      <c r="AE431" t="s">
        <v>8292</v>
      </c>
      <c r="AF431" t="s">
        <v>74</v>
      </c>
      <c r="AG431">
        <v>9</v>
      </c>
      <c r="AH431">
        <v>0</v>
      </c>
      <c r="AI431">
        <v>0</v>
      </c>
      <c r="AJ431">
        <v>0</v>
      </c>
      <c r="AK431">
        <v>0</v>
      </c>
      <c r="AL431" t="s">
        <v>7865</v>
      </c>
      <c r="AM431" t="s">
        <v>7866</v>
      </c>
      <c r="AN431" t="s">
        <v>7867</v>
      </c>
      <c r="AO431" t="s">
        <v>74</v>
      </c>
      <c r="AP431" t="s">
        <v>74</v>
      </c>
      <c r="AQ431" t="s">
        <v>74</v>
      </c>
      <c r="AR431" t="s">
        <v>74</v>
      </c>
      <c r="AS431" t="s">
        <v>74</v>
      </c>
      <c r="AT431" t="s">
        <v>74</v>
      </c>
      <c r="AU431">
        <v>2022</v>
      </c>
      <c r="AV431" t="s">
        <v>74</v>
      </c>
      <c r="AW431" t="s">
        <v>74</v>
      </c>
      <c r="AX431" t="s">
        <v>74</v>
      </c>
      <c r="AY431" t="s">
        <v>74</v>
      </c>
      <c r="AZ431" t="s">
        <v>74</v>
      </c>
      <c r="BA431" t="s">
        <v>74</v>
      </c>
      <c r="BB431" t="s">
        <v>74</v>
      </c>
      <c r="BC431" t="s">
        <v>74</v>
      </c>
      <c r="BD431">
        <v>304</v>
      </c>
      <c r="BE431" t="s">
        <v>74</v>
      </c>
      <c r="BF431" t="s">
        <v>74</v>
      </c>
      <c r="BG431" t="s">
        <v>74</v>
      </c>
      <c r="BH431" t="s">
        <v>74</v>
      </c>
      <c r="BI431">
        <v>9</v>
      </c>
      <c r="BJ431" t="s">
        <v>2004</v>
      </c>
      <c r="BK431" t="s">
        <v>7868</v>
      </c>
      <c r="BL431" t="s">
        <v>2005</v>
      </c>
      <c r="BM431" t="s">
        <v>8186</v>
      </c>
      <c r="BN431" t="s">
        <v>74</v>
      </c>
      <c r="BO431" t="s">
        <v>74</v>
      </c>
      <c r="BP431" t="s">
        <v>74</v>
      </c>
      <c r="BQ431" t="s">
        <v>74</v>
      </c>
      <c r="BR431" t="s">
        <v>106</v>
      </c>
      <c r="BS431" t="s">
        <v>8293</v>
      </c>
      <c r="BT431" t="str">
        <f>HYPERLINK("https%3A%2F%2Fwww.webofscience.com%2Fwos%2Fwoscc%2Ffull-record%2FWOS:001070848602065","View Full Record in Web of Science")</f>
        <v>View Full Record in Web of Science</v>
      </c>
    </row>
    <row r="432" spans="1:72" x14ac:dyDescent="0.15">
      <c r="A432" t="s">
        <v>7844</v>
      </c>
      <c r="B432" t="s">
        <v>8294</v>
      </c>
      <c r="C432" t="s">
        <v>74</v>
      </c>
      <c r="D432" t="s">
        <v>8178</v>
      </c>
      <c r="E432" t="s">
        <v>74</v>
      </c>
      <c r="F432" t="s">
        <v>8295</v>
      </c>
      <c r="G432" t="s">
        <v>74</v>
      </c>
      <c r="H432" t="s">
        <v>8296</v>
      </c>
      <c r="I432" t="s">
        <v>8297</v>
      </c>
      <c r="J432" t="s">
        <v>7850</v>
      </c>
      <c r="K432" t="s">
        <v>74</v>
      </c>
      <c r="L432" t="s">
        <v>74</v>
      </c>
      <c r="M432" t="s">
        <v>78</v>
      </c>
      <c r="N432" t="s">
        <v>7851</v>
      </c>
      <c r="O432" t="s">
        <v>7852</v>
      </c>
      <c r="P432" t="s">
        <v>7853</v>
      </c>
      <c r="Q432" t="s">
        <v>7854</v>
      </c>
      <c r="R432" t="s">
        <v>74</v>
      </c>
      <c r="S432" t="s">
        <v>74</v>
      </c>
      <c r="T432" t="s">
        <v>74</v>
      </c>
      <c r="U432" t="s">
        <v>8298</v>
      </c>
      <c r="V432" t="s">
        <v>8299</v>
      </c>
      <c r="W432" t="s">
        <v>8300</v>
      </c>
      <c r="X432" t="s">
        <v>8301</v>
      </c>
      <c r="Y432" t="s">
        <v>8302</v>
      </c>
      <c r="Z432" t="s">
        <v>8303</v>
      </c>
      <c r="AA432" t="s">
        <v>74</v>
      </c>
      <c r="AB432" t="s">
        <v>74</v>
      </c>
      <c r="AC432" t="s">
        <v>8304</v>
      </c>
      <c r="AD432" t="s">
        <v>8305</v>
      </c>
      <c r="AE432" t="s">
        <v>8306</v>
      </c>
      <c r="AF432" t="s">
        <v>74</v>
      </c>
      <c r="AG432">
        <v>26</v>
      </c>
      <c r="AH432">
        <v>0</v>
      </c>
      <c r="AI432">
        <v>0</v>
      </c>
      <c r="AJ432">
        <v>0</v>
      </c>
      <c r="AK432">
        <v>0</v>
      </c>
      <c r="AL432" t="s">
        <v>7865</v>
      </c>
      <c r="AM432" t="s">
        <v>7866</v>
      </c>
      <c r="AN432" t="s">
        <v>7867</v>
      </c>
      <c r="AO432" t="s">
        <v>74</v>
      </c>
      <c r="AP432" t="s">
        <v>74</v>
      </c>
      <c r="AQ432" t="s">
        <v>74</v>
      </c>
      <c r="AR432" t="s">
        <v>74</v>
      </c>
      <c r="AS432" t="s">
        <v>74</v>
      </c>
      <c r="AT432" t="s">
        <v>74</v>
      </c>
      <c r="AU432">
        <v>2022</v>
      </c>
      <c r="AV432" t="s">
        <v>74</v>
      </c>
      <c r="AW432" t="s">
        <v>74</v>
      </c>
      <c r="AX432" t="s">
        <v>74</v>
      </c>
      <c r="AY432" t="s">
        <v>74</v>
      </c>
      <c r="AZ432" t="s">
        <v>74</v>
      </c>
      <c r="BA432" t="s">
        <v>74</v>
      </c>
      <c r="BB432" t="s">
        <v>74</v>
      </c>
      <c r="BC432" t="s">
        <v>74</v>
      </c>
      <c r="BD432">
        <v>416</v>
      </c>
      <c r="BE432" t="s">
        <v>74</v>
      </c>
      <c r="BF432" t="s">
        <v>74</v>
      </c>
      <c r="BG432" t="s">
        <v>74</v>
      </c>
      <c r="BH432" t="s">
        <v>74</v>
      </c>
      <c r="BI432">
        <v>9</v>
      </c>
      <c r="BJ432" t="s">
        <v>2004</v>
      </c>
      <c r="BK432" t="s">
        <v>7868</v>
      </c>
      <c r="BL432" t="s">
        <v>2005</v>
      </c>
      <c r="BM432" t="s">
        <v>8186</v>
      </c>
      <c r="BN432" t="s">
        <v>74</v>
      </c>
      <c r="BO432" t="s">
        <v>74</v>
      </c>
      <c r="BP432" t="s">
        <v>74</v>
      </c>
      <c r="BQ432" t="s">
        <v>74</v>
      </c>
      <c r="BR432" t="s">
        <v>106</v>
      </c>
      <c r="BS432" t="s">
        <v>8307</v>
      </c>
      <c r="BT432" t="str">
        <f>HYPERLINK("https%3A%2F%2Fwww.webofscience.com%2Fwos%2Fwoscc%2Ffull-record%2FWOS:001070848603067","View Full Record in Web of Science")</f>
        <v>View Full Record in Web of Science</v>
      </c>
    </row>
    <row r="433" spans="1:72" x14ac:dyDescent="0.15">
      <c r="A433" t="s">
        <v>7844</v>
      </c>
      <c r="B433" t="s">
        <v>8308</v>
      </c>
      <c r="C433" t="s">
        <v>74</v>
      </c>
      <c r="D433" t="s">
        <v>8178</v>
      </c>
      <c r="E433" t="s">
        <v>74</v>
      </c>
      <c r="F433" t="s">
        <v>8309</v>
      </c>
      <c r="G433" t="s">
        <v>74</v>
      </c>
      <c r="H433" t="s">
        <v>8242</v>
      </c>
      <c r="I433" t="s">
        <v>8310</v>
      </c>
      <c r="J433" t="s">
        <v>7850</v>
      </c>
      <c r="K433" t="s">
        <v>74</v>
      </c>
      <c r="L433" t="s">
        <v>74</v>
      </c>
      <c r="M433" t="s">
        <v>78</v>
      </c>
      <c r="N433" t="s">
        <v>7851</v>
      </c>
      <c r="O433" t="s">
        <v>7852</v>
      </c>
      <c r="P433" t="s">
        <v>7853</v>
      </c>
      <c r="Q433" t="s">
        <v>7854</v>
      </c>
      <c r="R433" t="s">
        <v>74</v>
      </c>
      <c r="S433" t="s">
        <v>74</v>
      </c>
      <c r="T433" t="s">
        <v>74</v>
      </c>
      <c r="U433" t="s">
        <v>74</v>
      </c>
      <c r="V433" t="s">
        <v>8311</v>
      </c>
      <c r="W433" t="s">
        <v>8312</v>
      </c>
      <c r="X433" t="s">
        <v>8313</v>
      </c>
      <c r="Y433" t="s">
        <v>8314</v>
      </c>
      <c r="Z433" t="s">
        <v>74</v>
      </c>
      <c r="AA433" t="s">
        <v>8261</v>
      </c>
      <c r="AB433" t="s">
        <v>8262</v>
      </c>
      <c r="AC433" t="s">
        <v>8315</v>
      </c>
      <c r="AD433" t="s">
        <v>8316</v>
      </c>
      <c r="AE433" t="s">
        <v>8317</v>
      </c>
      <c r="AF433" t="s">
        <v>74</v>
      </c>
      <c r="AG433">
        <v>22</v>
      </c>
      <c r="AH433">
        <v>0</v>
      </c>
      <c r="AI433">
        <v>0</v>
      </c>
      <c r="AJ433">
        <v>0</v>
      </c>
      <c r="AK433">
        <v>0</v>
      </c>
      <c r="AL433" t="s">
        <v>7865</v>
      </c>
      <c r="AM433" t="s">
        <v>7866</v>
      </c>
      <c r="AN433" t="s">
        <v>7867</v>
      </c>
      <c r="AO433" t="s">
        <v>74</v>
      </c>
      <c r="AP433" t="s">
        <v>74</v>
      </c>
      <c r="AQ433" t="s">
        <v>74</v>
      </c>
      <c r="AR433" t="s">
        <v>74</v>
      </c>
      <c r="AS433" t="s">
        <v>74</v>
      </c>
      <c r="AT433" t="s">
        <v>74</v>
      </c>
      <c r="AU433">
        <v>2022</v>
      </c>
      <c r="AV433" t="s">
        <v>74</v>
      </c>
      <c r="AW433" t="s">
        <v>74</v>
      </c>
      <c r="AX433" t="s">
        <v>74</v>
      </c>
      <c r="AY433" t="s">
        <v>74</v>
      </c>
      <c r="AZ433" t="s">
        <v>74</v>
      </c>
      <c r="BA433" t="s">
        <v>74</v>
      </c>
      <c r="BB433" t="s">
        <v>74</v>
      </c>
      <c r="BC433" t="s">
        <v>74</v>
      </c>
      <c r="BD433">
        <v>499</v>
      </c>
      <c r="BE433" t="s">
        <v>74</v>
      </c>
      <c r="BF433" t="s">
        <v>74</v>
      </c>
      <c r="BG433" t="s">
        <v>74</v>
      </c>
      <c r="BH433" t="s">
        <v>74</v>
      </c>
      <c r="BI433">
        <v>9</v>
      </c>
      <c r="BJ433" t="s">
        <v>2004</v>
      </c>
      <c r="BK433" t="s">
        <v>7868</v>
      </c>
      <c r="BL433" t="s">
        <v>2005</v>
      </c>
      <c r="BM433" t="s">
        <v>8186</v>
      </c>
      <c r="BN433" t="s">
        <v>74</v>
      </c>
      <c r="BO433" t="s">
        <v>74</v>
      </c>
      <c r="BP433" t="s">
        <v>74</v>
      </c>
      <c r="BQ433" t="s">
        <v>74</v>
      </c>
      <c r="BR433" t="s">
        <v>106</v>
      </c>
      <c r="BS433" t="s">
        <v>8318</v>
      </c>
      <c r="BT433" t="str">
        <f>HYPERLINK("https%3A%2F%2Fwww.webofscience.com%2Fwos%2Fwoscc%2Ffull-record%2FWOS:001070848604025","View Full Record in Web of Science")</f>
        <v>View Full Record in Web of Science</v>
      </c>
    </row>
    <row r="434" spans="1:72" x14ac:dyDescent="0.15">
      <c r="A434" t="s">
        <v>7844</v>
      </c>
      <c r="B434" t="s">
        <v>8319</v>
      </c>
      <c r="C434" t="s">
        <v>74</v>
      </c>
      <c r="D434" t="s">
        <v>8178</v>
      </c>
      <c r="E434" t="s">
        <v>74</v>
      </c>
      <c r="F434" t="s">
        <v>8320</v>
      </c>
      <c r="G434" t="s">
        <v>74</v>
      </c>
      <c r="H434" t="s">
        <v>8321</v>
      </c>
      <c r="I434" t="s">
        <v>8322</v>
      </c>
      <c r="J434" t="s">
        <v>7850</v>
      </c>
      <c r="K434" t="s">
        <v>74</v>
      </c>
      <c r="L434" t="s">
        <v>74</v>
      </c>
      <c r="M434" t="s">
        <v>78</v>
      </c>
      <c r="N434" t="s">
        <v>7851</v>
      </c>
      <c r="O434" t="s">
        <v>7852</v>
      </c>
      <c r="P434" t="s">
        <v>7853</v>
      </c>
      <c r="Q434" t="s">
        <v>7854</v>
      </c>
      <c r="R434" t="s">
        <v>74</v>
      </c>
      <c r="S434" t="s">
        <v>74</v>
      </c>
      <c r="T434" t="s">
        <v>74</v>
      </c>
      <c r="U434" t="s">
        <v>74</v>
      </c>
      <c r="V434" t="s">
        <v>8323</v>
      </c>
      <c r="W434" t="s">
        <v>8324</v>
      </c>
      <c r="X434" t="s">
        <v>8325</v>
      </c>
      <c r="Y434" t="s">
        <v>8326</v>
      </c>
      <c r="Z434" t="s">
        <v>8327</v>
      </c>
      <c r="AA434" t="s">
        <v>74</v>
      </c>
      <c r="AB434" t="s">
        <v>74</v>
      </c>
      <c r="AC434" t="s">
        <v>8328</v>
      </c>
      <c r="AD434" t="s">
        <v>8329</v>
      </c>
      <c r="AE434" t="s">
        <v>8330</v>
      </c>
      <c r="AF434" t="s">
        <v>74</v>
      </c>
      <c r="AG434">
        <v>8</v>
      </c>
      <c r="AH434">
        <v>0</v>
      </c>
      <c r="AI434">
        <v>0</v>
      </c>
      <c r="AJ434">
        <v>0</v>
      </c>
      <c r="AK434">
        <v>0</v>
      </c>
      <c r="AL434" t="s">
        <v>7865</v>
      </c>
      <c r="AM434" t="s">
        <v>7866</v>
      </c>
      <c r="AN434" t="s">
        <v>7867</v>
      </c>
      <c r="AO434" t="s">
        <v>74</v>
      </c>
      <c r="AP434" t="s">
        <v>74</v>
      </c>
      <c r="AQ434" t="s">
        <v>74</v>
      </c>
      <c r="AR434" t="s">
        <v>74</v>
      </c>
      <c r="AS434" t="s">
        <v>74</v>
      </c>
      <c r="AT434" t="s">
        <v>74</v>
      </c>
      <c r="AU434">
        <v>2022</v>
      </c>
      <c r="AV434" t="s">
        <v>74</v>
      </c>
      <c r="AW434" t="s">
        <v>74</v>
      </c>
      <c r="AX434" t="s">
        <v>74</v>
      </c>
      <c r="AY434" t="s">
        <v>74</v>
      </c>
      <c r="AZ434" t="s">
        <v>74</v>
      </c>
      <c r="BA434" t="s">
        <v>74</v>
      </c>
      <c r="BB434" t="s">
        <v>74</v>
      </c>
      <c r="BC434" t="s">
        <v>74</v>
      </c>
      <c r="BD434">
        <v>588</v>
      </c>
      <c r="BE434" t="s">
        <v>74</v>
      </c>
      <c r="BF434" t="s">
        <v>74</v>
      </c>
      <c r="BG434" t="s">
        <v>74</v>
      </c>
      <c r="BH434" t="s">
        <v>74</v>
      </c>
      <c r="BI434">
        <v>9</v>
      </c>
      <c r="BJ434" t="s">
        <v>2004</v>
      </c>
      <c r="BK434" t="s">
        <v>7868</v>
      </c>
      <c r="BL434" t="s">
        <v>2005</v>
      </c>
      <c r="BM434" t="s">
        <v>8186</v>
      </c>
      <c r="BN434" t="s">
        <v>74</v>
      </c>
      <c r="BO434" t="s">
        <v>74</v>
      </c>
      <c r="BP434" t="s">
        <v>74</v>
      </c>
      <c r="BQ434" t="s">
        <v>74</v>
      </c>
      <c r="BR434" t="s">
        <v>106</v>
      </c>
      <c r="BS434" t="s">
        <v>8331</v>
      </c>
      <c r="BT434" t="str">
        <f>HYPERLINK("https%3A%2F%2Fwww.webofscience.com%2Fwos%2Fwoscc%2Ffull-record%2FWOS:001070848604103","View Full Record in Web of Science")</f>
        <v>View Full Record in Web of Science</v>
      </c>
    </row>
    <row r="435" spans="1:72" x14ac:dyDescent="0.15">
      <c r="A435" t="s">
        <v>7844</v>
      </c>
      <c r="B435" t="s">
        <v>8332</v>
      </c>
      <c r="C435" t="s">
        <v>74</v>
      </c>
      <c r="D435" t="s">
        <v>8178</v>
      </c>
      <c r="E435" t="s">
        <v>74</v>
      </c>
      <c r="F435" t="s">
        <v>8333</v>
      </c>
      <c r="G435" t="s">
        <v>74</v>
      </c>
      <c r="H435" t="s">
        <v>8334</v>
      </c>
      <c r="I435" t="s">
        <v>8335</v>
      </c>
      <c r="J435" t="s">
        <v>7850</v>
      </c>
      <c r="K435" t="s">
        <v>74</v>
      </c>
      <c r="L435" t="s">
        <v>74</v>
      </c>
      <c r="M435" t="s">
        <v>78</v>
      </c>
      <c r="N435" t="s">
        <v>7851</v>
      </c>
      <c r="O435" t="s">
        <v>7852</v>
      </c>
      <c r="P435" t="s">
        <v>7853</v>
      </c>
      <c r="Q435" t="s">
        <v>7854</v>
      </c>
      <c r="R435" t="s">
        <v>74</v>
      </c>
      <c r="S435" t="s">
        <v>74</v>
      </c>
      <c r="T435" t="s">
        <v>74</v>
      </c>
      <c r="U435" t="s">
        <v>8336</v>
      </c>
      <c r="V435" t="s">
        <v>8337</v>
      </c>
      <c r="W435" t="s">
        <v>8338</v>
      </c>
      <c r="X435" t="s">
        <v>8339</v>
      </c>
      <c r="Y435" t="s">
        <v>8340</v>
      </c>
      <c r="Z435" t="s">
        <v>8341</v>
      </c>
      <c r="AA435" t="s">
        <v>74</v>
      </c>
      <c r="AB435" t="s">
        <v>74</v>
      </c>
      <c r="AC435" t="s">
        <v>74</v>
      </c>
      <c r="AD435" t="s">
        <v>74</v>
      </c>
      <c r="AE435" t="s">
        <v>74</v>
      </c>
      <c r="AF435" t="s">
        <v>74</v>
      </c>
      <c r="AG435">
        <v>13</v>
      </c>
      <c r="AH435">
        <v>0</v>
      </c>
      <c r="AI435">
        <v>0</v>
      </c>
      <c r="AJ435">
        <v>0</v>
      </c>
      <c r="AK435">
        <v>0</v>
      </c>
      <c r="AL435" t="s">
        <v>7865</v>
      </c>
      <c r="AM435" t="s">
        <v>7866</v>
      </c>
      <c r="AN435" t="s">
        <v>7867</v>
      </c>
      <c r="AO435" t="s">
        <v>74</v>
      </c>
      <c r="AP435" t="s">
        <v>74</v>
      </c>
      <c r="AQ435" t="s">
        <v>74</v>
      </c>
      <c r="AR435" t="s">
        <v>74</v>
      </c>
      <c r="AS435" t="s">
        <v>74</v>
      </c>
      <c r="AT435" t="s">
        <v>74</v>
      </c>
      <c r="AU435">
        <v>2022</v>
      </c>
      <c r="AV435" t="s">
        <v>74</v>
      </c>
      <c r="AW435" t="s">
        <v>74</v>
      </c>
      <c r="AX435" t="s">
        <v>74</v>
      </c>
      <c r="AY435" t="s">
        <v>74</v>
      </c>
      <c r="AZ435" t="s">
        <v>74</v>
      </c>
      <c r="BA435" t="s">
        <v>74</v>
      </c>
      <c r="BB435" t="s">
        <v>74</v>
      </c>
      <c r="BC435" t="s">
        <v>74</v>
      </c>
      <c r="BD435">
        <v>118</v>
      </c>
      <c r="BE435" t="s">
        <v>74</v>
      </c>
      <c r="BF435" t="s">
        <v>74</v>
      </c>
      <c r="BG435" t="s">
        <v>74</v>
      </c>
      <c r="BH435" t="s">
        <v>74</v>
      </c>
      <c r="BI435">
        <v>9</v>
      </c>
      <c r="BJ435" t="s">
        <v>2004</v>
      </c>
      <c r="BK435" t="s">
        <v>7868</v>
      </c>
      <c r="BL435" t="s">
        <v>2005</v>
      </c>
      <c r="BM435" t="s">
        <v>8186</v>
      </c>
      <c r="BN435" t="s">
        <v>74</v>
      </c>
      <c r="BO435" t="s">
        <v>74</v>
      </c>
      <c r="BP435" t="s">
        <v>74</v>
      </c>
      <c r="BQ435" t="s">
        <v>74</v>
      </c>
      <c r="BR435" t="s">
        <v>106</v>
      </c>
      <c r="BS435" t="s">
        <v>8342</v>
      </c>
      <c r="BT435" t="str">
        <f>HYPERLINK("https%3A%2F%2Fwww.webofscience.com%2Fwos%2Fwoscc%2Ffull-record%2FWOS:001070848601023","View Full Record in Web of Science")</f>
        <v>View Full Record in Web of Science</v>
      </c>
    </row>
    <row r="436" spans="1:72" x14ac:dyDescent="0.15">
      <c r="A436" t="s">
        <v>7844</v>
      </c>
      <c r="B436" t="s">
        <v>8343</v>
      </c>
      <c r="C436" t="s">
        <v>74</v>
      </c>
      <c r="D436" t="s">
        <v>8178</v>
      </c>
      <c r="E436" t="s">
        <v>74</v>
      </c>
      <c r="F436" t="s">
        <v>8344</v>
      </c>
      <c r="G436" t="s">
        <v>74</v>
      </c>
      <c r="H436" t="s">
        <v>8242</v>
      </c>
      <c r="I436" t="s">
        <v>8345</v>
      </c>
      <c r="J436" t="s">
        <v>7850</v>
      </c>
      <c r="K436" t="s">
        <v>74</v>
      </c>
      <c r="L436" t="s">
        <v>74</v>
      </c>
      <c r="M436" t="s">
        <v>78</v>
      </c>
      <c r="N436" t="s">
        <v>7851</v>
      </c>
      <c r="O436" t="s">
        <v>7852</v>
      </c>
      <c r="P436" t="s">
        <v>7853</v>
      </c>
      <c r="Q436" t="s">
        <v>7854</v>
      </c>
      <c r="R436" t="s">
        <v>74</v>
      </c>
      <c r="S436" t="s">
        <v>74</v>
      </c>
      <c r="T436" t="s">
        <v>74</v>
      </c>
      <c r="U436" t="s">
        <v>74</v>
      </c>
      <c r="V436" t="s">
        <v>8346</v>
      </c>
      <c r="W436" t="s">
        <v>8347</v>
      </c>
      <c r="X436" t="s">
        <v>8258</v>
      </c>
      <c r="Y436" t="s">
        <v>8348</v>
      </c>
      <c r="Z436" t="s">
        <v>8349</v>
      </c>
      <c r="AA436" t="s">
        <v>74</v>
      </c>
      <c r="AB436" t="s">
        <v>74</v>
      </c>
      <c r="AC436" t="s">
        <v>8350</v>
      </c>
      <c r="AD436" t="s">
        <v>8351</v>
      </c>
      <c r="AE436" t="s">
        <v>8352</v>
      </c>
      <c r="AF436" t="s">
        <v>74</v>
      </c>
      <c r="AG436">
        <v>29</v>
      </c>
      <c r="AH436">
        <v>0</v>
      </c>
      <c r="AI436">
        <v>0</v>
      </c>
      <c r="AJ436">
        <v>0</v>
      </c>
      <c r="AK436">
        <v>0</v>
      </c>
      <c r="AL436" t="s">
        <v>7865</v>
      </c>
      <c r="AM436" t="s">
        <v>7866</v>
      </c>
      <c r="AN436" t="s">
        <v>7867</v>
      </c>
      <c r="AO436" t="s">
        <v>74</v>
      </c>
      <c r="AP436" t="s">
        <v>74</v>
      </c>
      <c r="AQ436" t="s">
        <v>74</v>
      </c>
      <c r="AR436" t="s">
        <v>74</v>
      </c>
      <c r="AS436" t="s">
        <v>74</v>
      </c>
      <c r="AT436" t="s">
        <v>74</v>
      </c>
      <c r="AU436">
        <v>2022</v>
      </c>
      <c r="AV436" t="s">
        <v>74</v>
      </c>
      <c r="AW436" t="s">
        <v>74</v>
      </c>
      <c r="AX436" t="s">
        <v>74</v>
      </c>
      <c r="AY436" t="s">
        <v>74</v>
      </c>
      <c r="AZ436" t="s">
        <v>74</v>
      </c>
      <c r="BA436" t="s">
        <v>74</v>
      </c>
      <c r="BB436" t="s">
        <v>74</v>
      </c>
      <c r="BC436" t="s">
        <v>74</v>
      </c>
      <c r="BD436">
        <v>494</v>
      </c>
      <c r="BE436" t="s">
        <v>74</v>
      </c>
      <c r="BF436" t="s">
        <v>74</v>
      </c>
      <c r="BG436" t="s">
        <v>74</v>
      </c>
      <c r="BH436" t="s">
        <v>74</v>
      </c>
      <c r="BI436">
        <v>9</v>
      </c>
      <c r="BJ436" t="s">
        <v>2004</v>
      </c>
      <c r="BK436" t="s">
        <v>7868</v>
      </c>
      <c r="BL436" t="s">
        <v>2005</v>
      </c>
      <c r="BM436" t="s">
        <v>8186</v>
      </c>
      <c r="BN436" t="s">
        <v>74</v>
      </c>
      <c r="BO436" t="s">
        <v>74</v>
      </c>
      <c r="BP436" t="s">
        <v>74</v>
      </c>
      <c r="BQ436" t="s">
        <v>74</v>
      </c>
      <c r="BR436" t="s">
        <v>106</v>
      </c>
      <c r="BS436" t="s">
        <v>8353</v>
      </c>
      <c r="BT436" t="str">
        <f>HYPERLINK("https%3A%2F%2Fwww.webofscience.com%2Fwos%2Fwoscc%2Ffull-record%2FWOS:001070848604021","View Full Record in Web of Science")</f>
        <v>View Full Record in Web of Science</v>
      </c>
    </row>
    <row r="437" spans="1:72" x14ac:dyDescent="0.15">
      <c r="A437" t="s">
        <v>72</v>
      </c>
      <c r="B437" t="s">
        <v>8354</v>
      </c>
      <c r="C437" t="s">
        <v>74</v>
      </c>
      <c r="D437" t="s">
        <v>74</v>
      </c>
      <c r="E437" t="s">
        <v>74</v>
      </c>
      <c r="F437" t="s">
        <v>8355</v>
      </c>
      <c r="G437" t="s">
        <v>74</v>
      </c>
      <c r="H437" t="s">
        <v>74</v>
      </c>
      <c r="I437" t="s">
        <v>8356</v>
      </c>
      <c r="J437" t="s">
        <v>8357</v>
      </c>
      <c r="K437" t="s">
        <v>74</v>
      </c>
      <c r="L437" t="s">
        <v>74</v>
      </c>
      <c r="M437" t="s">
        <v>78</v>
      </c>
      <c r="N437" t="s">
        <v>79</v>
      </c>
      <c r="O437" t="s">
        <v>74</v>
      </c>
      <c r="P437" t="s">
        <v>74</v>
      </c>
      <c r="Q437" t="s">
        <v>74</v>
      </c>
      <c r="R437" t="s">
        <v>74</v>
      </c>
      <c r="S437" t="s">
        <v>74</v>
      </c>
      <c r="T437" t="s">
        <v>8358</v>
      </c>
      <c r="U437" t="s">
        <v>8359</v>
      </c>
      <c r="V437" t="s">
        <v>8360</v>
      </c>
      <c r="W437" t="s">
        <v>8361</v>
      </c>
      <c r="X437" t="s">
        <v>8362</v>
      </c>
      <c r="Y437" t="s">
        <v>8363</v>
      </c>
      <c r="Z437" t="s">
        <v>8364</v>
      </c>
      <c r="AA437" t="s">
        <v>8365</v>
      </c>
      <c r="AB437" t="s">
        <v>4564</v>
      </c>
      <c r="AC437" t="s">
        <v>8366</v>
      </c>
      <c r="AD437" t="s">
        <v>8367</v>
      </c>
      <c r="AE437" t="s">
        <v>8368</v>
      </c>
      <c r="AF437" t="s">
        <v>74</v>
      </c>
      <c r="AG437">
        <v>50</v>
      </c>
      <c r="AH437">
        <v>8</v>
      </c>
      <c r="AI437">
        <v>8</v>
      </c>
      <c r="AJ437">
        <v>3</v>
      </c>
      <c r="AK437">
        <v>8</v>
      </c>
      <c r="AL437" t="s">
        <v>8369</v>
      </c>
      <c r="AM437" t="s">
        <v>8370</v>
      </c>
      <c r="AN437" t="s">
        <v>8371</v>
      </c>
      <c r="AO437" t="s">
        <v>8372</v>
      </c>
      <c r="AP437" t="s">
        <v>8373</v>
      </c>
      <c r="AQ437" t="s">
        <v>74</v>
      </c>
      <c r="AR437" t="s">
        <v>8374</v>
      </c>
      <c r="AS437" t="s">
        <v>8375</v>
      </c>
      <c r="AT437" t="s">
        <v>74</v>
      </c>
      <c r="AU437">
        <v>2022</v>
      </c>
      <c r="AV437">
        <v>14</v>
      </c>
      <c r="AW437" t="s">
        <v>74</v>
      </c>
      <c r="AX437" t="s">
        <v>74</v>
      </c>
      <c r="AY437" t="s">
        <v>74</v>
      </c>
      <c r="AZ437" t="s">
        <v>74</v>
      </c>
      <c r="BA437" t="s">
        <v>74</v>
      </c>
      <c r="BB437" t="s">
        <v>74</v>
      </c>
      <c r="BC437" t="s">
        <v>74</v>
      </c>
      <c r="BD437">
        <v>100448</v>
      </c>
      <c r="BE437" t="s">
        <v>8376</v>
      </c>
      <c r="BF437" t="str">
        <f>HYPERLINK("http://dx.doi.org/10.1016/j.ijnaoe.2022.100448","http://dx.doi.org/10.1016/j.ijnaoe.2022.100448")</f>
        <v>http://dx.doi.org/10.1016/j.ijnaoe.2022.100448</v>
      </c>
      <c r="BG437" t="s">
        <v>74</v>
      </c>
      <c r="BH437" t="s">
        <v>74</v>
      </c>
      <c r="BI437">
        <v>15</v>
      </c>
      <c r="BJ437" t="s">
        <v>8377</v>
      </c>
      <c r="BK437" t="s">
        <v>103</v>
      </c>
      <c r="BL437" t="s">
        <v>4397</v>
      </c>
      <c r="BM437" t="s">
        <v>8378</v>
      </c>
      <c r="BN437" t="s">
        <v>74</v>
      </c>
      <c r="BO437" t="s">
        <v>445</v>
      </c>
      <c r="BP437" t="s">
        <v>74</v>
      </c>
      <c r="BQ437" t="s">
        <v>74</v>
      </c>
      <c r="BR437" t="s">
        <v>106</v>
      </c>
      <c r="BS437" t="s">
        <v>8379</v>
      </c>
      <c r="BT437" t="str">
        <f>HYPERLINK("https%3A%2F%2Fwww.webofscience.com%2Fwos%2Fwoscc%2Ffull-record%2FWOS:000829111200007","View Full Record in Web of Science")</f>
        <v>View Full Record in Web of Science</v>
      </c>
    </row>
    <row r="438" spans="1:72" x14ac:dyDescent="0.15">
      <c r="A438" t="s">
        <v>7844</v>
      </c>
      <c r="B438" t="s">
        <v>8380</v>
      </c>
      <c r="C438" t="s">
        <v>74</v>
      </c>
      <c r="D438" t="s">
        <v>8381</v>
      </c>
      <c r="E438" t="s">
        <v>74</v>
      </c>
      <c r="F438" t="s">
        <v>8382</v>
      </c>
      <c r="G438" t="s">
        <v>74</v>
      </c>
      <c r="H438" t="s">
        <v>74</v>
      </c>
      <c r="I438" t="s">
        <v>8383</v>
      </c>
      <c r="J438" t="s">
        <v>8384</v>
      </c>
      <c r="K438" t="s">
        <v>74</v>
      </c>
      <c r="L438" t="s">
        <v>74</v>
      </c>
      <c r="M438" t="s">
        <v>78</v>
      </c>
      <c r="N438" t="s">
        <v>7851</v>
      </c>
      <c r="O438" t="s">
        <v>8385</v>
      </c>
      <c r="P438" t="s">
        <v>8386</v>
      </c>
      <c r="Q438" t="s">
        <v>8387</v>
      </c>
      <c r="R438" t="s">
        <v>74</v>
      </c>
      <c r="S438" t="s">
        <v>74</v>
      </c>
      <c r="T438" t="s">
        <v>8388</v>
      </c>
      <c r="U438" t="s">
        <v>8389</v>
      </c>
      <c r="V438" t="s">
        <v>8390</v>
      </c>
      <c r="W438" t="s">
        <v>8391</v>
      </c>
      <c r="X438" t="s">
        <v>8392</v>
      </c>
      <c r="Y438" t="s">
        <v>8393</v>
      </c>
      <c r="Z438" t="s">
        <v>8394</v>
      </c>
      <c r="AA438" t="s">
        <v>74</v>
      </c>
      <c r="AB438" t="s">
        <v>74</v>
      </c>
      <c r="AC438" t="s">
        <v>74</v>
      </c>
      <c r="AD438" t="s">
        <v>74</v>
      </c>
      <c r="AE438" t="s">
        <v>74</v>
      </c>
      <c r="AF438" t="s">
        <v>74</v>
      </c>
      <c r="AG438">
        <v>15</v>
      </c>
      <c r="AH438">
        <v>0</v>
      </c>
      <c r="AI438">
        <v>0</v>
      </c>
      <c r="AJ438">
        <v>0</v>
      </c>
      <c r="AK438">
        <v>0</v>
      </c>
      <c r="AL438" t="s">
        <v>8395</v>
      </c>
      <c r="AM438" t="s">
        <v>506</v>
      </c>
      <c r="AN438" t="s">
        <v>8396</v>
      </c>
      <c r="AO438" t="s">
        <v>74</v>
      </c>
      <c r="AP438" t="s">
        <v>74</v>
      </c>
      <c r="AQ438" t="s">
        <v>8397</v>
      </c>
      <c r="AR438" t="s">
        <v>74</v>
      </c>
      <c r="AS438" t="s">
        <v>74</v>
      </c>
      <c r="AT438" t="s">
        <v>74</v>
      </c>
      <c r="AU438">
        <v>2022</v>
      </c>
      <c r="AV438" t="s">
        <v>74</v>
      </c>
      <c r="AW438" t="s">
        <v>74</v>
      </c>
      <c r="AX438" t="s">
        <v>74</v>
      </c>
      <c r="AY438" t="s">
        <v>74</v>
      </c>
      <c r="AZ438" t="s">
        <v>74</v>
      </c>
      <c r="BA438" t="s">
        <v>74</v>
      </c>
      <c r="BB438">
        <v>127</v>
      </c>
      <c r="BC438">
        <v>130</v>
      </c>
      <c r="BD438" t="s">
        <v>74</v>
      </c>
      <c r="BE438" t="s">
        <v>8398</v>
      </c>
      <c r="BF438" t="str">
        <f>HYPERLINK("http://dx.doi.org/10.1109/UKRMW58013.2022.10037049","http://dx.doi.org/10.1109/UKRMW58013.2022.10037049")</f>
        <v>http://dx.doi.org/10.1109/UKRMW58013.2022.10037049</v>
      </c>
      <c r="BG438" t="s">
        <v>74</v>
      </c>
      <c r="BH438" t="s">
        <v>74</v>
      </c>
      <c r="BI438">
        <v>4</v>
      </c>
      <c r="BJ438" t="s">
        <v>7425</v>
      </c>
      <c r="BK438" t="s">
        <v>7868</v>
      </c>
      <c r="BL438" t="s">
        <v>4397</v>
      </c>
      <c r="BM438" t="s">
        <v>8399</v>
      </c>
      <c r="BN438" t="s">
        <v>74</v>
      </c>
      <c r="BO438" t="s">
        <v>74</v>
      </c>
      <c r="BP438" t="s">
        <v>74</v>
      </c>
      <c r="BQ438" t="s">
        <v>74</v>
      </c>
      <c r="BR438" t="s">
        <v>106</v>
      </c>
      <c r="BS438" t="s">
        <v>8400</v>
      </c>
      <c r="BT438" t="str">
        <f>HYPERLINK("https%3A%2F%2Fwww.webofscience.com%2Fwos%2Fwoscc%2Ffull-record%2FWOS:001058645700029","View Full Record in Web of Science")</f>
        <v>View Full Record in Web of Science</v>
      </c>
    </row>
    <row r="439" spans="1:72" x14ac:dyDescent="0.15">
      <c r="A439" t="s">
        <v>72</v>
      </c>
      <c r="B439" t="s">
        <v>8401</v>
      </c>
      <c r="C439" t="s">
        <v>74</v>
      </c>
      <c r="D439" t="s">
        <v>74</v>
      </c>
      <c r="E439" t="s">
        <v>74</v>
      </c>
      <c r="F439" t="s">
        <v>8402</v>
      </c>
      <c r="G439" t="s">
        <v>74</v>
      </c>
      <c r="H439" t="s">
        <v>74</v>
      </c>
      <c r="I439" t="s">
        <v>8403</v>
      </c>
      <c r="J439" t="s">
        <v>8404</v>
      </c>
      <c r="K439" t="s">
        <v>74</v>
      </c>
      <c r="L439" t="s">
        <v>74</v>
      </c>
      <c r="M439" t="s">
        <v>78</v>
      </c>
      <c r="N439" t="s">
        <v>79</v>
      </c>
      <c r="O439" t="s">
        <v>74</v>
      </c>
      <c r="P439" t="s">
        <v>74</v>
      </c>
      <c r="Q439" t="s">
        <v>74</v>
      </c>
      <c r="R439" t="s">
        <v>74</v>
      </c>
      <c r="S439" t="s">
        <v>74</v>
      </c>
      <c r="T439" t="s">
        <v>8405</v>
      </c>
      <c r="U439" t="s">
        <v>8406</v>
      </c>
      <c r="V439" t="s">
        <v>8407</v>
      </c>
      <c r="W439" t="s">
        <v>8408</v>
      </c>
      <c r="X439" t="s">
        <v>8409</v>
      </c>
      <c r="Y439" t="s">
        <v>8410</v>
      </c>
      <c r="Z439" t="s">
        <v>8411</v>
      </c>
      <c r="AA439" t="s">
        <v>8412</v>
      </c>
      <c r="AB439" t="s">
        <v>8413</v>
      </c>
      <c r="AC439" t="s">
        <v>8414</v>
      </c>
      <c r="AD439" t="s">
        <v>8415</v>
      </c>
      <c r="AE439" t="s">
        <v>8416</v>
      </c>
      <c r="AF439" t="s">
        <v>74</v>
      </c>
      <c r="AG439">
        <v>54</v>
      </c>
      <c r="AH439">
        <v>2</v>
      </c>
      <c r="AI439">
        <v>3</v>
      </c>
      <c r="AJ439">
        <v>4</v>
      </c>
      <c r="AK439">
        <v>8</v>
      </c>
      <c r="AL439" t="s">
        <v>3255</v>
      </c>
      <c r="AM439" t="s">
        <v>606</v>
      </c>
      <c r="AN439" t="s">
        <v>3256</v>
      </c>
      <c r="AO439" t="s">
        <v>8417</v>
      </c>
      <c r="AP439" t="s">
        <v>74</v>
      </c>
      <c r="AQ439" t="s">
        <v>74</v>
      </c>
      <c r="AR439" t="s">
        <v>8404</v>
      </c>
      <c r="AS439" t="s">
        <v>8418</v>
      </c>
      <c r="AT439" t="s">
        <v>8419</v>
      </c>
      <c r="AU439">
        <v>2022</v>
      </c>
      <c r="AV439">
        <v>13</v>
      </c>
      <c r="AW439">
        <v>1</v>
      </c>
      <c r="AX439" t="s">
        <v>74</v>
      </c>
      <c r="AY439" t="s">
        <v>74</v>
      </c>
      <c r="AZ439" t="s">
        <v>74</v>
      </c>
      <c r="BA439" t="s">
        <v>74</v>
      </c>
      <c r="BB439" t="s">
        <v>74</v>
      </c>
      <c r="BC439" t="s">
        <v>74</v>
      </c>
      <c r="BD439" t="s">
        <v>8420</v>
      </c>
      <c r="BE439" t="s">
        <v>8421</v>
      </c>
      <c r="BF439" t="str">
        <f>HYPERLINK("http://dx.doi.org/10.1128/mbio.03869-21","http://dx.doi.org/10.1128/mbio.03869-21")</f>
        <v>http://dx.doi.org/10.1128/mbio.03869-21</v>
      </c>
      <c r="BG439" t="s">
        <v>74</v>
      </c>
      <c r="BH439" t="s">
        <v>74</v>
      </c>
      <c r="BI439">
        <v>15</v>
      </c>
      <c r="BJ439" t="s">
        <v>747</v>
      </c>
      <c r="BK439" t="s">
        <v>103</v>
      </c>
      <c r="BL439" t="s">
        <v>747</v>
      </c>
      <c r="BM439" t="s">
        <v>8422</v>
      </c>
      <c r="BN439">
        <v>35189702</v>
      </c>
      <c r="BO439" t="s">
        <v>640</v>
      </c>
      <c r="BP439" t="s">
        <v>74</v>
      </c>
      <c r="BQ439" t="s">
        <v>74</v>
      </c>
      <c r="BR439" t="s">
        <v>106</v>
      </c>
      <c r="BS439" t="s">
        <v>8423</v>
      </c>
      <c r="BT439" t="str">
        <f>HYPERLINK("https%3A%2F%2Fwww.webofscience.com%2Fwos%2Fwoscc%2Ffull-record%2FWOS:001040888600148","View Full Record in Web of Science")</f>
        <v>View Full Record in Web of Science</v>
      </c>
    </row>
    <row r="440" spans="1:72" x14ac:dyDescent="0.15">
      <c r="A440" t="s">
        <v>72</v>
      </c>
      <c r="B440" t="s">
        <v>8424</v>
      </c>
      <c r="C440" t="s">
        <v>74</v>
      </c>
      <c r="D440" t="s">
        <v>74</v>
      </c>
      <c r="E440" t="s">
        <v>74</v>
      </c>
      <c r="F440" t="s">
        <v>8425</v>
      </c>
      <c r="G440" t="s">
        <v>74</v>
      </c>
      <c r="H440" t="s">
        <v>74</v>
      </c>
      <c r="I440" t="s">
        <v>8426</v>
      </c>
      <c r="J440" t="s">
        <v>8427</v>
      </c>
      <c r="K440" t="s">
        <v>74</v>
      </c>
      <c r="L440" t="s">
        <v>74</v>
      </c>
      <c r="M440" t="s">
        <v>78</v>
      </c>
      <c r="N440" t="s">
        <v>79</v>
      </c>
      <c r="O440" t="s">
        <v>74</v>
      </c>
      <c r="P440" t="s">
        <v>74</v>
      </c>
      <c r="Q440" t="s">
        <v>74</v>
      </c>
      <c r="R440" t="s">
        <v>74</v>
      </c>
      <c r="S440" t="s">
        <v>74</v>
      </c>
      <c r="T440" t="s">
        <v>8428</v>
      </c>
      <c r="U440" t="s">
        <v>8429</v>
      </c>
      <c r="V440" t="s">
        <v>8430</v>
      </c>
      <c r="W440" t="s">
        <v>8431</v>
      </c>
      <c r="X440" t="s">
        <v>8432</v>
      </c>
      <c r="Y440" t="s">
        <v>8433</v>
      </c>
      <c r="Z440" t="s">
        <v>8434</v>
      </c>
      <c r="AA440" t="s">
        <v>8435</v>
      </c>
      <c r="AB440" t="s">
        <v>8436</v>
      </c>
      <c r="AC440" t="s">
        <v>8437</v>
      </c>
      <c r="AD440" t="s">
        <v>8438</v>
      </c>
      <c r="AE440" t="s">
        <v>8439</v>
      </c>
      <c r="AF440" t="s">
        <v>74</v>
      </c>
      <c r="AG440">
        <v>88</v>
      </c>
      <c r="AH440">
        <v>1</v>
      </c>
      <c r="AI440">
        <v>1</v>
      </c>
      <c r="AJ440">
        <v>4</v>
      </c>
      <c r="AK440">
        <v>5</v>
      </c>
      <c r="AL440" t="s">
        <v>8440</v>
      </c>
      <c r="AM440" t="s">
        <v>8441</v>
      </c>
      <c r="AN440" t="s">
        <v>8442</v>
      </c>
      <c r="AO440" t="s">
        <v>8443</v>
      </c>
      <c r="AP440" t="s">
        <v>8444</v>
      </c>
      <c r="AQ440" t="s">
        <v>74</v>
      </c>
      <c r="AR440" t="s">
        <v>8445</v>
      </c>
      <c r="AS440" t="s">
        <v>8446</v>
      </c>
      <c r="AT440" t="s">
        <v>74</v>
      </c>
      <c r="AU440">
        <v>2022</v>
      </c>
      <c r="AV440">
        <v>45</v>
      </c>
      <c r="AW440">
        <v>1</v>
      </c>
      <c r="AX440" t="s">
        <v>74</v>
      </c>
      <c r="AY440" t="s">
        <v>74</v>
      </c>
      <c r="AZ440" t="s">
        <v>74</v>
      </c>
      <c r="BA440" t="s">
        <v>74</v>
      </c>
      <c r="BB440">
        <v>3</v>
      </c>
      <c r="BC440">
        <v>18</v>
      </c>
      <c r="BD440" t="s">
        <v>74</v>
      </c>
      <c r="BE440" t="s">
        <v>8447</v>
      </c>
      <c r="BF440" t="str">
        <f>HYPERLINK("http://dx.doi.org/10.4461/GFDQ.2022.45.1","http://dx.doi.org/10.4461/GFDQ.2022.45.1")</f>
        <v>http://dx.doi.org/10.4461/GFDQ.2022.45.1</v>
      </c>
      <c r="BG440" t="s">
        <v>74</v>
      </c>
      <c r="BH440" t="s">
        <v>74</v>
      </c>
      <c r="BI440">
        <v>18</v>
      </c>
      <c r="BJ440" t="s">
        <v>8448</v>
      </c>
      <c r="BK440" t="s">
        <v>103</v>
      </c>
      <c r="BL440" t="s">
        <v>8449</v>
      </c>
      <c r="BM440" t="s">
        <v>8450</v>
      </c>
      <c r="BN440" t="s">
        <v>74</v>
      </c>
      <c r="BO440" t="s">
        <v>74</v>
      </c>
      <c r="BP440" t="s">
        <v>74</v>
      </c>
      <c r="BQ440" t="s">
        <v>74</v>
      </c>
      <c r="BR440" t="s">
        <v>106</v>
      </c>
      <c r="BS440" t="s">
        <v>8451</v>
      </c>
      <c r="BT440" t="str">
        <f>HYPERLINK("https%3A%2F%2Fwww.webofscience.com%2Fwos%2Fwoscc%2Ffull-record%2FWOS:001027147300001","View Full Record in Web of Science")</f>
        <v>View Full Record in Web of Science</v>
      </c>
    </row>
    <row r="441" spans="1:72" x14ac:dyDescent="0.15">
      <c r="A441" t="s">
        <v>7844</v>
      </c>
      <c r="B441" t="s">
        <v>8452</v>
      </c>
      <c r="C441" t="s">
        <v>74</v>
      </c>
      <c r="D441" t="s">
        <v>74</v>
      </c>
      <c r="E441" t="s">
        <v>8395</v>
      </c>
      <c r="F441" t="s">
        <v>8453</v>
      </c>
      <c r="G441" t="s">
        <v>74</v>
      </c>
      <c r="H441" t="s">
        <v>74</v>
      </c>
      <c r="I441" t="s">
        <v>8454</v>
      </c>
      <c r="J441" t="s">
        <v>8455</v>
      </c>
      <c r="K441" t="s">
        <v>74</v>
      </c>
      <c r="L441" t="s">
        <v>74</v>
      </c>
      <c r="M441" t="s">
        <v>78</v>
      </c>
      <c r="N441" t="s">
        <v>7851</v>
      </c>
      <c r="O441" t="s">
        <v>8456</v>
      </c>
      <c r="P441" t="s">
        <v>8457</v>
      </c>
      <c r="Q441" t="s">
        <v>8458</v>
      </c>
      <c r="R441" t="s">
        <v>74</v>
      </c>
      <c r="S441" t="s">
        <v>74</v>
      </c>
      <c r="T441" t="s">
        <v>74</v>
      </c>
      <c r="U441" t="s">
        <v>8459</v>
      </c>
      <c r="V441" t="s">
        <v>8460</v>
      </c>
      <c r="W441" t="s">
        <v>8461</v>
      </c>
      <c r="X441" t="s">
        <v>8462</v>
      </c>
      <c r="Y441" t="s">
        <v>8463</v>
      </c>
      <c r="Z441" t="s">
        <v>74</v>
      </c>
      <c r="AA441" t="s">
        <v>74</v>
      </c>
      <c r="AB441" t="s">
        <v>74</v>
      </c>
      <c r="AC441" t="s">
        <v>74</v>
      </c>
      <c r="AD441" t="s">
        <v>74</v>
      </c>
      <c r="AE441" t="s">
        <v>74</v>
      </c>
      <c r="AF441" t="s">
        <v>74</v>
      </c>
      <c r="AG441">
        <v>27</v>
      </c>
      <c r="AH441">
        <v>0</v>
      </c>
      <c r="AI441">
        <v>0</v>
      </c>
      <c r="AJ441">
        <v>0</v>
      </c>
      <c r="AK441">
        <v>0</v>
      </c>
      <c r="AL441" t="s">
        <v>8395</v>
      </c>
      <c r="AM441" t="s">
        <v>506</v>
      </c>
      <c r="AN441" t="s">
        <v>8396</v>
      </c>
      <c r="AO441" t="s">
        <v>74</v>
      </c>
      <c r="AP441" t="s">
        <v>74</v>
      </c>
      <c r="AQ441" t="s">
        <v>8464</v>
      </c>
      <c r="AR441" t="s">
        <v>74</v>
      </c>
      <c r="AS441" t="s">
        <v>74</v>
      </c>
      <c r="AT441" t="s">
        <v>74</v>
      </c>
      <c r="AU441">
        <v>2022</v>
      </c>
      <c r="AV441" t="s">
        <v>74</v>
      </c>
      <c r="AW441" t="s">
        <v>74</v>
      </c>
      <c r="AX441" t="s">
        <v>74</v>
      </c>
      <c r="AY441" t="s">
        <v>74</v>
      </c>
      <c r="AZ441" t="s">
        <v>74</v>
      </c>
      <c r="BA441" t="s">
        <v>74</v>
      </c>
      <c r="BB441">
        <v>452</v>
      </c>
      <c r="BC441">
        <v>455</v>
      </c>
      <c r="BD441" t="s">
        <v>74</v>
      </c>
      <c r="BE441" t="s">
        <v>74</v>
      </c>
      <c r="BF441" t="s">
        <v>74</v>
      </c>
      <c r="BG441" t="s">
        <v>74</v>
      </c>
      <c r="BH441" t="s">
        <v>74</v>
      </c>
      <c r="BI441">
        <v>4</v>
      </c>
      <c r="BJ441" t="s">
        <v>8465</v>
      </c>
      <c r="BK441" t="s">
        <v>7868</v>
      </c>
      <c r="BL441" t="s">
        <v>8465</v>
      </c>
      <c r="BM441" t="s">
        <v>8466</v>
      </c>
      <c r="BN441" t="s">
        <v>74</v>
      </c>
      <c r="BO441" t="s">
        <v>74</v>
      </c>
      <c r="BP441" t="s">
        <v>74</v>
      </c>
      <c r="BQ441" t="s">
        <v>74</v>
      </c>
      <c r="BR441" t="s">
        <v>106</v>
      </c>
      <c r="BS441" t="s">
        <v>8467</v>
      </c>
      <c r="BT441" t="str">
        <f>HYPERLINK("https%3A%2F%2Fwww.webofscience.com%2Fwos%2Fwoscc%2Ffull-record%2FWOS:001012679400112","View Full Record in Web of Science")</f>
        <v>View Full Record in Web of Science</v>
      </c>
    </row>
    <row r="442" spans="1:72" x14ac:dyDescent="0.15">
      <c r="A442" t="s">
        <v>72</v>
      </c>
      <c r="B442" t="s">
        <v>8468</v>
      </c>
      <c r="C442" t="s">
        <v>74</v>
      </c>
      <c r="D442" t="s">
        <v>74</v>
      </c>
      <c r="E442" t="s">
        <v>74</v>
      </c>
      <c r="F442" t="s">
        <v>8469</v>
      </c>
      <c r="G442" t="s">
        <v>74</v>
      </c>
      <c r="H442" t="s">
        <v>74</v>
      </c>
      <c r="I442" t="s">
        <v>8470</v>
      </c>
      <c r="J442" t="s">
        <v>8471</v>
      </c>
      <c r="K442" t="s">
        <v>74</v>
      </c>
      <c r="L442" t="s">
        <v>74</v>
      </c>
      <c r="M442" t="s">
        <v>78</v>
      </c>
      <c r="N442" t="s">
        <v>1113</v>
      </c>
      <c r="O442" t="s">
        <v>74</v>
      </c>
      <c r="P442" t="s">
        <v>74</v>
      </c>
      <c r="Q442" t="s">
        <v>74</v>
      </c>
      <c r="R442" t="s">
        <v>74</v>
      </c>
      <c r="S442" t="s">
        <v>74</v>
      </c>
      <c r="T442" t="s">
        <v>8472</v>
      </c>
      <c r="U442" t="s">
        <v>8473</v>
      </c>
      <c r="V442" t="s">
        <v>8474</v>
      </c>
      <c r="W442" t="s">
        <v>8475</v>
      </c>
      <c r="X442" t="s">
        <v>8476</v>
      </c>
      <c r="Y442" t="s">
        <v>8477</v>
      </c>
      <c r="Z442" t="s">
        <v>8478</v>
      </c>
      <c r="AA442" t="s">
        <v>74</v>
      </c>
      <c r="AB442" t="s">
        <v>8479</v>
      </c>
      <c r="AC442" t="s">
        <v>8480</v>
      </c>
      <c r="AD442" t="s">
        <v>8481</v>
      </c>
      <c r="AE442" t="s">
        <v>8482</v>
      </c>
      <c r="AF442" t="s">
        <v>74</v>
      </c>
      <c r="AG442">
        <v>66</v>
      </c>
      <c r="AH442">
        <v>0</v>
      </c>
      <c r="AI442">
        <v>0</v>
      </c>
      <c r="AJ442">
        <v>0</v>
      </c>
      <c r="AK442">
        <v>0</v>
      </c>
      <c r="AL442" t="s">
        <v>8483</v>
      </c>
      <c r="AM442" t="s">
        <v>8484</v>
      </c>
      <c r="AN442" t="s">
        <v>8485</v>
      </c>
      <c r="AO442" t="s">
        <v>8486</v>
      </c>
      <c r="AP442" t="s">
        <v>8487</v>
      </c>
      <c r="AQ442" t="s">
        <v>74</v>
      </c>
      <c r="AR442" t="s">
        <v>8488</v>
      </c>
      <c r="AS442" t="s">
        <v>8489</v>
      </c>
      <c r="AT442" t="s">
        <v>74</v>
      </c>
      <c r="AU442">
        <v>2022</v>
      </c>
      <c r="AV442">
        <v>30</v>
      </c>
      <c r="AW442">
        <v>3</v>
      </c>
      <c r="AX442" t="s">
        <v>74</v>
      </c>
      <c r="AY442" t="s">
        <v>74</v>
      </c>
      <c r="AZ442" t="s">
        <v>74</v>
      </c>
      <c r="BA442" t="s">
        <v>74</v>
      </c>
      <c r="BB442">
        <v>234</v>
      </c>
      <c r="BC442">
        <v>243</v>
      </c>
      <c r="BD442" t="s">
        <v>74</v>
      </c>
      <c r="BE442" t="s">
        <v>8490</v>
      </c>
      <c r="BF442" t="str">
        <f>HYPERLINK("http://dx.doi.org/10.15421/012225","http://dx.doi.org/10.15421/012225")</f>
        <v>http://dx.doi.org/10.15421/012225</v>
      </c>
      <c r="BG442" t="s">
        <v>74</v>
      </c>
      <c r="BH442" t="s">
        <v>74</v>
      </c>
      <c r="BI442">
        <v>10</v>
      </c>
      <c r="BJ442" t="s">
        <v>1723</v>
      </c>
      <c r="BK442" t="s">
        <v>724</v>
      </c>
      <c r="BL442" t="s">
        <v>1561</v>
      </c>
      <c r="BM442" t="s">
        <v>8491</v>
      </c>
      <c r="BN442" t="s">
        <v>74</v>
      </c>
      <c r="BO442" t="s">
        <v>445</v>
      </c>
      <c r="BP442" t="s">
        <v>74</v>
      </c>
      <c r="BQ442" t="s">
        <v>74</v>
      </c>
      <c r="BR442" t="s">
        <v>106</v>
      </c>
      <c r="BS442" t="s">
        <v>8492</v>
      </c>
      <c r="BT442" t="str">
        <f>HYPERLINK("https%3A%2F%2Fwww.webofscience.com%2Fwos%2Fwoscc%2Ffull-record%2FWOS:000987075200004","View Full Record in Web of Science")</f>
        <v>View Full Record in Web of Science</v>
      </c>
    </row>
    <row r="443" spans="1:72" x14ac:dyDescent="0.15">
      <c r="A443" t="s">
        <v>72</v>
      </c>
      <c r="B443" t="s">
        <v>8493</v>
      </c>
      <c r="C443" t="s">
        <v>74</v>
      </c>
      <c r="D443" t="s">
        <v>74</v>
      </c>
      <c r="E443" t="s">
        <v>74</v>
      </c>
      <c r="F443" t="s">
        <v>8494</v>
      </c>
      <c r="G443" t="s">
        <v>74</v>
      </c>
      <c r="H443" t="s">
        <v>74</v>
      </c>
      <c r="I443" t="s">
        <v>8495</v>
      </c>
      <c r="J443" t="s">
        <v>8496</v>
      </c>
      <c r="K443" t="s">
        <v>74</v>
      </c>
      <c r="L443" t="s">
        <v>74</v>
      </c>
      <c r="M443" t="s">
        <v>78</v>
      </c>
      <c r="N443" t="s">
        <v>79</v>
      </c>
      <c r="O443" t="s">
        <v>74</v>
      </c>
      <c r="P443" t="s">
        <v>74</v>
      </c>
      <c r="Q443" t="s">
        <v>74</v>
      </c>
      <c r="R443" t="s">
        <v>74</v>
      </c>
      <c r="S443" t="s">
        <v>74</v>
      </c>
      <c r="T443" t="s">
        <v>8497</v>
      </c>
      <c r="U443" t="s">
        <v>74</v>
      </c>
      <c r="V443" t="s">
        <v>8498</v>
      </c>
      <c r="W443" t="s">
        <v>8499</v>
      </c>
      <c r="X443" t="s">
        <v>8500</v>
      </c>
      <c r="Y443" t="s">
        <v>8501</v>
      </c>
      <c r="Z443" t="s">
        <v>8502</v>
      </c>
      <c r="AA443" t="s">
        <v>8503</v>
      </c>
      <c r="AB443" t="s">
        <v>8504</v>
      </c>
      <c r="AC443" t="s">
        <v>74</v>
      </c>
      <c r="AD443" t="s">
        <v>74</v>
      </c>
      <c r="AE443" t="s">
        <v>74</v>
      </c>
      <c r="AF443" t="s">
        <v>74</v>
      </c>
      <c r="AG443">
        <v>24</v>
      </c>
      <c r="AH443">
        <v>0</v>
      </c>
      <c r="AI443">
        <v>0</v>
      </c>
      <c r="AJ443">
        <v>1</v>
      </c>
      <c r="AK443">
        <v>1</v>
      </c>
      <c r="AL443" t="s">
        <v>8505</v>
      </c>
      <c r="AM443" t="s">
        <v>8506</v>
      </c>
      <c r="AN443" t="s">
        <v>8507</v>
      </c>
      <c r="AO443" t="s">
        <v>8508</v>
      </c>
      <c r="AP443" t="s">
        <v>74</v>
      </c>
      <c r="AQ443" t="s">
        <v>74</v>
      </c>
      <c r="AR443" t="s">
        <v>8509</v>
      </c>
      <c r="AS443" t="s">
        <v>8510</v>
      </c>
      <c r="AT443" t="s">
        <v>74</v>
      </c>
      <c r="AU443">
        <v>2022</v>
      </c>
      <c r="AV443">
        <v>23</v>
      </c>
      <c r="AW443" t="s">
        <v>74</v>
      </c>
      <c r="AX443" t="s">
        <v>74</v>
      </c>
      <c r="AY443" t="s">
        <v>74</v>
      </c>
      <c r="AZ443" t="s">
        <v>74</v>
      </c>
      <c r="BA443" t="s">
        <v>74</v>
      </c>
      <c r="BB443" t="s">
        <v>74</v>
      </c>
      <c r="BC443" t="s">
        <v>74</v>
      </c>
      <c r="BD443" t="s">
        <v>8511</v>
      </c>
      <c r="BE443" t="s">
        <v>8512</v>
      </c>
      <c r="BF443" t="str">
        <f>HYPERLINK("http://dx.doi.org/10.20889/M47e23005","http://dx.doi.org/10.20889/M47e23005")</f>
        <v>http://dx.doi.org/10.20889/M47e23005</v>
      </c>
      <c r="BG443" t="s">
        <v>74</v>
      </c>
      <c r="BH443" t="s">
        <v>74</v>
      </c>
      <c r="BI443">
        <v>15</v>
      </c>
      <c r="BJ443" t="s">
        <v>8513</v>
      </c>
      <c r="BK443" t="s">
        <v>724</v>
      </c>
      <c r="BL443" t="s">
        <v>8513</v>
      </c>
      <c r="BM443" t="s">
        <v>8514</v>
      </c>
      <c r="BN443" t="s">
        <v>74</v>
      </c>
      <c r="BO443" t="s">
        <v>445</v>
      </c>
      <c r="BP443" t="s">
        <v>74</v>
      </c>
      <c r="BQ443" t="s">
        <v>74</v>
      </c>
      <c r="BR443" t="s">
        <v>106</v>
      </c>
      <c r="BS443" t="s">
        <v>8515</v>
      </c>
      <c r="BT443" t="str">
        <f>HYPERLINK("https%3A%2F%2Fwww.webofscience.com%2Fwos%2Fwoscc%2Ffull-record%2FWOS:000996014200001","View Full Record in Web of Science")</f>
        <v>View Full Record in Web of Science</v>
      </c>
    </row>
    <row r="444" spans="1:72" x14ac:dyDescent="0.15">
      <c r="A444" t="s">
        <v>7844</v>
      </c>
      <c r="B444" t="s">
        <v>8516</v>
      </c>
      <c r="C444" t="s">
        <v>74</v>
      </c>
      <c r="D444" t="s">
        <v>8395</v>
      </c>
      <c r="E444" t="s">
        <v>74</v>
      </c>
      <c r="F444" t="s">
        <v>8517</v>
      </c>
      <c r="G444" t="s">
        <v>74</v>
      </c>
      <c r="H444" t="s">
        <v>74</v>
      </c>
      <c r="I444" t="s">
        <v>8518</v>
      </c>
      <c r="J444" t="s">
        <v>8519</v>
      </c>
      <c r="K444" t="s">
        <v>74</v>
      </c>
      <c r="L444" t="s">
        <v>74</v>
      </c>
      <c r="M444" t="s">
        <v>78</v>
      </c>
      <c r="N444" t="s">
        <v>7851</v>
      </c>
      <c r="O444" t="s">
        <v>8520</v>
      </c>
      <c r="P444" t="s">
        <v>8521</v>
      </c>
      <c r="Q444" t="s">
        <v>7854</v>
      </c>
      <c r="R444" t="s">
        <v>74</v>
      </c>
      <c r="S444" t="s">
        <v>74</v>
      </c>
      <c r="T444" t="s">
        <v>8522</v>
      </c>
      <c r="U444" t="s">
        <v>74</v>
      </c>
      <c r="V444" t="s">
        <v>8523</v>
      </c>
      <c r="W444" t="s">
        <v>8524</v>
      </c>
      <c r="X444" t="s">
        <v>8525</v>
      </c>
      <c r="Y444" t="s">
        <v>8526</v>
      </c>
      <c r="Z444" t="s">
        <v>8527</v>
      </c>
      <c r="AA444" t="s">
        <v>8528</v>
      </c>
      <c r="AB444" t="s">
        <v>74</v>
      </c>
      <c r="AC444" t="s">
        <v>8529</v>
      </c>
      <c r="AD444" t="s">
        <v>8530</v>
      </c>
      <c r="AE444" t="s">
        <v>8531</v>
      </c>
      <c r="AF444" t="s">
        <v>74</v>
      </c>
      <c r="AG444">
        <v>15</v>
      </c>
      <c r="AH444">
        <v>2</v>
      </c>
      <c r="AI444">
        <v>2</v>
      </c>
      <c r="AJ444">
        <v>8</v>
      </c>
      <c r="AK444">
        <v>10</v>
      </c>
      <c r="AL444" t="s">
        <v>8395</v>
      </c>
      <c r="AM444" t="s">
        <v>506</v>
      </c>
      <c r="AN444" t="s">
        <v>8396</v>
      </c>
      <c r="AO444" t="s">
        <v>74</v>
      </c>
      <c r="AP444" t="s">
        <v>74</v>
      </c>
      <c r="AQ444" t="s">
        <v>8532</v>
      </c>
      <c r="AR444" t="s">
        <v>74</v>
      </c>
      <c r="AS444" t="s">
        <v>74</v>
      </c>
      <c r="AT444" t="s">
        <v>74</v>
      </c>
      <c r="AU444">
        <v>2022</v>
      </c>
      <c r="AV444" t="s">
        <v>74</v>
      </c>
      <c r="AW444" t="s">
        <v>74</v>
      </c>
      <c r="AX444" t="s">
        <v>74</v>
      </c>
      <c r="AY444" t="s">
        <v>74</v>
      </c>
      <c r="AZ444" t="s">
        <v>74</v>
      </c>
      <c r="BA444" t="s">
        <v>74</v>
      </c>
      <c r="BB444">
        <v>358</v>
      </c>
      <c r="BC444">
        <v>363</v>
      </c>
      <c r="BD444" t="s">
        <v>74</v>
      </c>
      <c r="BE444" t="s">
        <v>8533</v>
      </c>
      <c r="BF444" t="str">
        <f>HYPERLINK("http://dx.doi.org/10.1109/IFEEA57288.2022.10038226","http://dx.doi.org/10.1109/IFEEA57288.2022.10038226")</f>
        <v>http://dx.doi.org/10.1109/IFEEA57288.2022.10038226</v>
      </c>
      <c r="BG444" t="s">
        <v>74</v>
      </c>
      <c r="BH444" t="s">
        <v>74</v>
      </c>
      <c r="BI444">
        <v>6</v>
      </c>
      <c r="BJ444" t="s">
        <v>8534</v>
      </c>
      <c r="BK444" t="s">
        <v>7868</v>
      </c>
      <c r="BL444" t="s">
        <v>8535</v>
      </c>
      <c r="BM444" t="s">
        <v>8536</v>
      </c>
      <c r="BN444" t="s">
        <v>74</v>
      </c>
      <c r="BO444" t="s">
        <v>74</v>
      </c>
      <c r="BP444" t="s">
        <v>74</v>
      </c>
      <c r="BQ444" t="s">
        <v>74</v>
      </c>
      <c r="BR444" t="s">
        <v>106</v>
      </c>
      <c r="BS444" t="s">
        <v>8537</v>
      </c>
      <c r="BT444" t="str">
        <f>HYPERLINK("https%3A%2F%2Fwww.webofscience.com%2Fwos%2Fwoscc%2Ffull-record%2FWOS:000976854200069","View Full Record in Web of Science")</f>
        <v>View Full Record in Web of Science</v>
      </c>
    </row>
    <row r="445" spans="1:72" x14ac:dyDescent="0.15">
      <c r="A445" t="s">
        <v>72</v>
      </c>
      <c r="B445" t="s">
        <v>8538</v>
      </c>
      <c r="C445" t="s">
        <v>74</v>
      </c>
      <c r="D445" t="s">
        <v>74</v>
      </c>
      <c r="E445" t="s">
        <v>74</v>
      </c>
      <c r="F445" t="s">
        <v>8539</v>
      </c>
      <c r="G445" t="s">
        <v>74</v>
      </c>
      <c r="H445" t="s">
        <v>74</v>
      </c>
      <c r="I445" t="s">
        <v>8540</v>
      </c>
      <c r="J445" t="s">
        <v>8541</v>
      </c>
      <c r="K445" t="s">
        <v>74</v>
      </c>
      <c r="L445" t="s">
        <v>74</v>
      </c>
      <c r="M445" t="s">
        <v>78</v>
      </c>
      <c r="N445" t="s">
        <v>79</v>
      </c>
      <c r="O445" t="s">
        <v>74</v>
      </c>
      <c r="P445" t="s">
        <v>74</v>
      </c>
      <c r="Q445" t="s">
        <v>74</v>
      </c>
      <c r="R445" t="s">
        <v>74</v>
      </c>
      <c r="S445" t="s">
        <v>74</v>
      </c>
      <c r="T445" t="s">
        <v>8542</v>
      </c>
      <c r="U445" t="s">
        <v>8543</v>
      </c>
      <c r="V445" t="s">
        <v>8544</v>
      </c>
      <c r="W445" t="s">
        <v>8545</v>
      </c>
      <c r="X445" t="s">
        <v>5052</v>
      </c>
      <c r="Y445" t="s">
        <v>8546</v>
      </c>
      <c r="Z445" t="s">
        <v>8547</v>
      </c>
      <c r="AA445" t="s">
        <v>8548</v>
      </c>
      <c r="AB445" t="s">
        <v>8549</v>
      </c>
      <c r="AC445" t="s">
        <v>8550</v>
      </c>
      <c r="AD445" t="s">
        <v>8550</v>
      </c>
      <c r="AE445" t="s">
        <v>8551</v>
      </c>
      <c r="AF445" t="s">
        <v>74</v>
      </c>
      <c r="AG445">
        <v>75</v>
      </c>
      <c r="AH445">
        <v>1</v>
      </c>
      <c r="AI445">
        <v>1</v>
      </c>
      <c r="AJ445">
        <v>5</v>
      </c>
      <c r="AK445">
        <v>12</v>
      </c>
      <c r="AL445" t="s">
        <v>8552</v>
      </c>
      <c r="AM445" t="s">
        <v>8553</v>
      </c>
      <c r="AN445" t="s">
        <v>8554</v>
      </c>
      <c r="AO445" t="s">
        <v>74</v>
      </c>
      <c r="AP445" t="s">
        <v>8555</v>
      </c>
      <c r="AQ445" t="s">
        <v>74</v>
      </c>
      <c r="AR445" t="s">
        <v>8556</v>
      </c>
      <c r="AS445" t="s">
        <v>8557</v>
      </c>
      <c r="AT445" t="s">
        <v>74</v>
      </c>
      <c r="AU445">
        <v>2022</v>
      </c>
      <c r="AV445">
        <v>70</v>
      </c>
      <c r="AW445" t="s">
        <v>74</v>
      </c>
      <c r="AX445" t="s">
        <v>74</v>
      </c>
      <c r="AY445">
        <v>2</v>
      </c>
      <c r="AZ445" t="s">
        <v>74</v>
      </c>
      <c r="BA445" t="s">
        <v>74</v>
      </c>
      <c r="BB445" t="s">
        <v>74</v>
      </c>
      <c r="BC445" t="s">
        <v>74</v>
      </c>
      <c r="BD445" t="s">
        <v>8558</v>
      </c>
      <c r="BE445" t="s">
        <v>8559</v>
      </c>
      <c r="BF445" t="str">
        <f>HYPERLINK("http://dx.doi.org/10.1590/2675-2824070.22137jgp","http://dx.doi.org/10.1590/2675-2824070.22137jgp")</f>
        <v>http://dx.doi.org/10.1590/2675-2824070.22137jgp</v>
      </c>
      <c r="BG445" t="s">
        <v>74</v>
      </c>
      <c r="BH445" t="s">
        <v>74</v>
      </c>
      <c r="BI445">
        <v>18</v>
      </c>
      <c r="BJ445" t="s">
        <v>772</v>
      </c>
      <c r="BK445" t="s">
        <v>103</v>
      </c>
      <c r="BL445" t="s">
        <v>772</v>
      </c>
      <c r="BM445" t="s">
        <v>8560</v>
      </c>
      <c r="BN445" t="s">
        <v>74</v>
      </c>
      <c r="BO445" t="s">
        <v>132</v>
      </c>
      <c r="BP445" t="s">
        <v>74</v>
      </c>
      <c r="BQ445" t="s">
        <v>74</v>
      </c>
      <c r="BR445" t="s">
        <v>106</v>
      </c>
      <c r="BS445" t="s">
        <v>8561</v>
      </c>
      <c r="BT445" t="str">
        <f>HYPERLINK("https%3A%2F%2Fwww.webofscience.com%2Fwos%2Fwoscc%2Ffull-record%2FWOS:000978107000001","View Full Record in Web of Science")</f>
        <v>View Full Record in Web of Science</v>
      </c>
    </row>
    <row r="446" spans="1:72" x14ac:dyDescent="0.15">
      <c r="A446" t="s">
        <v>72</v>
      </c>
      <c r="B446" t="s">
        <v>8562</v>
      </c>
      <c r="C446" t="s">
        <v>74</v>
      </c>
      <c r="D446" t="s">
        <v>74</v>
      </c>
      <c r="E446" t="s">
        <v>74</v>
      </c>
      <c r="F446" t="s">
        <v>8563</v>
      </c>
      <c r="G446" t="s">
        <v>74</v>
      </c>
      <c r="H446" t="s">
        <v>74</v>
      </c>
      <c r="I446" t="s">
        <v>8564</v>
      </c>
      <c r="J446" t="s">
        <v>8565</v>
      </c>
      <c r="K446" t="s">
        <v>74</v>
      </c>
      <c r="L446" t="s">
        <v>74</v>
      </c>
      <c r="M446" t="s">
        <v>78</v>
      </c>
      <c r="N446" t="s">
        <v>79</v>
      </c>
      <c r="O446" t="s">
        <v>74</v>
      </c>
      <c r="P446" t="s">
        <v>74</v>
      </c>
      <c r="Q446" t="s">
        <v>74</v>
      </c>
      <c r="R446" t="s">
        <v>74</v>
      </c>
      <c r="S446" t="s">
        <v>74</v>
      </c>
      <c r="T446" t="s">
        <v>8566</v>
      </c>
      <c r="U446" t="s">
        <v>8567</v>
      </c>
      <c r="V446" t="s">
        <v>8568</v>
      </c>
      <c r="W446" t="s">
        <v>8569</v>
      </c>
      <c r="X446" t="s">
        <v>8570</v>
      </c>
      <c r="Y446" t="s">
        <v>8571</v>
      </c>
      <c r="Z446" t="s">
        <v>8572</v>
      </c>
      <c r="AA446" t="s">
        <v>74</v>
      </c>
      <c r="AB446" t="s">
        <v>74</v>
      </c>
      <c r="AC446" t="s">
        <v>8573</v>
      </c>
      <c r="AD446" t="s">
        <v>8573</v>
      </c>
      <c r="AE446" t="s">
        <v>8574</v>
      </c>
      <c r="AF446" t="s">
        <v>74</v>
      </c>
      <c r="AG446">
        <v>53</v>
      </c>
      <c r="AH446">
        <v>0</v>
      </c>
      <c r="AI446">
        <v>0</v>
      </c>
      <c r="AJ446">
        <v>0</v>
      </c>
      <c r="AK446">
        <v>4</v>
      </c>
      <c r="AL446" t="s">
        <v>8575</v>
      </c>
      <c r="AM446" t="s">
        <v>8576</v>
      </c>
      <c r="AN446" t="s">
        <v>8577</v>
      </c>
      <c r="AO446" t="s">
        <v>8578</v>
      </c>
      <c r="AP446" t="s">
        <v>8579</v>
      </c>
      <c r="AQ446" t="s">
        <v>74</v>
      </c>
      <c r="AR446" t="s">
        <v>8580</v>
      </c>
      <c r="AS446" t="s">
        <v>8581</v>
      </c>
      <c r="AT446" t="s">
        <v>74</v>
      </c>
      <c r="AU446">
        <v>2022</v>
      </c>
      <c r="AV446">
        <v>26</v>
      </c>
      <c r="AW446" t="s">
        <v>74</v>
      </c>
      <c r="AX446" t="s">
        <v>74</v>
      </c>
      <c r="AY446" t="s">
        <v>74</v>
      </c>
      <c r="AZ446">
        <v>2</v>
      </c>
      <c r="BA446" t="s">
        <v>74</v>
      </c>
      <c r="BB446" t="s">
        <v>74</v>
      </c>
      <c r="BC446" t="s">
        <v>74</v>
      </c>
      <c r="BD446" t="s">
        <v>74</v>
      </c>
      <c r="BE446" t="s">
        <v>8582</v>
      </c>
      <c r="BF446" t="str">
        <f>HYPERLINK("http://dx.doi.org/10.31285/AGRO.25.839","http://dx.doi.org/10.31285/AGRO.25.839")</f>
        <v>http://dx.doi.org/10.31285/AGRO.25.839</v>
      </c>
      <c r="BG446" t="s">
        <v>74</v>
      </c>
      <c r="BH446" t="s">
        <v>74</v>
      </c>
      <c r="BI446">
        <v>15</v>
      </c>
      <c r="BJ446" t="s">
        <v>8583</v>
      </c>
      <c r="BK446" t="s">
        <v>724</v>
      </c>
      <c r="BL446" t="s">
        <v>2219</v>
      </c>
      <c r="BM446" t="s">
        <v>8584</v>
      </c>
      <c r="BN446" t="s">
        <v>74</v>
      </c>
      <c r="BO446" t="s">
        <v>445</v>
      </c>
      <c r="BP446" t="s">
        <v>74</v>
      </c>
      <c r="BQ446" t="s">
        <v>74</v>
      </c>
      <c r="BR446" t="s">
        <v>106</v>
      </c>
      <c r="BS446" t="s">
        <v>8585</v>
      </c>
      <c r="BT446" t="str">
        <f>HYPERLINK("https%3A%2F%2Fwww.webofscience.com%2Fwos%2Fwoscc%2Ffull-record%2FWOS:000972800800003","View Full Record in Web of Science")</f>
        <v>View Full Record in Web of Science</v>
      </c>
    </row>
    <row r="447" spans="1:72" x14ac:dyDescent="0.15">
      <c r="A447" t="s">
        <v>72</v>
      </c>
      <c r="B447" t="s">
        <v>8586</v>
      </c>
      <c r="C447" t="s">
        <v>74</v>
      </c>
      <c r="D447" t="s">
        <v>74</v>
      </c>
      <c r="E447" t="s">
        <v>74</v>
      </c>
      <c r="F447" t="s">
        <v>8587</v>
      </c>
      <c r="G447" t="s">
        <v>74</v>
      </c>
      <c r="H447" t="s">
        <v>74</v>
      </c>
      <c r="I447" t="s">
        <v>8588</v>
      </c>
      <c r="J447" t="s">
        <v>8589</v>
      </c>
      <c r="K447" t="s">
        <v>74</v>
      </c>
      <c r="L447" t="s">
        <v>74</v>
      </c>
      <c r="M447" t="s">
        <v>8590</v>
      </c>
      <c r="N447" t="s">
        <v>79</v>
      </c>
      <c r="O447" t="s">
        <v>74</v>
      </c>
      <c r="P447" t="s">
        <v>74</v>
      </c>
      <c r="Q447" t="s">
        <v>74</v>
      </c>
      <c r="R447" t="s">
        <v>74</v>
      </c>
      <c r="S447" t="s">
        <v>74</v>
      </c>
      <c r="T447" t="s">
        <v>8591</v>
      </c>
      <c r="U447" t="s">
        <v>8592</v>
      </c>
      <c r="V447" t="s">
        <v>8593</v>
      </c>
      <c r="W447" t="s">
        <v>8594</v>
      </c>
      <c r="X447" t="s">
        <v>8595</v>
      </c>
      <c r="Y447" t="s">
        <v>8596</v>
      </c>
      <c r="Z447" t="s">
        <v>8597</v>
      </c>
      <c r="AA447" t="s">
        <v>74</v>
      </c>
      <c r="AB447" t="s">
        <v>74</v>
      </c>
      <c r="AC447" t="s">
        <v>8598</v>
      </c>
      <c r="AD447" t="s">
        <v>8599</v>
      </c>
      <c r="AE447" t="s">
        <v>8600</v>
      </c>
      <c r="AF447" t="s">
        <v>74</v>
      </c>
      <c r="AG447">
        <v>49</v>
      </c>
      <c r="AH447">
        <v>0</v>
      </c>
      <c r="AI447">
        <v>0</v>
      </c>
      <c r="AJ447">
        <v>0</v>
      </c>
      <c r="AK447">
        <v>0</v>
      </c>
      <c r="AL447" t="s">
        <v>8601</v>
      </c>
      <c r="AM447" t="s">
        <v>8602</v>
      </c>
      <c r="AN447" t="s">
        <v>8603</v>
      </c>
      <c r="AO447" t="s">
        <v>8604</v>
      </c>
      <c r="AP447" t="s">
        <v>8605</v>
      </c>
      <c r="AQ447" t="s">
        <v>74</v>
      </c>
      <c r="AR447" t="s">
        <v>8606</v>
      </c>
      <c r="AS447" t="s">
        <v>8607</v>
      </c>
      <c r="AT447" t="s">
        <v>74</v>
      </c>
      <c r="AU447">
        <v>2022</v>
      </c>
      <c r="AV447">
        <v>67</v>
      </c>
      <c r="AW447">
        <v>4</v>
      </c>
      <c r="AX447" t="s">
        <v>74</v>
      </c>
      <c r="AY447" t="s">
        <v>74</v>
      </c>
      <c r="AZ447" t="s">
        <v>74</v>
      </c>
      <c r="BA447" t="s">
        <v>74</v>
      </c>
      <c r="BB447">
        <v>614</v>
      </c>
      <c r="BC447">
        <v>630</v>
      </c>
      <c r="BD447" t="s">
        <v>74</v>
      </c>
      <c r="BE447" t="s">
        <v>8608</v>
      </c>
      <c r="BF447" t="str">
        <f>HYPERLINK("http://dx.doi.org/10.21638/spbu07.2022.404","http://dx.doi.org/10.21638/spbu07.2022.404")</f>
        <v>http://dx.doi.org/10.21638/spbu07.2022.404</v>
      </c>
      <c r="BG447" t="s">
        <v>74</v>
      </c>
      <c r="BH447" t="s">
        <v>74</v>
      </c>
      <c r="BI447">
        <v>17</v>
      </c>
      <c r="BJ447" t="s">
        <v>151</v>
      </c>
      <c r="BK447" t="s">
        <v>724</v>
      </c>
      <c r="BL447" t="s">
        <v>152</v>
      </c>
      <c r="BM447" t="s">
        <v>8609</v>
      </c>
      <c r="BN447" t="s">
        <v>74</v>
      </c>
      <c r="BO447" t="s">
        <v>132</v>
      </c>
      <c r="BP447" t="s">
        <v>74</v>
      </c>
      <c r="BQ447" t="s">
        <v>74</v>
      </c>
      <c r="BR447" t="s">
        <v>106</v>
      </c>
      <c r="BS447" t="s">
        <v>8610</v>
      </c>
      <c r="BT447" t="str">
        <f>HYPERLINK("https%3A%2F%2Fwww.webofscience.com%2Fwos%2Fwoscc%2Ffull-record%2FWOS:000968883700004","View Full Record in Web of Science")</f>
        <v>View Full Record in Web of Science</v>
      </c>
    </row>
    <row r="448" spans="1:72" x14ac:dyDescent="0.15">
      <c r="A448" t="s">
        <v>7844</v>
      </c>
      <c r="B448" t="s">
        <v>8611</v>
      </c>
      <c r="C448" t="s">
        <v>74</v>
      </c>
      <c r="D448" t="s">
        <v>74</v>
      </c>
      <c r="E448" t="s">
        <v>8395</v>
      </c>
      <c r="F448" t="s">
        <v>8612</v>
      </c>
      <c r="G448" t="s">
        <v>74</v>
      </c>
      <c r="H448" t="s">
        <v>74</v>
      </c>
      <c r="I448" t="s">
        <v>8613</v>
      </c>
      <c r="J448" t="s">
        <v>8614</v>
      </c>
      <c r="K448" t="s">
        <v>8615</v>
      </c>
      <c r="L448" t="s">
        <v>74</v>
      </c>
      <c r="M448" t="s">
        <v>78</v>
      </c>
      <c r="N448" t="s">
        <v>7851</v>
      </c>
      <c r="O448" t="s">
        <v>8616</v>
      </c>
      <c r="P448" t="s">
        <v>8617</v>
      </c>
      <c r="Q448" t="s">
        <v>8618</v>
      </c>
      <c r="R448" t="s">
        <v>74</v>
      </c>
      <c r="S448" t="s">
        <v>74</v>
      </c>
      <c r="T448" t="s">
        <v>74</v>
      </c>
      <c r="U448" t="s">
        <v>74</v>
      </c>
      <c r="V448" t="s">
        <v>74</v>
      </c>
      <c r="W448" t="s">
        <v>8619</v>
      </c>
      <c r="X448" t="s">
        <v>8620</v>
      </c>
      <c r="Y448" t="s">
        <v>8621</v>
      </c>
      <c r="Z448" t="s">
        <v>74</v>
      </c>
      <c r="AA448" t="s">
        <v>8622</v>
      </c>
      <c r="AB448" t="s">
        <v>8623</v>
      </c>
      <c r="AC448" t="s">
        <v>8624</v>
      </c>
      <c r="AD448" t="s">
        <v>8625</v>
      </c>
      <c r="AE448" t="s">
        <v>8626</v>
      </c>
      <c r="AF448" t="s">
        <v>74</v>
      </c>
      <c r="AG448">
        <v>11</v>
      </c>
      <c r="AH448">
        <v>0</v>
      </c>
      <c r="AI448">
        <v>0</v>
      </c>
      <c r="AJ448">
        <v>0</v>
      </c>
      <c r="AK448">
        <v>0</v>
      </c>
      <c r="AL448" t="s">
        <v>8395</v>
      </c>
      <c r="AM448" t="s">
        <v>506</v>
      </c>
      <c r="AN448" t="s">
        <v>8396</v>
      </c>
      <c r="AO448" t="s">
        <v>8627</v>
      </c>
      <c r="AP448" t="s">
        <v>74</v>
      </c>
      <c r="AQ448" t="s">
        <v>8628</v>
      </c>
      <c r="AR448" t="s">
        <v>8629</v>
      </c>
      <c r="AS448" t="s">
        <v>74</v>
      </c>
      <c r="AT448" t="s">
        <v>74</v>
      </c>
      <c r="AU448">
        <v>2022</v>
      </c>
      <c r="AV448" t="s">
        <v>74</v>
      </c>
      <c r="AW448" t="s">
        <v>74</v>
      </c>
      <c r="AX448" t="s">
        <v>74</v>
      </c>
      <c r="AY448" t="s">
        <v>74</v>
      </c>
      <c r="AZ448" t="s">
        <v>74</v>
      </c>
      <c r="BA448" t="s">
        <v>74</v>
      </c>
      <c r="BB448">
        <v>3802</v>
      </c>
      <c r="BC448">
        <v>3805</v>
      </c>
      <c r="BD448" t="s">
        <v>74</v>
      </c>
      <c r="BE448" t="s">
        <v>8630</v>
      </c>
      <c r="BF448" t="str">
        <f>HYPERLINK("http://dx.doi.org/10.1109/IGARSS46834.2022.9883579","http://dx.doi.org/10.1109/IGARSS46834.2022.9883579")</f>
        <v>http://dx.doi.org/10.1109/IGARSS46834.2022.9883579</v>
      </c>
      <c r="BG448" t="s">
        <v>74</v>
      </c>
      <c r="BH448" t="s">
        <v>74</v>
      </c>
      <c r="BI448">
        <v>4</v>
      </c>
      <c r="BJ448" t="s">
        <v>8631</v>
      </c>
      <c r="BK448" t="s">
        <v>7868</v>
      </c>
      <c r="BL448" t="s">
        <v>8632</v>
      </c>
      <c r="BM448" t="s">
        <v>8633</v>
      </c>
      <c r="BN448" t="s">
        <v>74</v>
      </c>
      <c r="BO448" t="s">
        <v>74</v>
      </c>
      <c r="BP448" t="s">
        <v>74</v>
      </c>
      <c r="BQ448" t="s">
        <v>74</v>
      </c>
      <c r="BR448" t="s">
        <v>106</v>
      </c>
      <c r="BS448" t="s">
        <v>8634</v>
      </c>
      <c r="BT448" t="str">
        <f>HYPERLINK("https%3A%2F%2Fwww.webofscience.com%2Fwos%2Fwoscc%2Ffull-record%2FWOS:000920916603242","View Full Record in Web of Science")</f>
        <v>View Full Record in Web of Science</v>
      </c>
    </row>
    <row r="449" spans="1:72" x14ac:dyDescent="0.15">
      <c r="A449" t="s">
        <v>7844</v>
      </c>
      <c r="B449" t="s">
        <v>8635</v>
      </c>
      <c r="C449" t="s">
        <v>74</v>
      </c>
      <c r="D449" t="s">
        <v>74</v>
      </c>
      <c r="E449" t="s">
        <v>8395</v>
      </c>
      <c r="F449" t="s">
        <v>8636</v>
      </c>
      <c r="G449" t="s">
        <v>74</v>
      </c>
      <c r="H449" t="s">
        <v>74</v>
      </c>
      <c r="I449" t="s">
        <v>8637</v>
      </c>
      <c r="J449" t="s">
        <v>8614</v>
      </c>
      <c r="K449" t="s">
        <v>8615</v>
      </c>
      <c r="L449" t="s">
        <v>74</v>
      </c>
      <c r="M449" t="s">
        <v>78</v>
      </c>
      <c r="N449" t="s">
        <v>7851</v>
      </c>
      <c r="O449" t="s">
        <v>8616</v>
      </c>
      <c r="P449" t="s">
        <v>8617</v>
      </c>
      <c r="Q449" t="s">
        <v>8618</v>
      </c>
      <c r="R449" t="s">
        <v>74</v>
      </c>
      <c r="S449" t="s">
        <v>74</v>
      </c>
      <c r="T449" t="s">
        <v>8638</v>
      </c>
      <c r="U449" t="s">
        <v>74</v>
      </c>
      <c r="V449" t="s">
        <v>8639</v>
      </c>
      <c r="W449" t="s">
        <v>8640</v>
      </c>
      <c r="X449" t="s">
        <v>8641</v>
      </c>
      <c r="Y449" t="s">
        <v>8642</v>
      </c>
      <c r="Z449" t="s">
        <v>74</v>
      </c>
      <c r="AA449" t="s">
        <v>74</v>
      </c>
      <c r="AB449" t="s">
        <v>74</v>
      </c>
      <c r="AC449" t="s">
        <v>8643</v>
      </c>
      <c r="AD449" t="s">
        <v>8644</v>
      </c>
      <c r="AE449" t="s">
        <v>8645</v>
      </c>
      <c r="AF449" t="s">
        <v>74</v>
      </c>
      <c r="AG449">
        <v>7</v>
      </c>
      <c r="AH449">
        <v>0</v>
      </c>
      <c r="AI449">
        <v>0</v>
      </c>
      <c r="AJ449">
        <v>1</v>
      </c>
      <c r="AK449">
        <v>2</v>
      </c>
      <c r="AL449" t="s">
        <v>8395</v>
      </c>
      <c r="AM449" t="s">
        <v>506</v>
      </c>
      <c r="AN449" t="s">
        <v>8396</v>
      </c>
      <c r="AO449" t="s">
        <v>8627</v>
      </c>
      <c r="AP449" t="s">
        <v>74</v>
      </c>
      <c r="AQ449" t="s">
        <v>8628</v>
      </c>
      <c r="AR449" t="s">
        <v>8629</v>
      </c>
      <c r="AS449" t="s">
        <v>74</v>
      </c>
      <c r="AT449" t="s">
        <v>74</v>
      </c>
      <c r="AU449">
        <v>2022</v>
      </c>
      <c r="AV449" t="s">
        <v>74</v>
      </c>
      <c r="AW449" t="s">
        <v>74</v>
      </c>
      <c r="AX449" t="s">
        <v>74</v>
      </c>
      <c r="AY449" t="s">
        <v>74</v>
      </c>
      <c r="AZ449" t="s">
        <v>74</v>
      </c>
      <c r="BA449" t="s">
        <v>74</v>
      </c>
      <c r="BB449">
        <v>3810</v>
      </c>
      <c r="BC449">
        <v>3813</v>
      </c>
      <c r="BD449" t="s">
        <v>74</v>
      </c>
      <c r="BE449" t="s">
        <v>8646</v>
      </c>
      <c r="BF449" t="str">
        <f>HYPERLINK("http://dx.doi.org/10.1109/IGARSS46834.2022.9883644","http://dx.doi.org/10.1109/IGARSS46834.2022.9883644")</f>
        <v>http://dx.doi.org/10.1109/IGARSS46834.2022.9883644</v>
      </c>
      <c r="BG449" t="s">
        <v>74</v>
      </c>
      <c r="BH449" t="s">
        <v>74</v>
      </c>
      <c r="BI449">
        <v>4</v>
      </c>
      <c r="BJ449" t="s">
        <v>8631</v>
      </c>
      <c r="BK449" t="s">
        <v>7868</v>
      </c>
      <c r="BL449" t="s">
        <v>8632</v>
      </c>
      <c r="BM449" t="s">
        <v>8633</v>
      </c>
      <c r="BN449" t="s">
        <v>74</v>
      </c>
      <c r="BO449" t="s">
        <v>74</v>
      </c>
      <c r="BP449" t="s">
        <v>74</v>
      </c>
      <c r="BQ449" t="s">
        <v>74</v>
      </c>
      <c r="BR449" t="s">
        <v>106</v>
      </c>
      <c r="BS449" t="s">
        <v>8647</v>
      </c>
      <c r="BT449" t="str">
        <f>HYPERLINK("https%3A%2F%2Fwww.webofscience.com%2Fwos%2Fwoscc%2Ffull-record%2FWOS:000920916603244","View Full Record in Web of Science")</f>
        <v>View Full Record in Web of Science</v>
      </c>
    </row>
    <row r="450" spans="1:72" x14ac:dyDescent="0.15">
      <c r="A450" t="s">
        <v>7844</v>
      </c>
      <c r="B450" t="s">
        <v>8648</v>
      </c>
      <c r="C450" t="s">
        <v>74</v>
      </c>
      <c r="D450" t="s">
        <v>74</v>
      </c>
      <c r="E450" t="s">
        <v>8395</v>
      </c>
      <c r="F450" t="s">
        <v>8649</v>
      </c>
      <c r="G450" t="s">
        <v>74</v>
      </c>
      <c r="H450" t="s">
        <v>74</v>
      </c>
      <c r="I450" t="s">
        <v>8650</v>
      </c>
      <c r="J450" t="s">
        <v>8614</v>
      </c>
      <c r="K450" t="s">
        <v>8615</v>
      </c>
      <c r="L450" t="s">
        <v>74</v>
      </c>
      <c r="M450" t="s">
        <v>78</v>
      </c>
      <c r="N450" t="s">
        <v>7851</v>
      </c>
      <c r="O450" t="s">
        <v>8616</v>
      </c>
      <c r="P450" t="s">
        <v>8617</v>
      </c>
      <c r="Q450" t="s">
        <v>8618</v>
      </c>
      <c r="R450" t="s">
        <v>74</v>
      </c>
      <c r="S450" t="s">
        <v>74</v>
      </c>
      <c r="T450" t="s">
        <v>8651</v>
      </c>
      <c r="U450" t="s">
        <v>74</v>
      </c>
      <c r="V450" t="s">
        <v>8652</v>
      </c>
      <c r="W450" t="s">
        <v>8653</v>
      </c>
      <c r="X450" t="s">
        <v>8654</v>
      </c>
      <c r="Y450" t="s">
        <v>8655</v>
      </c>
      <c r="Z450" t="s">
        <v>74</v>
      </c>
      <c r="AA450" t="s">
        <v>8656</v>
      </c>
      <c r="AB450" t="s">
        <v>74</v>
      </c>
      <c r="AC450" t="s">
        <v>74</v>
      </c>
      <c r="AD450" t="s">
        <v>74</v>
      </c>
      <c r="AE450" t="s">
        <v>74</v>
      </c>
      <c r="AF450" t="s">
        <v>74</v>
      </c>
      <c r="AG450">
        <v>12</v>
      </c>
      <c r="AH450">
        <v>0</v>
      </c>
      <c r="AI450">
        <v>0</v>
      </c>
      <c r="AJ450">
        <v>1</v>
      </c>
      <c r="AK450">
        <v>3</v>
      </c>
      <c r="AL450" t="s">
        <v>8395</v>
      </c>
      <c r="AM450" t="s">
        <v>506</v>
      </c>
      <c r="AN450" t="s">
        <v>8396</v>
      </c>
      <c r="AO450" t="s">
        <v>8627</v>
      </c>
      <c r="AP450" t="s">
        <v>74</v>
      </c>
      <c r="AQ450" t="s">
        <v>8628</v>
      </c>
      <c r="AR450" t="s">
        <v>8629</v>
      </c>
      <c r="AS450" t="s">
        <v>74</v>
      </c>
      <c r="AT450" t="s">
        <v>74</v>
      </c>
      <c r="AU450">
        <v>2022</v>
      </c>
      <c r="AV450" t="s">
        <v>74</v>
      </c>
      <c r="AW450" t="s">
        <v>74</v>
      </c>
      <c r="AX450" t="s">
        <v>74</v>
      </c>
      <c r="AY450" t="s">
        <v>74</v>
      </c>
      <c r="AZ450" t="s">
        <v>74</v>
      </c>
      <c r="BA450" t="s">
        <v>74</v>
      </c>
      <c r="BB450">
        <v>3834</v>
      </c>
      <c r="BC450">
        <v>3837</v>
      </c>
      <c r="BD450" t="s">
        <v>74</v>
      </c>
      <c r="BE450" t="s">
        <v>8657</v>
      </c>
      <c r="BF450" t="str">
        <f>HYPERLINK("http://dx.doi.org/10.1109/IGARSS46834.2022.9884884","http://dx.doi.org/10.1109/IGARSS46834.2022.9884884")</f>
        <v>http://dx.doi.org/10.1109/IGARSS46834.2022.9884884</v>
      </c>
      <c r="BG450" t="s">
        <v>74</v>
      </c>
      <c r="BH450" t="s">
        <v>74</v>
      </c>
      <c r="BI450">
        <v>4</v>
      </c>
      <c r="BJ450" t="s">
        <v>8631</v>
      </c>
      <c r="BK450" t="s">
        <v>7868</v>
      </c>
      <c r="BL450" t="s">
        <v>8632</v>
      </c>
      <c r="BM450" t="s">
        <v>8633</v>
      </c>
      <c r="BN450" t="s">
        <v>74</v>
      </c>
      <c r="BO450" t="s">
        <v>74</v>
      </c>
      <c r="BP450" t="s">
        <v>74</v>
      </c>
      <c r="BQ450" t="s">
        <v>74</v>
      </c>
      <c r="BR450" t="s">
        <v>106</v>
      </c>
      <c r="BS450" t="s">
        <v>8658</v>
      </c>
      <c r="BT450" t="str">
        <f>HYPERLINK("https%3A%2F%2Fwww.webofscience.com%2Fwos%2Fwoscc%2Ffull-record%2FWOS:000920916604001","View Full Record in Web of Science")</f>
        <v>View Full Record in Web of Science</v>
      </c>
    </row>
    <row r="451" spans="1:72" x14ac:dyDescent="0.15">
      <c r="A451" t="s">
        <v>7844</v>
      </c>
      <c r="B451" t="s">
        <v>8659</v>
      </c>
      <c r="C451" t="s">
        <v>74</v>
      </c>
      <c r="D451" t="s">
        <v>74</v>
      </c>
      <c r="E451" t="s">
        <v>8395</v>
      </c>
      <c r="F451" t="s">
        <v>8660</v>
      </c>
      <c r="G451" t="s">
        <v>74</v>
      </c>
      <c r="H451" t="s">
        <v>74</v>
      </c>
      <c r="I451" t="s">
        <v>8661</v>
      </c>
      <c r="J451" t="s">
        <v>8614</v>
      </c>
      <c r="K451" t="s">
        <v>8615</v>
      </c>
      <c r="L451" t="s">
        <v>74</v>
      </c>
      <c r="M451" t="s">
        <v>78</v>
      </c>
      <c r="N451" t="s">
        <v>7851</v>
      </c>
      <c r="O451" t="s">
        <v>8616</v>
      </c>
      <c r="P451" t="s">
        <v>8617</v>
      </c>
      <c r="Q451" t="s">
        <v>8618</v>
      </c>
      <c r="R451" t="s">
        <v>74</v>
      </c>
      <c r="S451" t="s">
        <v>74</v>
      </c>
      <c r="T451" t="s">
        <v>8662</v>
      </c>
      <c r="U451" t="s">
        <v>8663</v>
      </c>
      <c r="V451" t="s">
        <v>8664</v>
      </c>
      <c r="W451" t="s">
        <v>8665</v>
      </c>
      <c r="X451" t="s">
        <v>8666</v>
      </c>
      <c r="Y451" t="s">
        <v>8667</v>
      </c>
      <c r="Z451" t="s">
        <v>74</v>
      </c>
      <c r="AA451" t="s">
        <v>74</v>
      </c>
      <c r="AB451" t="s">
        <v>74</v>
      </c>
      <c r="AC451" t="s">
        <v>8668</v>
      </c>
      <c r="AD451" t="s">
        <v>8669</v>
      </c>
      <c r="AE451" t="s">
        <v>8670</v>
      </c>
      <c r="AF451" t="s">
        <v>74</v>
      </c>
      <c r="AG451">
        <v>10</v>
      </c>
      <c r="AH451">
        <v>1</v>
      </c>
      <c r="AI451">
        <v>1</v>
      </c>
      <c r="AJ451">
        <v>4</v>
      </c>
      <c r="AK451">
        <v>8</v>
      </c>
      <c r="AL451" t="s">
        <v>8395</v>
      </c>
      <c r="AM451" t="s">
        <v>506</v>
      </c>
      <c r="AN451" t="s">
        <v>8396</v>
      </c>
      <c r="AO451" t="s">
        <v>8627</v>
      </c>
      <c r="AP451" t="s">
        <v>74</v>
      </c>
      <c r="AQ451" t="s">
        <v>8628</v>
      </c>
      <c r="AR451" t="s">
        <v>8629</v>
      </c>
      <c r="AS451" t="s">
        <v>74</v>
      </c>
      <c r="AT451" t="s">
        <v>74</v>
      </c>
      <c r="AU451">
        <v>2022</v>
      </c>
      <c r="AV451" t="s">
        <v>74</v>
      </c>
      <c r="AW451" t="s">
        <v>74</v>
      </c>
      <c r="AX451" t="s">
        <v>74</v>
      </c>
      <c r="AY451" t="s">
        <v>74</v>
      </c>
      <c r="AZ451" t="s">
        <v>74</v>
      </c>
      <c r="BA451" t="s">
        <v>74</v>
      </c>
      <c r="BB451">
        <v>3884</v>
      </c>
      <c r="BC451">
        <v>3887</v>
      </c>
      <c r="BD451" t="s">
        <v>74</v>
      </c>
      <c r="BE451" t="s">
        <v>8671</v>
      </c>
      <c r="BF451" t="str">
        <f>HYPERLINK("http://dx.doi.org/10.1109/IGARSS46834.2022.9884159","http://dx.doi.org/10.1109/IGARSS46834.2022.9884159")</f>
        <v>http://dx.doi.org/10.1109/IGARSS46834.2022.9884159</v>
      </c>
      <c r="BG451" t="s">
        <v>74</v>
      </c>
      <c r="BH451" t="s">
        <v>74</v>
      </c>
      <c r="BI451">
        <v>4</v>
      </c>
      <c r="BJ451" t="s">
        <v>8631</v>
      </c>
      <c r="BK451" t="s">
        <v>7868</v>
      </c>
      <c r="BL451" t="s">
        <v>8632</v>
      </c>
      <c r="BM451" t="s">
        <v>8633</v>
      </c>
      <c r="BN451" t="s">
        <v>74</v>
      </c>
      <c r="BO451" t="s">
        <v>74</v>
      </c>
      <c r="BP451" t="s">
        <v>74</v>
      </c>
      <c r="BQ451" t="s">
        <v>74</v>
      </c>
      <c r="BR451" t="s">
        <v>106</v>
      </c>
      <c r="BS451" t="s">
        <v>8672</v>
      </c>
      <c r="BT451" t="str">
        <f>HYPERLINK("https%3A%2F%2Fwww.webofscience.com%2Fwos%2Fwoscc%2Ffull-record%2FWOS:000920916604014","View Full Record in Web of Science")</f>
        <v>View Full Record in Web of Science</v>
      </c>
    </row>
    <row r="452" spans="1:72" x14ac:dyDescent="0.15">
      <c r="A452" t="s">
        <v>7844</v>
      </c>
      <c r="B452" t="s">
        <v>8673</v>
      </c>
      <c r="C452" t="s">
        <v>74</v>
      </c>
      <c r="D452" t="s">
        <v>74</v>
      </c>
      <c r="E452" t="s">
        <v>8395</v>
      </c>
      <c r="F452" t="s">
        <v>8674</v>
      </c>
      <c r="G452" t="s">
        <v>74</v>
      </c>
      <c r="H452" t="s">
        <v>74</v>
      </c>
      <c r="I452" t="s">
        <v>8675</v>
      </c>
      <c r="J452" t="s">
        <v>8614</v>
      </c>
      <c r="K452" t="s">
        <v>8615</v>
      </c>
      <c r="L452" t="s">
        <v>74</v>
      </c>
      <c r="M452" t="s">
        <v>78</v>
      </c>
      <c r="N452" t="s">
        <v>7851</v>
      </c>
      <c r="O452" t="s">
        <v>8616</v>
      </c>
      <c r="P452" t="s">
        <v>8617</v>
      </c>
      <c r="Q452" t="s">
        <v>8618</v>
      </c>
      <c r="R452" t="s">
        <v>74</v>
      </c>
      <c r="S452" t="s">
        <v>74</v>
      </c>
      <c r="T452" t="s">
        <v>8676</v>
      </c>
      <c r="U452" t="s">
        <v>74</v>
      </c>
      <c r="V452" t="s">
        <v>8677</v>
      </c>
      <c r="W452" t="s">
        <v>8678</v>
      </c>
      <c r="X452" t="s">
        <v>8679</v>
      </c>
      <c r="Y452" t="s">
        <v>8680</v>
      </c>
      <c r="Z452" t="s">
        <v>74</v>
      </c>
      <c r="AA452" t="s">
        <v>8681</v>
      </c>
      <c r="AB452" t="s">
        <v>8682</v>
      </c>
      <c r="AC452" t="s">
        <v>8683</v>
      </c>
      <c r="AD452" t="s">
        <v>8684</v>
      </c>
      <c r="AE452" t="s">
        <v>8685</v>
      </c>
      <c r="AF452" t="s">
        <v>74</v>
      </c>
      <c r="AG452">
        <v>12</v>
      </c>
      <c r="AH452">
        <v>0</v>
      </c>
      <c r="AI452">
        <v>0</v>
      </c>
      <c r="AJ452">
        <v>0</v>
      </c>
      <c r="AK452">
        <v>1</v>
      </c>
      <c r="AL452" t="s">
        <v>8395</v>
      </c>
      <c r="AM452" t="s">
        <v>506</v>
      </c>
      <c r="AN452" t="s">
        <v>8396</v>
      </c>
      <c r="AO452" t="s">
        <v>8627</v>
      </c>
      <c r="AP452" t="s">
        <v>74</v>
      </c>
      <c r="AQ452" t="s">
        <v>8628</v>
      </c>
      <c r="AR452" t="s">
        <v>8629</v>
      </c>
      <c r="AS452" t="s">
        <v>74</v>
      </c>
      <c r="AT452" t="s">
        <v>74</v>
      </c>
      <c r="AU452">
        <v>2022</v>
      </c>
      <c r="AV452" t="s">
        <v>74</v>
      </c>
      <c r="AW452" t="s">
        <v>74</v>
      </c>
      <c r="AX452" t="s">
        <v>74</v>
      </c>
      <c r="AY452" t="s">
        <v>74</v>
      </c>
      <c r="AZ452" t="s">
        <v>74</v>
      </c>
      <c r="BA452" t="s">
        <v>74</v>
      </c>
      <c r="BB452">
        <v>3892</v>
      </c>
      <c r="BC452">
        <v>3895</v>
      </c>
      <c r="BD452" t="s">
        <v>74</v>
      </c>
      <c r="BE452" t="s">
        <v>8686</v>
      </c>
      <c r="BF452" t="str">
        <f>HYPERLINK("http://dx.doi.org/10.1109/IGARSS46834.2022.9884587","http://dx.doi.org/10.1109/IGARSS46834.2022.9884587")</f>
        <v>http://dx.doi.org/10.1109/IGARSS46834.2022.9884587</v>
      </c>
      <c r="BG452" t="s">
        <v>74</v>
      </c>
      <c r="BH452" t="s">
        <v>74</v>
      </c>
      <c r="BI452">
        <v>4</v>
      </c>
      <c r="BJ452" t="s">
        <v>8631</v>
      </c>
      <c r="BK452" t="s">
        <v>7868</v>
      </c>
      <c r="BL452" t="s">
        <v>8632</v>
      </c>
      <c r="BM452" t="s">
        <v>8633</v>
      </c>
      <c r="BN452" t="s">
        <v>74</v>
      </c>
      <c r="BO452" t="s">
        <v>74</v>
      </c>
      <c r="BP452" t="s">
        <v>74</v>
      </c>
      <c r="BQ452" t="s">
        <v>74</v>
      </c>
      <c r="BR452" t="s">
        <v>106</v>
      </c>
      <c r="BS452" t="s">
        <v>8687</v>
      </c>
      <c r="BT452" t="str">
        <f>HYPERLINK("https%3A%2F%2Fwww.webofscience.com%2Fwos%2Fwoscc%2Ffull-record%2FWOS:000920916604016","View Full Record in Web of Science")</f>
        <v>View Full Record in Web of Science</v>
      </c>
    </row>
    <row r="453" spans="1:72" x14ac:dyDescent="0.15">
      <c r="A453" t="s">
        <v>7844</v>
      </c>
      <c r="B453" t="s">
        <v>8688</v>
      </c>
      <c r="C453" t="s">
        <v>74</v>
      </c>
      <c r="D453" t="s">
        <v>74</v>
      </c>
      <c r="E453" t="s">
        <v>8395</v>
      </c>
      <c r="F453" t="s">
        <v>8689</v>
      </c>
      <c r="G453" t="s">
        <v>74</v>
      </c>
      <c r="H453" t="s">
        <v>74</v>
      </c>
      <c r="I453" t="s">
        <v>8690</v>
      </c>
      <c r="J453" t="s">
        <v>8614</v>
      </c>
      <c r="K453" t="s">
        <v>8615</v>
      </c>
      <c r="L453" t="s">
        <v>74</v>
      </c>
      <c r="M453" t="s">
        <v>78</v>
      </c>
      <c r="N453" t="s">
        <v>7851</v>
      </c>
      <c r="O453" t="s">
        <v>8616</v>
      </c>
      <c r="P453" t="s">
        <v>8617</v>
      </c>
      <c r="Q453" t="s">
        <v>8618</v>
      </c>
      <c r="R453" t="s">
        <v>74</v>
      </c>
      <c r="S453" t="s">
        <v>74</v>
      </c>
      <c r="T453" t="s">
        <v>8691</v>
      </c>
      <c r="U453" t="s">
        <v>74</v>
      </c>
      <c r="V453" t="s">
        <v>8692</v>
      </c>
      <c r="W453" t="s">
        <v>8693</v>
      </c>
      <c r="X453" t="s">
        <v>3903</v>
      </c>
      <c r="Y453" t="s">
        <v>8694</v>
      </c>
      <c r="Z453" t="s">
        <v>74</v>
      </c>
      <c r="AA453" t="s">
        <v>8695</v>
      </c>
      <c r="AB453" t="s">
        <v>74</v>
      </c>
      <c r="AC453" t="s">
        <v>8696</v>
      </c>
      <c r="AD453" t="s">
        <v>8697</v>
      </c>
      <c r="AE453" t="s">
        <v>8698</v>
      </c>
      <c r="AF453" t="s">
        <v>74</v>
      </c>
      <c r="AG453">
        <v>10</v>
      </c>
      <c r="AH453">
        <v>0</v>
      </c>
      <c r="AI453">
        <v>0</v>
      </c>
      <c r="AJ453">
        <v>3</v>
      </c>
      <c r="AK453">
        <v>3</v>
      </c>
      <c r="AL453" t="s">
        <v>8395</v>
      </c>
      <c r="AM453" t="s">
        <v>506</v>
      </c>
      <c r="AN453" t="s">
        <v>8396</v>
      </c>
      <c r="AO453" t="s">
        <v>8627</v>
      </c>
      <c r="AP453" t="s">
        <v>74</v>
      </c>
      <c r="AQ453" t="s">
        <v>8628</v>
      </c>
      <c r="AR453" t="s">
        <v>8629</v>
      </c>
      <c r="AS453" t="s">
        <v>74</v>
      </c>
      <c r="AT453" t="s">
        <v>74</v>
      </c>
      <c r="AU453">
        <v>2022</v>
      </c>
      <c r="AV453" t="s">
        <v>74</v>
      </c>
      <c r="AW453" t="s">
        <v>74</v>
      </c>
      <c r="AX453" t="s">
        <v>74</v>
      </c>
      <c r="AY453" t="s">
        <v>74</v>
      </c>
      <c r="AZ453" t="s">
        <v>74</v>
      </c>
      <c r="BA453" t="s">
        <v>74</v>
      </c>
      <c r="BB453">
        <v>3971</v>
      </c>
      <c r="BC453">
        <v>3974</v>
      </c>
      <c r="BD453" t="s">
        <v>74</v>
      </c>
      <c r="BE453" t="s">
        <v>8699</v>
      </c>
      <c r="BF453" t="str">
        <f>HYPERLINK("http://dx.doi.org/10.1109/IGARSS46834.2022.9884344","http://dx.doi.org/10.1109/IGARSS46834.2022.9884344")</f>
        <v>http://dx.doi.org/10.1109/IGARSS46834.2022.9884344</v>
      </c>
      <c r="BG453" t="s">
        <v>74</v>
      </c>
      <c r="BH453" t="s">
        <v>74</v>
      </c>
      <c r="BI453">
        <v>4</v>
      </c>
      <c r="BJ453" t="s">
        <v>8631</v>
      </c>
      <c r="BK453" t="s">
        <v>7868</v>
      </c>
      <c r="BL453" t="s">
        <v>8632</v>
      </c>
      <c r="BM453" t="s">
        <v>8633</v>
      </c>
      <c r="BN453" t="s">
        <v>74</v>
      </c>
      <c r="BO453" t="s">
        <v>74</v>
      </c>
      <c r="BP453" t="s">
        <v>74</v>
      </c>
      <c r="BQ453" t="s">
        <v>74</v>
      </c>
      <c r="BR453" t="s">
        <v>106</v>
      </c>
      <c r="BS453" t="s">
        <v>8700</v>
      </c>
      <c r="BT453" t="str">
        <f>HYPERLINK("https%3A%2F%2Fwww.webofscience.com%2Fwos%2Fwoscc%2Ffull-record%2FWOS:000920916604034","View Full Record in Web of Science")</f>
        <v>View Full Record in Web of Science</v>
      </c>
    </row>
    <row r="454" spans="1:72" x14ac:dyDescent="0.15">
      <c r="A454" t="s">
        <v>7844</v>
      </c>
      <c r="B454" t="s">
        <v>8701</v>
      </c>
      <c r="C454" t="s">
        <v>74</v>
      </c>
      <c r="D454" t="s">
        <v>74</v>
      </c>
      <c r="E454" t="s">
        <v>8395</v>
      </c>
      <c r="F454" t="s">
        <v>8702</v>
      </c>
      <c r="G454" t="s">
        <v>74</v>
      </c>
      <c r="H454" t="s">
        <v>74</v>
      </c>
      <c r="I454" t="s">
        <v>8703</v>
      </c>
      <c r="J454" t="s">
        <v>8614</v>
      </c>
      <c r="K454" t="s">
        <v>8615</v>
      </c>
      <c r="L454" t="s">
        <v>74</v>
      </c>
      <c r="M454" t="s">
        <v>78</v>
      </c>
      <c r="N454" t="s">
        <v>7851</v>
      </c>
      <c r="O454" t="s">
        <v>8616</v>
      </c>
      <c r="P454" t="s">
        <v>8617</v>
      </c>
      <c r="Q454" t="s">
        <v>8618</v>
      </c>
      <c r="R454" t="s">
        <v>74</v>
      </c>
      <c r="S454" t="s">
        <v>74</v>
      </c>
      <c r="T454" t="s">
        <v>8704</v>
      </c>
      <c r="U454" t="s">
        <v>74</v>
      </c>
      <c r="V454" t="s">
        <v>8705</v>
      </c>
      <c r="W454" t="s">
        <v>8706</v>
      </c>
      <c r="X454" t="s">
        <v>8707</v>
      </c>
      <c r="Y454" t="s">
        <v>8708</v>
      </c>
      <c r="Z454" t="s">
        <v>74</v>
      </c>
      <c r="AA454" t="s">
        <v>8709</v>
      </c>
      <c r="AB454" t="s">
        <v>8710</v>
      </c>
      <c r="AC454" t="s">
        <v>8711</v>
      </c>
      <c r="AD454" t="s">
        <v>8039</v>
      </c>
      <c r="AE454" t="s">
        <v>8712</v>
      </c>
      <c r="AF454" t="s">
        <v>74</v>
      </c>
      <c r="AG454">
        <v>7</v>
      </c>
      <c r="AH454">
        <v>0</v>
      </c>
      <c r="AI454">
        <v>0</v>
      </c>
      <c r="AJ454">
        <v>0</v>
      </c>
      <c r="AK454">
        <v>0</v>
      </c>
      <c r="AL454" t="s">
        <v>8395</v>
      </c>
      <c r="AM454" t="s">
        <v>506</v>
      </c>
      <c r="AN454" t="s">
        <v>8396</v>
      </c>
      <c r="AO454" t="s">
        <v>8627</v>
      </c>
      <c r="AP454" t="s">
        <v>74</v>
      </c>
      <c r="AQ454" t="s">
        <v>8628</v>
      </c>
      <c r="AR454" t="s">
        <v>8629</v>
      </c>
      <c r="AS454" t="s">
        <v>74</v>
      </c>
      <c r="AT454" t="s">
        <v>74</v>
      </c>
      <c r="AU454">
        <v>2022</v>
      </c>
      <c r="AV454" t="s">
        <v>74</v>
      </c>
      <c r="AW454" t="s">
        <v>74</v>
      </c>
      <c r="AX454" t="s">
        <v>74</v>
      </c>
      <c r="AY454" t="s">
        <v>74</v>
      </c>
      <c r="AZ454" t="s">
        <v>74</v>
      </c>
      <c r="BA454" t="s">
        <v>74</v>
      </c>
      <c r="BB454">
        <v>3975</v>
      </c>
      <c r="BC454">
        <v>3978</v>
      </c>
      <c r="BD454" t="s">
        <v>74</v>
      </c>
      <c r="BE454" t="s">
        <v>8713</v>
      </c>
      <c r="BF454" t="str">
        <f>HYPERLINK("http://dx.doi.org/10.1109/IGARSS46834.2022.9884730","http://dx.doi.org/10.1109/IGARSS46834.2022.9884730")</f>
        <v>http://dx.doi.org/10.1109/IGARSS46834.2022.9884730</v>
      </c>
      <c r="BG454" t="s">
        <v>74</v>
      </c>
      <c r="BH454" t="s">
        <v>74</v>
      </c>
      <c r="BI454">
        <v>4</v>
      </c>
      <c r="BJ454" t="s">
        <v>8631</v>
      </c>
      <c r="BK454" t="s">
        <v>7868</v>
      </c>
      <c r="BL454" t="s">
        <v>8632</v>
      </c>
      <c r="BM454" t="s">
        <v>8633</v>
      </c>
      <c r="BN454" t="s">
        <v>74</v>
      </c>
      <c r="BO454" t="s">
        <v>74</v>
      </c>
      <c r="BP454" t="s">
        <v>74</v>
      </c>
      <c r="BQ454" t="s">
        <v>74</v>
      </c>
      <c r="BR454" t="s">
        <v>106</v>
      </c>
      <c r="BS454" t="s">
        <v>8714</v>
      </c>
      <c r="BT454" t="str">
        <f>HYPERLINK("https%3A%2F%2Fwww.webofscience.com%2Fwos%2Fwoscc%2Ffull-record%2FWOS:000920916604035","View Full Record in Web of Science")</f>
        <v>View Full Record in Web of Science</v>
      </c>
    </row>
    <row r="455" spans="1:72" x14ac:dyDescent="0.15">
      <c r="A455" t="s">
        <v>7844</v>
      </c>
      <c r="B455" t="s">
        <v>8715</v>
      </c>
      <c r="C455" t="s">
        <v>74</v>
      </c>
      <c r="D455" t="s">
        <v>74</v>
      </c>
      <c r="E455" t="s">
        <v>8395</v>
      </c>
      <c r="F455" t="s">
        <v>8716</v>
      </c>
      <c r="G455" t="s">
        <v>74</v>
      </c>
      <c r="H455" t="s">
        <v>74</v>
      </c>
      <c r="I455" t="s">
        <v>8717</v>
      </c>
      <c r="J455" t="s">
        <v>8614</v>
      </c>
      <c r="K455" t="s">
        <v>8615</v>
      </c>
      <c r="L455" t="s">
        <v>74</v>
      </c>
      <c r="M455" t="s">
        <v>78</v>
      </c>
      <c r="N455" t="s">
        <v>7851</v>
      </c>
      <c r="O455" t="s">
        <v>8616</v>
      </c>
      <c r="P455" t="s">
        <v>8617</v>
      </c>
      <c r="Q455" t="s">
        <v>8618</v>
      </c>
      <c r="R455" t="s">
        <v>74</v>
      </c>
      <c r="S455" t="s">
        <v>74</v>
      </c>
      <c r="T455" t="s">
        <v>8718</v>
      </c>
      <c r="U455" t="s">
        <v>74</v>
      </c>
      <c r="V455" t="s">
        <v>8719</v>
      </c>
      <c r="W455" t="s">
        <v>8720</v>
      </c>
      <c r="X455" t="s">
        <v>8707</v>
      </c>
      <c r="Y455" t="s">
        <v>8721</v>
      </c>
      <c r="Z455" t="s">
        <v>74</v>
      </c>
      <c r="AA455" t="s">
        <v>8709</v>
      </c>
      <c r="AB455" t="s">
        <v>8710</v>
      </c>
      <c r="AC455" t="s">
        <v>8711</v>
      </c>
      <c r="AD455" t="s">
        <v>8039</v>
      </c>
      <c r="AE455" t="s">
        <v>8722</v>
      </c>
      <c r="AF455" t="s">
        <v>74</v>
      </c>
      <c r="AG455">
        <v>15</v>
      </c>
      <c r="AH455">
        <v>1</v>
      </c>
      <c r="AI455">
        <v>1</v>
      </c>
      <c r="AJ455">
        <v>0</v>
      </c>
      <c r="AK455">
        <v>0</v>
      </c>
      <c r="AL455" t="s">
        <v>8395</v>
      </c>
      <c r="AM455" t="s">
        <v>506</v>
      </c>
      <c r="AN455" t="s">
        <v>8396</v>
      </c>
      <c r="AO455" t="s">
        <v>8627</v>
      </c>
      <c r="AP455" t="s">
        <v>74</v>
      </c>
      <c r="AQ455" t="s">
        <v>8628</v>
      </c>
      <c r="AR455" t="s">
        <v>8629</v>
      </c>
      <c r="AS455" t="s">
        <v>74</v>
      </c>
      <c r="AT455" t="s">
        <v>74</v>
      </c>
      <c r="AU455">
        <v>2022</v>
      </c>
      <c r="AV455" t="s">
        <v>74</v>
      </c>
      <c r="AW455" t="s">
        <v>74</v>
      </c>
      <c r="AX455" t="s">
        <v>74</v>
      </c>
      <c r="AY455" t="s">
        <v>74</v>
      </c>
      <c r="AZ455" t="s">
        <v>74</v>
      </c>
      <c r="BA455" t="s">
        <v>74</v>
      </c>
      <c r="BB455">
        <v>3987</v>
      </c>
      <c r="BC455">
        <v>3990</v>
      </c>
      <c r="BD455" t="s">
        <v>74</v>
      </c>
      <c r="BE455" t="s">
        <v>8723</v>
      </c>
      <c r="BF455" t="str">
        <f>HYPERLINK("http://dx.doi.org/10.1109/IGARSS46834.2022.9883418","http://dx.doi.org/10.1109/IGARSS46834.2022.9883418")</f>
        <v>http://dx.doi.org/10.1109/IGARSS46834.2022.9883418</v>
      </c>
      <c r="BG455" t="s">
        <v>74</v>
      </c>
      <c r="BH455" t="s">
        <v>74</v>
      </c>
      <c r="BI455">
        <v>4</v>
      </c>
      <c r="BJ455" t="s">
        <v>8631</v>
      </c>
      <c r="BK455" t="s">
        <v>7868</v>
      </c>
      <c r="BL455" t="s">
        <v>8632</v>
      </c>
      <c r="BM455" t="s">
        <v>8633</v>
      </c>
      <c r="BN455" t="s">
        <v>74</v>
      </c>
      <c r="BO455" t="s">
        <v>74</v>
      </c>
      <c r="BP455" t="s">
        <v>74</v>
      </c>
      <c r="BQ455" t="s">
        <v>74</v>
      </c>
      <c r="BR455" t="s">
        <v>106</v>
      </c>
      <c r="BS455" t="s">
        <v>8724</v>
      </c>
      <c r="BT455" t="str">
        <f>HYPERLINK("https%3A%2F%2Fwww.webofscience.com%2Fwos%2Fwoscc%2Ffull-record%2FWOS:000920916604038","View Full Record in Web of Science")</f>
        <v>View Full Record in Web of Science</v>
      </c>
    </row>
    <row r="456" spans="1:72" x14ac:dyDescent="0.15">
      <c r="A456" t="s">
        <v>7844</v>
      </c>
      <c r="B456" t="s">
        <v>8725</v>
      </c>
      <c r="C456" t="s">
        <v>74</v>
      </c>
      <c r="D456" t="s">
        <v>74</v>
      </c>
      <c r="E456" t="s">
        <v>8395</v>
      </c>
      <c r="F456" t="s">
        <v>8726</v>
      </c>
      <c r="G456" t="s">
        <v>74</v>
      </c>
      <c r="H456" t="s">
        <v>74</v>
      </c>
      <c r="I456" t="s">
        <v>8727</v>
      </c>
      <c r="J456" t="s">
        <v>8614</v>
      </c>
      <c r="K456" t="s">
        <v>8615</v>
      </c>
      <c r="L456" t="s">
        <v>74</v>
      </c>
      <c r="M456" t="s">
        <v>78</v>
      </c>
      <c r="N456" t="s">
        <v>7851</v>
      </c>
      <c r="O456" t="s">
        <v>8616</v>
      </c>
      <c r="P456" t="s">
        <v>8617</v>
      </c>
      <c r="Q456" t="s">
        <v>8618</v>
      </c>
      <c r="R456" t="s">
        <v>74</v>
      </c>
      <c r="S456" t="s">
        <v>74</v>
      </c>
      <c r="T456" t="s">
        <v>8728</v>
      </c>
      <c r="U456" t="s">
        <v>74</v>
      </c>
      <c r="V456" t="s">
        <v>8729</v>
      </c>
      <c r="W456" t="s">
        <v>74</v>
      </c>
      <c r="X456" t="s">
        <v>74</v>
      </c>
      <c r="Y456" t="s">
        <v>74</v>
      </c>
      <c r="Z456" t="s">
        <v>74</v>
      </c>
      <c r="AA456" t="s">
        <v>74</v>
      </c>
      <c r="AB456" t="s">
        <v>8730</v>
      </c>
      <c r="AC456" t="s">
        <v>74</v>
      </c>
      <c r="AD456" t="s">
        <v>74</v>
      </c>
      <c r="AE456" t="s">
        <v>74</v>
      </c>
      <c r="AF456" t="s">
        <v>74</v>
      </c>
      <c r="AG456">
        <v>13</v>
      </c>
      <c r="AH456">
        <v>1</v>
      </c>
      <c r="AI456">
        <v>1</v>
      </c>
      <c r="AJ456">
        <v>2</v>
      </c>
      <c r="AK456">
        <v>2</v>
      </c>
      <c r="AL456" t="s">
        <v>8395</v>
      </c>
      <c r="AM456" t="s">
        <v>506</v>
      </c>
      <c r="AN456" t="s">
        <v>8396</v>
      </c>
      <c r="AO456" t="s">
        <v>8627</v>
      </c>
      <c r="AP456" t="s">
        <v>74</v>
      </c>
      <c r="AQ456" t="s">
        <v>8628</v>
      </c>
      <c r="AR456" t="s">
        <v>8629</v>
      </c>
      <c r="AS456" t="s">
        <v>74</v>
      </c>
      <c r="AT456" t="s">
        <v>74</v>
      </c>
      <c r="AU456">
        <v>2022</v>
      </c>
      <c r="AV456" t="s">
        <v>74</v>
      </c>
      <c r="AW456" t="s">
        <v>74</v>
      </c>
      <c r="AX456" t="s">
        <v>74</v>
      </c>
      <c r="AY456" t="s">
        <v>74</v>
      </c>
      <c r="AZ456" t="s">
        <v>74</v>
      </c>
      <c r="BA456" t="s">
        <v>74</v>
      </c>
      <c r="BB456">
        <v>4300</v>
      </c>
      <c r="BC456">
        <v>4303</v>
      </c>
      <c r="BD456" t="s">
        <v>74</v>
      </c>
      <c r="BE456" t="s">
        <v>8731</v>
      </c>
      <c r="BF456" t="str">
        <f>HYPERLINK("http://dx.doi.org/10.1109/IGARSS46834.2022.9884939","http://dx.doi.org/10.1109/IGARSS46834.2022.9884939")</f>
        <v>http://dx.doi.org/10.1109/IGARSS46834.2022.9884939</v>
      </c>
      <c r="BG456" t="s">
        <v>74</v>
      </c>
      <c r="BH456" t="s">
        <v>74</v>
      </c>
      <c r="BI456">
        <v>4</v>
      </c>
      <c r="BJ456" t="s">
        <v>8631</v>
      </c>
      <c r="BK456" t="s">
        <v>7868</v>
      </c>
      <c r="BL456" t="s">
        <v>8632</v>
      </c>
      <c r="BM456" t="s">
        <v>8633</v>
      </c>
      <c r="BN456" t="s">
        <v>74</v>
      </c>
      <c r="BO456" t="s">
        <v>74</v>
      </c>
      <c r="BP456" t="s">
        <v>74</v>
      </c>
      <c r="BQ456" t="s">
        <v>74</v>
      </c>
      <c r="BR456" t="s">
        <v>106</v>
      </c>
      <c r="BS456" t="s">
        <v>8732</v>
      </c>
      <c r="BT456" t="str">
        <f>HYPERLINK("https%3A%2F%2Fwww.webofscience.com%2Fwos%2Fwoscc%2Ffull-record%2FWOS:000920916604112","View Full Record in Web of Science")</f>
        <v>View Full Record in Web of Science</v>
      </c>
    </row>
    <row r="457" spans="1:72" x14ac:dyDescent="0.15">
      <c r="A457" t="s">
        <v>7844</v>
      </c>
      <c r="B457" t="s">
        <v>8733</v>
      </c>
      <c r="C457" t="s">
        <v>74</v>
      </c>
      <c r="D457" t="s">
        <v>74</v>
      </c>
      <c r="E457" t="s">
        <v>8395</v>
      </c>
      <c r="F457" t="s">
        <v>8734</v>
      </c>
      <c r="G457" t="s">
        <v>74</v>
      </c>
      <c r="H457" t="s">
        <v>74</v>
      </c>
      <c r="I457" t="s">
        <v>8735</v>
      </c>
      <c r="J457" t="s">
        <v>8614</v>
      </c>
      <c r="K457" t="s">
        <v>8615</v>
      </c>
      <c r="L457" t="s">
        <v>74</v>
      </c>
      <c r="M457" t="s">
        <v>78</v>
      </c>
      <c r="N457" t="s">
        <v>7851</v>
      </c>
      <c r="O457" t="s">
        <v>8616</v>
      </c>
      <c r="P457" t="s">
        <v>8617</v>
      </c>
      <c r="Q457" t="s">
        <v>8618</v>
      </c>
      <c r="R457" t="s">
        <v>74</v>
      </c>
      <c r="S457" t="s">
        <v>74</v>
      </c>
      <c r="T457" t="s">
        <v>8736</v>
      </c>
      <c r="U457" t="s">
        <v>74</v>
      </c>
      <c r="V457" t="s">
        <v>8737</v>
      </c>
      <c r="W457" t="s">
        <v>8738</v>
      </c>
      <c r="X457" t="s">
        <v>8739</v>
      </c>
      <c r="Y457" t="s">
        <v>8740</v>
      </c>
      <c r="Z457" t="s">
        <v>74</v>
      </c>
      <c r="AA457" t="s">
        <v>8741</v>
      </c>
      <c r="AB457" t="s">
        <v>74</v>
      </c>
      <c r="AC457" t="s">
        <v>74</v>
      </c>
      <c r="AD457" t="s">
        <v>74</v>
      </c>
      <c r="AE457" t="s">
        <v>74</v>
      </c>
      <c r="AF457" t="s">
        <v>74</v>
      </c>
      <c r="AG457">
        <v>4</v>
      </c>
      <c r="AH457">
        <v>0</v>
      </c>
      <c r="AI457">
        <v>0</v>
      </c>
      <c r="AJ457">
        <v>0</v>
      </c>
      <c r="AK457">
        <v>0</v>
      </c>
      <c r="AL457" t="s">
        <v>8395</v>
      </c>
      <c r="AM457" t="s">
        <v>506</v>
      </c>
      <c r="AN457" t="s">
        <v>8396</v>
      </c>
      <c r="AO457" t="s">
        <v>8627</v>
      </c>
      <c r="AP457" t="s">
        <v>74</v>
      </c>
      <c r="AQ457" t="s">
        <v>8628</v>
      </c>
      <c r="AR457" t="s">
        <v>8629</v>
      </c>
      <c r="AS457" t="s">
        <v>74</v>
      </c>
      <c r="AT457" t="s">
        <v>74</v>
      </c>
      <c r="AU457">
        <v>2022</v>
      </c>
      <c r="AV457" t="s">
        <v>74</v>
      </c>
      <c r="AW457" t="s">
        <v>74</v>
      </c>
      <c r="AX457" t="s">
        <v>74</v>
      </c>
      <c r="AY457" t="s">
        <v>74</v>
      </c>
      <c r="AZ457" t="s">
        <v>74</v>
      </c>
      <c r="BA457" t="s">
        <v>74</v>
      </c>
      <c r="BB457">
        <v>4750</v>
      </c>
      <c r="BC457">
        <v>4753</v>
      </c>
      <c r="BD457" t="s">
        <v>74</v>
      </c>
      <c r="BE457" t="s">
        <v>8742</v>
      </c>
      <c r="BF457" t="str">
        <f>HYPERLINK("http://dx.doi.org/10.1109/IGARSS46834.2022.9883808","http://dx.doi.org/10.1109/IGARSS46834.2022.9883808")</f>
        <v>http://dx.doi.org/10.1109/IGARSS46834.2022.9883808</v>
      </c>
      <c r="BG457" t="s">
        <v>74</v>
      </c>
      <c r="BH457" t="s">
        <v>74</v>
      </c>
      <c r="BI457">
        <v>4</v>
      </c>
      <c r="BJ457" t="s">
        <v>8631</v>
      </c>
      <c r="BK457" t="s">
        <v>7868</v>
      </c>
      <c r="BL457" t="s">
        <v>8632</v>
      </c>
      <c r="BM457" t="s">
        <v>8633</v>
      </c>
      <c r="BN457" t="s">
        <v>74</v>
      </c>
      <c r="BO457" t="s">
        <v>74</v>
      </c>
      <c r="BP457" t="s">
        <v>74</v>
      </c>
      <c r="BQ457" t="s">
        <v>74</v>
      </c>
      <c r="BR457" t="s">
        <v>106</v>
      </c>
      <c r="BS457" t="s">
        <v>8743</v>
      </c>
      <c r="BT457" t="str">
        <f>HYPERLINK("https%3A%2F%2Fwww.webofscience.com%2Fwos%2Fwoscc%2Ffull-record%2FWOS:000920916604220","View Full Record in Web of Science")</f>
        <v>View Full Record in Web of Science</v>
      </c>
    </row>
    <row r="458" spans="1:72" x14ac:dyDescent="0.15">
      <c r="A458" t="s">
        <v>7844</v>
      </c>
      <c r="B458" t="s">
        <v>8744</v>
      </c>
      <c r="C458" t="s">
        <v>74</v>
      </c>
      <c r="D458" t="s">
        <v>74</v>
      </c>
      <c r="E458" t="s">
        <v>8395</v>
      </c>
      <c r="F458" t="s">
        <v>8745</v>
      </c>
      <c r="G458" t="s">
        <v>74</v>
      </c>
      <c r="H458" t="s">
        <v>74</v>
      </c>
      <c r="I458" t="s">
        <v>8746</v>
      </c>
      <c r="J458" t="s">
        <v>8614</v>
      </c>
      <c r="K458" t="s">
        <v>8615</v>
      </c>
      <c r="L458" t="s">
        <v>74</v>
      </c>
      <c r="M458" t="s">
        <v>78</v>
      </c>
      <c r="N458" t="s">
        <v>7851</v>
      </c>
      <c r="O458" t="s">
        <v>8616</v>
      </c>
      <c r="P458" t="s">
        <v>8617</v>
      </c>
      <c r="Q458" t="s">
        <v>8618</v>
      </c>
      <c r="R458" t="s">
        <v>74</v>
      </c>
      <c r="S458" t="s">
        <v>74</v>
      </c>
      <c r="T458" t="s">
        <v>8747</v>
      </c>
      <c r="U458" t="s">
        <v>74</v>
      </c>
      <c r="V458" t="s">
        <v>8748</v>
      </c>
      <c r="W458" t="s">
        <v>8749</v>
      </c>
      <c r="X458" t="s">
        <v>8750</v>
      </c>
      <c r="Y458" t="s">
        <v>8751</v>
      </c>
      <c r="Z458" t="s">
        <v>74</v>
      </c>
      <c r="AA458" t="s">
        <v>8752</v>
      </c>
      <c r="AB458" t="s">
        <v>8753</v>
      </c>
      <c r="AC458" t="s">
        <v>8754</v>
      </c>
      <c r="AD458" t="s">
        <v>8755</v>
      </c>
      <c r="AE458" t="s">
        <v>8756</v>
      </c>
      <c r="AF458" t="s">
        <v>74</v>
      </c>
      <c r="AG458">
        <v>6</v>
      </c>
      <c r="AH458">
        <v>0</v>
      </c>
      <c r="AI458">
        <v>0</v>
      </c>
      <c r="AJ458">
        <v>0</v>
      </c>
      <c r="AK458">
        <v>0</v>
      </c>
      <c r="AL458" t="s">
        <v>8395</v>
      </c>
      <c r="AM458" t="s">
        <v>506</v>
      </c>
      <c r="AN458" t="s">
        <v>8396</v>
      </c>
      <c r="AO458" t="s">
        <v>8627</v>
      </c>
      <c r="AP458" t="s">
        <v>74</v>
      </c>
      <c r="AQ458" t="s">
        <v>8628</v>
      </c>
      <c r="AR458" t="s">
        <v>8629</v>
      </c>
      <c r="AS458" t="s">
        <v>74</v>
      </c>
      <c r="AT458" t="s">
        <v>74</v>
      </c>
      <c r="AU458">
        <v>2022</v>
      </c>
      <c r="AV458" t="s">
        <v>74</v>
      </c>
      <c r="AW458" t="s">
        <v>74</v>
      </c>
      <c r="AX458" t="s">
        <v>74</v>
      </c>
      <c r="AY458" t="s">
        <v>74</v>
      </c>
      <c r="AZ458" t="s">
        <v>74</v>
      </c>
      <c r="BA458" t="s">
        <v>74</v>
      </c>
      <c r="BB458">
        <v>7367</v>
      </c>
      <c r="BC458">
        <v>7370</v>
      </c>
      <c r="BD458" t="s">
        <v>74</v>
      </c>
      <c r="BE458" t="s">
        <v>8757</v>
      </c>
      <c r="BF458" t="str">
        <f>HYPERLINK("http://dx.doi.org/10.1109/IGARSS46834.2022.9883561","http://dx.doi.org/10.1109/IGARSS46834.2022.9883561")</f>
        <v>http://dx.doi.org/10.1109/IGARSS46834.2022.9883561</v>
      </c>
      <c r="BG458" t="s">
        <v>74</v>
      </c>
      <c r="BH458" t="s">
        <v>74</v>
      </c>
      <c r="BI458">
        <v>4</v>
      </c>
      <c r="BJ458" t="s">
        <v>8631</v>
      </c>
      <c r="BK458" t="s">
        <v>7868</v>
      </c>
      <c r="BL458" t="s">
        <v>8632</v>
      </c>
      <c r="BM458" t="s">
        <v>8633</v>
      </c>
      <c r="BN458" t="s">
        <v>74</v>
      </c>
      <c r="BO458" t="s">
        <v>74</v>
      </c>
      <c r="BP458" t="s">
        <v>74</v>
      </c>
      <c r="BQ458" t="s">
        <v>74</v>
      </c>
      <c r="BR458" t="s">
        <v>106</v>
      </c>
      <c r="BS458" t="s">
        <v>8758</v>
      </c>
      <c r="BT458" t="str">
        <f>HYPERLINK("https%3A%2F%2Fwww.webofscience.com%2Fwos%2Fwoscc%2Ffull-record%2FWOS:000920916607074","View Full Record in Web of Science")</f>
        <v>View Full Record in Web of Science</v>
      </c>
    </row>
    <row r="459" spans="1:72" x14ac:dyDescent="0.15">
      <c r="A459" t="s">
        <v>7844</v>
      </c>
      <c r="B459" t="s">
        <v>8759</v>
      </c>
      <c r="C459" t="s">
        <v>74</v>
      </c>
      <c r="D459" t="s">
        <v>74</v>
      </c>
      <c r="E459" t="s">
        <v>8395</v>
      </c>
      <c r="F459" t="s">
        <v>8760</v>
      </c>
      <c r="G459" t="s">
        <v>74</v>
      </c>
      <c r="H459" t="s">
        <v>74</v>
      </c>
      <c r="I459" t="s">
        <v>8761</v>
      </c>
      <c r="J459" t="s">
        <v>8614</v>
      </c>
      <c r="K459" t="s">
        <v>8615</v>
      </c>
      <c r="L459" t="s">
        <v>74</v>
      </c>
      <c r="M459" t="s">
        <v>78</v>
      </c>
      <c r="N459" t="s">
        <v>7851</v>
      </c>
      <c r="O459" t="s">
        <v>8616</v>
      </c>
      <c r="P459" t="s">
        <v>8617</v>
      </c>
      <c r="Q459" t="s">
        <v>8618</v>
      </c>
      <c r="R459" t="s">
        <v>74</v>
      </c>
      <c r="S459" t="s">
        <v>74</v>
      </c>
      <c r="T459" t="s">
        <v>8762</v>
      </c>
      <c r="U459" t="s">
        <v>74</v>
      </c>
      <c r="V459" t="s">
        <v>8763</v>
      </c>
      <c r="W459" t="s">
        <v>8764</v>
      </c>
      <c r="X459" t="s">
        <v>8765</v>
      </c>
      <c r="Y459" t="s">
        <v>8766</v>
      </c>
      <c r="Z459" t="s">
        <v>74</v>
      </c>
      <c r="AA459" t="s">
        <v>74</v>
      </c>
      <c r="AB459" t="s">
        <v>8767</v>
      </c>
      <c r="AC459" t="s">
        <v>74</v>
      </c>
      <c r="AD459" t="s">
        <v>74</v>
      </c>
      <c r="AE459" t="s">
        <v>74</v>
      </c>
      <c r="AF459" t="s">
        <v>74</v>
      </c>
      <c r="AG459">
        <v>9</v>
      </c>
      <c r="AH459">
        <v>1</v>
      </c>
      <c r="AI459">
        <v>1</v>
      </c>
      <c r="AJ459">
        <v>2</v>
      </c>
      <c r="AK459">
        <v>3</v>
      </c>
      <c r="AL459" t="s">
        <v>8395</v>
      </c>
      <c r="AM459" t="s">
        <v>506</v>
      </c>
      <c r="AN459" t="s">
        <v>8396</v>
      </c>
      <c r="AO459" t="s">
        <v>8627</v>
      </c>
      <c r="AP459" t="s">
        <v>74</v>
      </c>
      <c r="AQ459" t="s">
        <v>8628</v>
      </c>
      <c r="AR459" t="s">
        <v>8629</v>
      </c>
      <c r="AS459" t="s">
        <v>74</v>
      </c>
      <c r="AT459" t="s">
        <v>74</v>
      </c>
      <c r="AU459">
        <v>2022</v>
      </c>
      <c r="AV459" t="s">
        <v>74</v>
      </c>
      <c r="AW459" t="s">
        <v>74</v>
      </c>
      <c r="AX459" t="s">
        <v>74</v>
      </c>
      <c r="AY459" t="s">
        <v>74</v>
      </c>
      <c r="AZ459" t="s">
        <v>74</v>
      </c>
      <c r="BA459" t="s">
        <v>74</v>
      </c>
      <c r="BB459">
        <v>7405</v>
      </c>
      <c r="BC459">
        <v>7408</v>
      </c>
      <c r="BD459" t="s">
        <v>74</v>
      </c>
      <c r="BE459" t="s">
        <v>8768</v>
      </c>
      <c r="BF459" t="str">
        <f>HYPERLINK("http://dx.doi.org/10.1109/IGARSS46834.2022.9883583","http://dx.doi.org/10.1109/IGARSS46834.2022.9883583")</f>
        <v>http://dx.doi.org/10.1109/IGARSS46834.2022.9883583</v>
      </c>
      <c r="BG459" t="s">
        <v>74</v>
      </c>
      <c r="BH459" t="s">
        <v>74</v>
      </c>
      <c r="BI459">
        <v>4</v>
      </c>
      <c r="BJ459" t="s">
        <v>8631</v>
      </c>
      <c r="BK459" t="s">
        <v>7868</v>
      </c>
      <c r="BL459" t="s">
        <v>8632</v>
      </c>
      <c r="BM459" t="s">
        <v>8633</v>
      </c>
      <c r="BN459" t="s">
        <v>74</v>
      </c>
      <c r="BO459" t="s">
        <v>74</v>
      </c>
      <c r="BP459" t="s">
        <v>74</v>
      </c>
      <c r="BQ459" t="s">
        <v>74</v>
      </c>
      <c r="BR459" t="s">
        <v>106</v>
      </c>
      <c r="BS459" t="s">
        <v>8769</v>
      </c>
      <c r="BT459" t="str">
        <f>HYPERLINK("https%3A%2F%2Fwww.webofscience.com%2Fwos%2Fwoscc%2Ffull-record%2FWOS:000920916607083","View Full Record in Web of Science")</f>
        <v>View Full Record in Web of Science</v>
      </c>
    </row>
    <row r="460" spans="1:72" x14ac:dyDescent="0.15">
      <c r="A460" t="s">
        <v>72</v>
      </c>
      <c r="B460" t="s">
        <v>8770</v>
      </c>
      <c r="C460" t="s">
        <v>74</v>
      </c>
      <c r="D460" t="s">
        <v>74</v>
      </c>
      <c r="E460" t="s">
        <v>74</v>
      </c>
      <c r="F460" t="s">
        <v>8771</v>
      </c>
      <c r="G460" t="s">
        <v>74</v>
      </c>
      <c r="H460" t="s">
        <v>74</v>
      </c>
      <c r="I460" t="s">
        <v>8772</v>
      </c>
      <c r="J460" t="s">
        <v>8773</v>
      </c>
      <c r="K460" t="s">
        <v>74</v>
      </c>
      <c r="L460" t="s">
        <v>74</v>
      </c>
      <c r="M460" t="s">
        <v>78</v>
      </c>
      <c r="N460" t="s">
        <v>79</v>
      </c>
      <c r="O460" t="s">
        <v>74</v>
      </c>
      <c r="P460" t="s">
        <v>74</v>
      </c>
      <c r="Q460" t="s">
        <v>74</v>
      </c>
      <c r="R460" t="s">
        <v>74</v>
      </c>
      <c r="S460" t="s">
        <v>74</v>
      </c>
      <c r="T460" t="s">
        <v>8774</v>
      </c>
      <c r="U460" t="s">
        <v>8775</v>
      </c>
      <c r="V460" t="s">
        <v>8776</v>
      </c>
      <c r="W460" t="s">
        <v>8777</v>
      </c>
      <c r="X460" t="s">
        <v>8778</v>
      </c>
      <c r="Y460" t="s">
        <v>8779</v>
      </c>
      <c r="Z460" t="s">
        <v>8780</v>
      </c>
      <c r="AA460" t="s">
        <v>8781</v>
      </c>
      <c r="AB460" t="s">
        <v>8782</v>
      </c>
      <c r="AC460" t="s">
        <v>8783</v>
      </c>
      <c r="AD460" t="s">
        <v>8784</v>
      </c>
      <c r="AE460" t="s">
        <v>8785</v>
      </c>
      <c r="AF460" t="s">
        <v>74</v>
      </c>
      <c r="AG460">
        <v>68</v>
      </c>
      <c r="AH460">
        <v>0</v>
      </c>
      <c r="AI460">
        <v>0</v>
      </c>
      <c r="AJ460">
        <v>1</v>
      </c>
      <c r="AK460">
        <v>8</v>
      </c>
      <c r="AL460" t="s">
        <v>8786</v>
      </c>
      <c r="AM460" t="s">
        <v>436</v>
      </c>
      <c r="AN460" t="s">
        <v>8787</v>
      </c>
      <c r="AO460" t="s">
        <v>8788</v>
      </c>
      <c r="AP460" t="s">
        <v>8789</v>
      </c>
      <c r="AQ460" t="s">
        <v>74</v>
      </c>
      <c r="AR460" t="s">
        <v>8790</v>
      </c>
      <c r="AS460" t="s">
        <v>8791</v>
      </c>
      <c r="AT460" t="s">
        <v>74</v>
      </c>
      <c r="AU460">
        <v>2022</v>
      </c>
      <c r="AV460">
        <v>72</v>
      </c>
      <c r="AW460">
        <v>10</v>
      </c>
      <c r="AX460" t="s">
        <v>74</v>
      </c>
      <c r="AY460" t="s">
        <v>74</v>
      </c>
      <c r="AZ460" t="s">
        <v>74</v>
      </c>
      <c r="BA460" t="s">
        <v>74</v>
      </c>
      <c r="BB460" t="s">
        <v>74</v>
      </c>
      <c r="BC460" t="s">
        <v>74</v>
      </c>
      <c r="BD460">
        <v>5541</v>
      </c>
      <c r="BE460" t="s">
        <v>8792</v>
      </c>
      <c r="BF460" t="str">
        <f>HYPERLINK("http://dx.doi.org/10.1099/ijsem.0.005541","http://dx.doi.org/10.1099/ijsem.0.005541")</f>
        <v>http://dx.doi.org/10.1099/ijsem.0.005541</v>
      </c>
      <c r="BG460" t="s">
        <v>74</v>
      </c>
      <c r="BH460" t="s">
        <v>74</v>
      </c>
      <c r="BI460">
        <v>10</v>
      </c>
      <c r="BJ460" t="s">
        <v>747</v>
      </c>
      <c r="BK460" t="s">
        <v>103</v>
      </c>
      <c r="BL460" t="s">
        <v>747</v>
      </c>
      <c r="BM460" t="s">
        <v>8793</v>
      </c>
      <c r="BN460">
        <v>36256564</v>
      </c>
      <c r="BO460" t="s">
        <v>74</v>
      </c>
      <c r="BP460" t="s">
        <v>74</v>
      </c>
      <c r="BQ460" t="s">
        <v>74</v>
      </c>
      <c r="BR460" t="s">
        <v>106</v>
      </c>
      <c r="BS460" t="s">
        <v>8794</v>
      </c>
      <c r="BT460" t="str">
        <f>HYPERLINK("https%3A%2F%2Fwww.webofscience.com%2Fwos%2Fwoscc%2Ffull-record%2FWOS:000962952800005","View Full Record in Web of Science")</f>
        <v>View Full Record in Web of Science</v>
      </c>
    </row>
    <row r="461" spans="1:72" x14ac:dyDescent="0.15">
      <c r="A461" t="s">
        <v>72</v>
      </c>
      <c r="B461" t="s">
        <v>8795</v>
      </c>
      <c r="C461" t="s">
        <v>74</v>
      </c>
      <c r="D461" t="s">
        <v>74</v>
      </c>
      <c r="E461" t="s">
        <v>74</v>
      </c>
      <c r="F461" t="s">
        <v>8796</v>
      </c>
      <c r="G461" t="s">
        <v>74</v>
      </c>
      <c r="H461" t="s">
        <v>74</v>
      </c>
      <c r="I461" t="s">
        <v>8797</v>
      </c>
      <c r="J461" t="s">
        <v>8798</v>
      </c>
      <c r="K461" t="s">
        <v>74</v>
      </c>
      <c r="L461" t="s">
        <v>74</v>
      </c>
      <c r="M461" t="s">
        <v>78</v>
      </c>
      <c r="N461" t="s">
        <v>79</v>
      </c>
      <c r="O461" t="s">
        <v>74</v>
      </c>
      <c r="P461" t="s">
        <v>74</v>
      </c>
      <c r="Q461" t="s">
        <v>74</v>
      </c>
      <c r="R461" t="s">
        <v>74</v>
      </c>
      <c r="S461" t="s">
        <v>74</v>
      </c>
      <c r="T461" t="s">
        <v>8799</v>
      </c>
      <c r="U461" t="s">
        <v>8800</v>
      </c>
      <c r="V461" t="s">
        <v>8801</v>
      </c>
      <c r="W461" t="s">
        <v>8802</v>
      </c>
      <c r="X461" t="s">
        <v>74</v>
      </c>
      <c r="Y461" t="s">
        <v>8803</v>
      </c>
      <c r="Z461" t="s">
        <v>8804</v>
      </c>
      <c r="AA461" t="s">
        <v>74</v>
      </c>
      <c r="AB461" t="s">
        <v>74</v>
      </c>
      <c r="AC461" t="s">
        <v>74</v>
      </c>
      <c r="AD461" t="s">
        <v>74</v>
      </c>
      <c r="AE461" t="s">
        <v>74</v>
      </c>
      <c r="AF461" t="s">
        <v>74</v>
      </c>
      <c r="AG461">
        <v>58</v>
      </c>
      <c r="AH461">
        <v>0</v>
      </c>
      <c r="AI461">
        <v>0</v>
      </c>
      <c r="AJ461">
        <v>1</v>
      </c>
      <c r="AK461">
        <v>2</v>
      </c>
      <c r="AL461" t="s">
        <v>8805</v>
      </c>
      <c r="AM461" t="s">
        <v>8806</v>
      </c>
      <c r="AN461" t="s">
        <v>8807</v>
      </c>
      <c r="AO461" t="s">
        <v>8808</v>
      </c>
      <c r="AP461" t="s">
        <v>8809</v>
      </c>
      <c r="AQ461" t="s">
        <v>74</v>
      </c>
      <c r="AR461" t="s">
        <v>8798</v>
      </c>
      <c r="AS461" t="s">
        <v>8798</v>
      </c>
      <c r="AT461" t="s">
        <v>74</v>
      </c>
      <c r="AU461">
        <v>2022</v>
      </c>
      <c r="AV461">
        <v>69</v>
      </c>
      <c r="AW461">
        <v>4</v>
      </c>
      <c r="AX461" t="s">
        <v>74</v>
      </c>
      <c r="AY461" t="s">
        <v>74</v>
      </c>
      <c r="AZ461" t="s">
        <v>74</v>
      </c>
      <c r="BA461" t="s">
        <v>74</v>
      </c>
      <c r="BB461">
        <v>243</v>
      </c>
      <c r="BC461">
        <v>255</v>
      </c>
      <c r="BD461" t="s">
        <v>74</v>
      </c>
      <c r="BE461" t="s">
        <v>74</v>
      </c>
      <c r="BF461" t="s">
        <v>74</v>
      </c>
      <c r="BG461" t="s">
        <v>74</v>
      </c>
      <c r="BH461" t="s">
        <v>74</v>
      </c>
      <c r="BI461">
        <v>13</v>
      </c>
      <c r="BJ461" t="s">
        <v>8810</v>
      </c>
      <c r="BK461" t="s">
        <v>103</v>
      </c>
      <c r="BL461" t="s">
        <v>3187</v>
      </c>
      <c r="BM461" t="s">
        <v>8811</v>
      </c>
      <c r="BN461" t="s">
        <v>74</v>
      </c>
      <c r="BO461" t="s">
        <v>74</v>
      </c>
      <c r="BP461" t="s">
        <v>74</v>
      </c>
      <c r="BQ461" t="s">
        <v>74</v>
      </c>
      <c r="BR461" t="s">
        <v>106</v>
      </c>
      <c r="BS461" t="s">
        <v>8812</v>
      </c>
      <c r="BT461" t="str">
        <f>HYPERLINK("https%3A%2F%2Fwww.webofscience.com%2Fwos%2Fwoscc%2Ffull-record%2FWOS:000966720600004","View Full Record in Web of Science")</f>
        <v>View Full Record in Web of Science</v>
      </c>
    </row>
    <row r="462" spans="1:72" x14ac:dyDescent="0.15">
      <c r="A462" t="s">
        <v>72</v>
      </c>
      <c r="B462" t="s">
        <v>8813</v>
      </c>
      <c r="C462" t="s">
        <v>74</v>
      </c>
      <c r="D462" t="s">
        <v>74</v>
      </c>
      <c r="E462" t="s">
        <v>74</v>
      </c>
      <c r="F462" t="s">
        <v>8814</v>
      </c>
      <c r="G462" t="s">
        <v>74</v>
      </c>
      <c r="H462" t="s">
        <v>74</v>
      </c>
      <c r="I462" t="s">
        <v>8815</v>
      </c>
      <c r="J462" t="s">
        <v>8816</v>
      </c>
      <c r="K462" t="s">
        <v>74</v>
      </c>
      <c r="L462" t="s">
        <v>74</v>
      </c>
      <c r="M462" t="s">
        <v>78</v>
      </c>
      <c r="N462" t="s">
        <v>79</v>
      </c>
      <c r="O462" t="s">
        <v>74</v>
      </c>
      <c r="P462" t="s">
        <v>74</v>
      </c>
      <c r="Q462" t="s">
        <v>74</v>
      </c>
      <c r="R462" t="s">
        <v>74</v>
      </c>
      <c r="S462" t="s">
        <v>74</v>
      </c>
      <c r="T462" t="s">
        <v>8817</v>
      </c>
      <c r="U462" t="s">
        <v>8818</v>
      </c>
      <c r="V462" t="s">
        <v>8819</v>
      </c>
      <c r="W462" t="s">
        <v>8820</v>
      </c>
      <c r="X462" t="s">
        <v>8821</v>
      </c>
      <c r="Y462" t="s">
        <v>8822</v>
      </c>
      <c r="Z462" t="s">
        <v>8823</v>
      </c>
      <c r="AA462" t="s">
        <v>8824</v>
      </c>
      <c r="AB462" t="s">
        <v>8825</v>
      </c>
      <c r="AC462" t="s">
        <v>8826</v>
      </c>
      <c r="AD462" t="s">
        <v>8827</v>
      </c>
      <c r="AE462" t="s">
        <v>8828</v>
      </c>
      <c r="AF462" t="s">
        <v>74</v>
      </c>
      <c r="AG462">
        <v>51</v>
      </c>
      <c r="AH462">
        <v>0</v>
      </c>
      <c r="AI462">
        <v>0</v>
      </c>
      <c r="AJ462">
        <v>0</v>
      </c>
      <c r="AK462">
        <v>2</v>
      </c>
      <c r="AL462" t="s">
        <v>8829</v>
      </c>
      <c r="AM462" t="s">
        <v>8830</v>
      </c>
      <c r="AN462" t="s">
        <v>8831</v>
      </c>
      <c r="AO462" t="s">
        <v>8832</v>
      </c>
      <c r="AP462" t="s">
        <v>8833</v>
      </c>
      <c r="AQ462" t="s">
        <v>74</v>
      </c>
      <c r="AR462" t="s">
        <v>8834</v>
      </c>
      <c r="AS462" t="s">
        <v>8835</v>
      </c>
      <c r="AT462" t="s">
        <v>74</v>
      </c>
      <c r="AU462">
        <v>2022</v>
      </c>
      <c r="AV462">
        <v>43</v>
      </c>
      <c r="AW462">
        <v>3</v>
      </c>
      <c r="AX462" t="s">
        <v>74</v>
      </c>
      <c r="AY462" t="s">
        <v>74</v>
      </c>
      <c r="AZ462" t="s">
        <v>74</v>
      </c>
      <c r="BA462" t="s">
        <v>74</v>
      </c>
      <c r="BB462">
        <v>187</v>
      </c>
      <c r="BC462">
        <v>222</v>
      </c>
      <c r="BD462" t="s">
        <v>74</v>
      </c>
      <c r="BE462" t="s">
        <v>8836</v>
      </c>
      <c r="BF462" t="str">
        <f>HYPERLINK("http://dx.doi.org/10.24425/ppr.2022.140366","http://dx.doi.org/10.24425/ppr.2022.140366")</f>
        <v>http://dx.doi.org/10.24425/ppr.2022.140366</v>
      </c>
      <c r="BG462" t="s">
        <v>74</v>
      </c>
      <c r="BH462" t="s">
        <v>74</v>
      </c>
      <c r="BI462">
        <v>36</v>
      </c>
      <c r="BJ462" t="s">
        <v>416</v>
      </c>
      <c r="BK462" t="s">
        <v>103</v>
      </c>
      <c r="BL462" t="s">
        <v>417</v>
      </c>
      <c r="BM462" t="s">
        <v>8837</v>
      </c>
      <c r="BN462" t="s">
        <v>74</v>
      </c>
      <c r="BO462" t="s">
        <v>445</v>
      </c>
      <c r="BP462" t="s">
        <v>74</v>
      </c>
      <c r="BQ462" t="s">
        <v>74</v>
      </c>
      <c r="BR462" t="s">
        <v>106</v>
      </c>
      <c r="BS462" t="s">
        <v>8838</v>
      </c>
      <c r="BT462" t="str">
        <f>HYPERLINK("https%3A%2F%2Fwww.webofscience.com%2Fwos%2Fwoscc%2Ffull-record%2FWOS:000964154800001","View Full Record in Web of Science")</f>
        <v>View Full Record in Web of Science</v>
      </c>
    </row>
    <row r="463" spans="1:72" x14ac:dyDescent="0.15">
      <c r="A463" t="s">
        <v>72</v>
      </c>
      <c r="B463" t="s">
        <v>8839</v>
      </c>
      <c r="C463" t="s">
        <v>74</v>
      </c>
      <c r="D463" t="s">
        <v>74</v>
      </c>
      <c r="E463" t="s">
        <v>74</v>
      </c>
      <c r="F463" t="s">
        <v>8840</v>
      </c>
      <c r="G463" t="s">
        <v>74</v>
      </c>
      <c r="H463" t="s">
        <v>74</v>
      </c>
      <c r="I463" t="s">
        <v>8841</v>
      </c>
      <c r="J463" t="s">
        <v>8816</v>
      </c>
      <c r="K463" t="s">
        <v>74</v>
      </c>
      <c r="L463" t="s">
        <v>74</v>
      </c>
      <c r="M463" t="s">
        <v>78</v>
      </c>
      <c r="N463" t="s">
        <v>79</v>
      </c>
      <c r="O463" t="s">
        <v>74</v>
      </c>
      <c r="P463" t="s">
        <v>74</v>
      </c>
      <c r="Q463" t="s">
        <v>74</v>
      </c>
      <c r="R463" t="s">
        <v>74</v>
      </c>
      <c r="S463" t="s">
        <v>74</v>
      </c>
      <c r="T463" t="s">
        <v>8842</v>
      </c>
      <c r="U463" t="s">
        <v>8843</v>
      </c>
      <c r="V463" t="s">
        <v>8844</v>
      </c>
      <c r="W463" t="s">
        <v>8845</v>
      </c>
      <c r="X463" t="s">
        <v>8846</v>
      </c>
      <c r="Y463" t="s">
        <v>8847</v>
      </c>
      <c r="Z463" t="s">
        <v>8848</v>
      </c>
      <c r="AA463" t="s">
        <v>74</v>
      </c>
      <c r="AB463" t="s">
        <v>8849</v>
      </c>
      <c r="AC463" t="s">
        <v>8850</v>
      </c>
      <c r="AD463" t="s">
        <v>8851</v>
      </c>
      <c r="AE463" t="s">
        <v>8852</v>
      </c>
      <c r="AF463" t="s">
        <v>74</v>
      </c>
      <c r="AG463">
        <v>65</v>
      </c>
      <c r="AH463">
        <v>0</v>
      </c>
      <c r="AI463">
        <v>0</v>
      </c>
      <c r="AJ463">
        <v>3</v>
      </c>
      <c r="AK463">
        <v>6</v>
      </c>
      <c r="AL463" t="s">
        <v>8829</v>
      </c>
      <c r="AM463" t="s">
        <v>8830</v>
      </c>
      <c r="AN463" t="s">
        <v>8831</v>
      </c>
      <c r="AO463" t="s">
        <v>8832</v>
      </c>
      <c r="AP463" t="s">
        <v>8833</v>
      </c>
      <c r="AQ463" t="s">
        <v>74</v>
      </c>
      <c r="AR463" t="s">
        <v>8834</v>
      </c>
      <c r="AS463" t="s">
        <v>8835</v>
      </c>
      <c r="AT463" t="s">
        <v>74</v>
      </c>
      <c r="AU463">
        <v>2022</v>
      </c>
      <c r="AV463">
        <v>43</v>
      </c>
      <c r="AW463">
        <v>3</v>
      </c>
      <c r="AX463" t="s">
        <v>74</v>
      </c>
      <c r="AY463" t="s">
        <v>74</v>
      </c>
      <c r="AZ463" t="s">
        <v>74</v>
      </c>
      <c r="BA463" t="s">
        <v>74</v>
      </c>
      <c r="BB463">
        <v>223</v>
      </c>
      <c r="BC463">
        <v>245</v>
      </c>
      <c r="BD463" t="s">
        <v>74</v>
      </c>
      <c r="BE463" t="s">
        <v>8853</v>
      </c>
      <c r="BF463" t="str">
        <f>HYPERLINK("http://dx.doi.org/10.24425/ppr.2022.140365","http://dx.doi.org/10.24425/ppr.2022.140365")</f>
        <v>http://dx.doi.org/10.24425/ppr.2022.140365</v>
      </c>
      <c r="BG463" t="s">
        <v>74</v>
      </c>
      <c r="BH463" t="s">
        <v>74</v>
      </c>
      <c r="BI463">
        <v>23</v>
      </c>
      <c r="BJ463" t="s">
        <v>416</v>
      </c>
      <c r="BK463" t="s">
        <v>103</v>
      </c>
      <c r="BL463" t="s">
        <v>417</v>
      </c>
      <c r="BM463" t="s">
        <v>8837</v>
      </c>
      <c r="BN463" t="s">
        <v>74</v>
      </c>
      <c r="BO463" t="s">
        <v>445</v>
      </c>
      <c r="BP463" t="s">
        <v>74</v>
      </c>
      <c r="BQ463" t="s">
        <v>74</v>
      </c>
      <c r="BR463" t="s">
        <v>106</v>
      </c>
      <c r="BS463" t="s">
        <v>8854</v>
      </c>
      <c r="BT463" t="str">
        <f>HYPERLINK("https%3A%2F%2Fwww.webofscience.com%2Fwos%2Fwoscc%2Ffull-record%2FWOS:000964154800002","View Full Record in Web of Science")</f>
        <v>View Full Record in Web of Science</v>
      </c>
    </row>
    <row r="464" spans="1:72" x14ac:dyDescent="0.15">
      <c r="A464" t="s">
        <v>72</v>
      </c>
      <c r="B464" t="s">
        <v>8855</v>
      </c>
      <c r="C464" t="s">
        <v>74</v>
      </c>
      <c r="D464" t="s">
        <v>74</v>
      </c>
      <c r="E464" t="s">
        <v>74</v>
      </c>
      <c r="F464" t="s">
        <v>8856</v>
      </c>
      <c r="G464" t="s">
        <v>74</v>
      </c>
      <c r="H464" t="s">
        <v>74</v>
      </c>
      <c r="I464" t="s">
        <v>8857</v>
      </c>
      <c r="J464" t="s">
        <v>8816</v>
      </c>
      <c r="K464" t="s">
        <v>74</v>
      </c>
      <c r="L464" t="s">
        <v>74</v>
      </c>
      <c r="M464" t="s">
        <v>78</v>
      </c>
      <c r="N464" t="s">
        <v>79</v>
      </c>
      <c r="O464" t="s">
        <v>74</v>
      </c>
      <c r="P464" t="s">
        <v>74</v>
      </c>
      <c r="Q464" t="s">
        <v>74</v>
      </c>
      <c r="R464" t="s">
        <v>74</v>
      </c>
      <c r="S464" t="s">
        <v>74</v>
      </c>
      <c r="T464" t="s">
        <v>8858</v>
      </c>
      <c r="U464" t="s">
        <v>8859</v>
      </c>
      <c r="V464" t="s">
        <v>8860</v>
      </c>
      <c r="W464" t="s">
        <v>8861</v>
      </c>
      <c r="X464" t="s">
        <v>8862</v>
      </c>
      <c r="Y464" t="s">
        <v>8863</v>
      </c>
      <c r="Z464" t="s">
        <v>8864</v>
      </c>
      <c r="AA464" t="s">
        <v>74</v>
      </c>
      <c r="AB464" t="s">
        <v>8865</v>
      </c>
      <c r="AC464" t="s">
        <v>8866</v>
      </c>
      <c r="AD464" t="s">
        <v>8866</v>
      </c>
      <c r="AE464" t="s">
        <v>8867</v>
      </c>
      <c r="AF464" t="s">
        <v>74</v>
      </c>
      <c r="AG464">
        <v>77</v>
      </c>
      <c r="AH464">
        <v>0</v>
      </c>
      <c r="AI464">
        <v>0</v>
      </c>
      <c r="AJ464">
        <v>0</v>
      </c>
      <c r="AK464">
        <v>0</v>
      </c>
      <c r="AL464" t="s">
        <v>8829</v>
      </c>
      <c r="AM464" t="s">
        <v>8830</v>
      </c>
      <c r="AN464" t="s">
        <v>8831</v>
      </c>
      <c r="AO464" t="s">
        <v>8832</v>
      </c>
      <c r="AP464" t="s">
        <v>8833</v>
      </c>
      <c r="AQ464" t="s">
        <v>74</v>
      </c>
      <c r="AR464" t="s">
        <v>8834</v>
      </c>
      <c r="AS464" t="s">
        <v>8835</v>
      </c>
      <c r="AT464" t="s">
        <v>74</v>
      </c>
      <c r="AU464">
        <v>2022</v>
      </c>
      <c r="AV464">
        <v>43</v>
      </c>
      <c r="AW464">
        <v>3</v>
      </c>
      <c r="AX464" t="s">
        <v>74</v>
      </c>
      <c r="AY464" t="s">
        <v>74</v>
      </c>
      <c r="AZ464" t="s">
        <v>74</v>
      </c>
      <c r="BA464" t="s">
        <v>74</v>
      </c>
      <c r="BB464">
        <v>267</v>
      </c>
      <c r="BC464">
        <v>289</v>
      </c>
      <c r="BD464" t="s">
        <v>74</v>
      </c>
      <c r="BE464" t="s">
        <v>8868</v>
      </c>
      <c r="BF464" t="str">
        <f>HYPERLINK("http://dx.doi.org/10.24425/ppr.2022.140364","http://dx.doi.org/10.24425/ppr.2022.140364")</f>
        <v>http://dx.doi.org/10.24425/ppr.2022.140364</v>
      </c>
      <c r="BG464" t="s">
        <v>74</v>
      </c>
      <c r="BH464" t="s">
        <v>74</v>
      </c>
      <c r="BI464">
        <v>23</v>
      </c>
      <c r="BJ464" t="s">
        <v>416</v>
      </c>
      <c r="BK464" t="s">
        <v>103</v>
      </c>
      <c r="BL464" t="s">
        <v>417</v>
      </c>
      <c r="BM464" t="s">
        <v>8837</v>
      </c>
      <c r="BN464" t="s">
        <v>74</v>
      </c>
      <c r="BO464" t="s">
        <v>445</v>
      </c>
      <c r="BP464" t="s">
        <v>74</v>
      </c>
      <c r="BQ464" t="s">
        <v>74</v>
      </c>
      <c r="BR464" t="s">
        <v>106</v>
      </c>
      <c r="BS464" t="s">
        <v>8869</v>
      </c>
      <c r="BT464" t="str">
        <f>HYPERLINK("https%3A%2F%2Fwww.webofscience.com%2Fwos%2Fwoscc%2Ffull-record%2FWOS:000964154800004","View Full Record in Web of Science")</f>
        <v>View Full Record in Web of Science</v>
      </c>
    </row>
    <row r="465" spans="1:72" x14ac:dyDescent="0.15">
      <c r="A465" t="s">
        <v>72</v>
      </c>
      <c r="B465" t="s">
        <v>8870</v>
      </c>
      <c r="C465" t="s">
        <v>74</v>
      </c>
      <c r="D465" t="s">
        <v>74</v>
      </c>
      <c r="E465" t="s">
        <v>74</v>
      </c>
      <c r="F465" t="s">
        <v>8871</v>
      </c>
      <c r="G465" t="s">
        <v>74</v>
      </c>
      <c r="H465" t="s">
        <v>74</v>
      </c>
      <c r="I465" t="s">
        <v>8872</v>
      </c>
      <c r="J465" t="s">
        <v>8873</v>
      </c>
      <c r="K465" t="s">
        <v>74</v>
      </c>
      <c r="L465" t="s">
        <v>74</v>
      </c>
      <c r="M465" t="s">
        <v>78</v>
      </c>
      <c r="N465" t="s">
        <v>79</v>
      </c>
      <c r="O465" t="s">
        <v>74</v>
      </c>
      <c r="P465" t="s">
        <v>74</v>
      </c>
      <c r="Q465" t="s">
        <v>74</v>
      </c>
      <c r="R465" t="s">
        <v>74</v>
      </c>
      <c r="S465" t="s">
        <v>74</v>
      </c>
      <c r="T465" t="s">
        <v>8874</v>
      </c>
      <c r="U465" t="s">
        <v>8875</v>
      </c>
      <c r="V465" t="s">
        <v>8876</v>
      </c>
      <c r="W465" t="s">
        <v>8877</v>
      </c>
      <c r="X465" t="s">
        <v>8878</v>
      </c>
      <c r="Y465" t="s">
        <v>8879</v>
      </c>
      <c r="Z465" t="s">
        <v>8880</v>
      </c>
      <c r="AA465" t="s">
        <v>8881</v>
      </c>
      <c r="AB465" t="s">
        <v>8882</v>
      </c>
      <c r="AC465" t="s">
        <v>74</v>
      </c>
      <c r="AD465" t="s">
        <v>74</v>
      </c>
      <c r="AE465" t="s">
        <v>74</v>
      </c>
      <c r="AF465" t="s">
        <v>74</v>
      </c>
      <c r="AG465">
        <v>85</v>
      </c>
      <c r="AH465">
        <v>0</v>
      </c>
      <c r="AI465">
        <v>0</v>
      </c>
      <c r="AJ465">
        <v>1</v>
      </c>
      <c r="AK465">
        <v>3</v>
      </c>
      <c r="AL465" t="s">
        <v>8883</v>
      </c>
      <c r="AM465" t="s">
        <v>8884</v>
      </c>
      <c r="AN465" t="s">
        <v>8885</v>
      </c>
      <c r="AO465" t="s">
        <v>8886</v>
      </c>
      <c r="AP465" t="s">
        <v>8887</v>
      </c>
      <c r="AQ465" t="s">
        <v>74</v>
      </c>
      <c r="AR465" t="s">
        <v>8888</v>
      </c>
      <c r="AS465" t="s">
        <v>8889</v>
      </c>
      <c r="AT465" t="s">
        <v>74</v>
      </c>
      <c r="AU465">
        <v>2022</v>
      </c>
      <c r="AV465">
        <v>63</v>
      </c>
      <c r="AW465">
        <v>2</v>
      </c>
      <c r="AX465" t="s">
        <v>74</v>
      </c>
      <c r="AY465" t="s">
        <v>74</v>
      </c>
      <c r="AZ465" t="s">
        <v>74</v>
      </c>
      <c r="BA465" t="s">
        <v>74</v>
      </c>
      <c r="BB465">
        <v>193</v>
      </c>
      <c r="BC465">
        <v>214</v>
      </c>
      <c r="BD465" t="s">
        <v>74</v>
      </c>
      <c r="BE465" t="s">
        <v>74</v>
      </c>
      <c r="BF465" t="s">
        <v>74</v>
      </c>
      <c r="BG465" t="s">
        <v>74</v>
      </c>
      <c r="BH465" t="s">
        <v>74</v>
      </c>
      <c r="BI465">
        <v>22</v>
      </c>
      <c r="BJ465" t="s">
        <v>772</v>
      </c>
      <c r="BK465" t="s">
        <v>103</v>
      </c>
      <c r="BL465" t="s">
        <v>772</v>
      </c>
      <c r="BM465" t="s">
        <v>8890</v>
      </c>
      <c r="BN465" t="s">
        <v>74</v>
      </c>
      <c r="BO465" t="s">
        <v>74</v>
      </c>
      <c r="BP465" t="s">
        <v>74</v>
      </c>
      <c r="BQ465" t="s">
        <v>74</v>
      </c>
      <c r="BR465" t="s">
        <v>106</v>
      </c>
      <c r="BS465" t="s">
        <v>8891</v>
      </c>
      <c r="BT465" t="str">
        <f>HYPERLINK("https%3A%2F%2Fwww.webofscience.com%2Fwos%2Fwoscc%2Ffull-record%2FWOS:000960882200005","View Full Record in Web of Science")</f>
        <v>View Full Record in Web of Science</v>
      </c>
    </row>
    <row r="466" spans="1:72" x14ac:dyDescent="0.15">
      <c r="A466" t="s">
        <v>72</v>
      </c>
      <c r="B466" t="s">
        <v>8892</v>
      </c>
      <c r="C466" t="s">
        <v>74</v>
      </c>
      <c r="D466" t="s">
        <v>74</v>
      </c>
      <c r="E466" t="s">
        <v>74</v>
      </c>
      <c r="F466" t="s">
        <v>8893</v>
      </c>
      <c r="G466" t="s">
        <v>74</v>
      </c>
      <c r="H466" t="s">
        <v>74</v>
      </c>
      <c r="I466" t="s">
        <v>8894</v>
      </c>
      <c r="J466" t="s">
        <v>8773</v>
      </c>
      <c r="K466" t="s">
        <v>74</v>
      </c>
      <c r="L466" t="s">
        <v>74</v>
      </c>
      <c r="M466" t="s">
        <v>78</v>
      </c>
      <c r="N466" t="s">
        <v>79</v>
      </c>
      <c r="O466" t="s">
        <v>74</v>
      </c>
      <c r="P466" t="s">
        <v>74</v>
      </c>
      <c r="Q466" t="s">
        <v>74</v>
      </c>
      <c r="R466" t="s">
        <v>74</v>
      </c>
      <c r="S466" t="s">
        <v>74</v>
      </c>
      <c r="T466" t="s">
        <v>8895</v>
      </c>
      <c r="U466" t="s">
        <v>8896</v>
      </c>
      <c r="V466" t="s">
        <v>8897</v>
      </c>
      <c r="W466" t="s">
        <v>8898</v>
      </c>
      <c r="X466" t="s">
        <v>4314</v>
      </c>
      <c r="Y466" t="s">
        <v>8899</v>
      </c>
      <c r="Z466" t="s">
        <v>8900</v>
      </c>
      <c r="AA466" t="s">
        <v>8901</v>
      </c>
      <c r="AB466" t="s">
        <v>8902</v>
      </c>
      <c r="AC466" t="s">
        <v>8903</v>
      </c>
      <c r="AD466" t="s">
        <v>8904</v>
      </c>
      <c r="AE466" t="s">
        <v>8905</v>
      </c>
      <c r="AF466" t="s">
        <v>74</v>
      </c>
      <c r="AG466">
        <v>42</v>
      </c>
      <c r="AH466">
        <v>1</v>
      </c>
      <c r="AI466">
        <v>2</v>
      </c>
      <c r="AJ466">
        <v>3</v>
      </c>
      <c r="AK466">
        <v>7</v>
      </c>
      <c r="AL466" t="s">
        <v>8786</v>
      </c>
      <c r="AM466" t="s">
        <v>436</v>
      </c>
      <c r="AN466" t="s">
        <v>8787</v>
      </c>
      <c r="AO466" t="s">
        <v>8788</v>
      </c>
      <c r="AP466" t="s">
        <v>8789</v>
      </c>
      <c r="AQ466" t="s">
        <v>74</v>
      </c>
      <c r="AR466" t="s">
        <v>8790</v>
      </c>
      <c r="AS466" t="s">
        <v>8791</v>
      </c>
      <c r="AT466" t="s">
        <v>74</v>
      </c>
      <c r="AU466">
        <v>2022</v>
      </c>
      <c r="AV466">
        <v>72</v>
      </c>
      <c r="AW466">
        <v>12</v>
      </c>
      <c r="AX466" t="s">
        <v>74</v>
      </c>
      <c r="AY466" t="s">
        <v>74</v>
      </c>
      <c r="AZ466" t="s">
        <v>74</v>
      </c>
      <c r="BA466" t="s">
        <v>74</v>
      </c>
      <c r="BB466" t="s">
        <v>74</v>
      </c>
      <c r="BC466" t="s">
        <v>74</v>
      </c>
      <c r="BD466">
        <v>5647</v>
      </c>
      <c r="BE466" t="s">
        <v>8906</v>
      </c>
      <c r="BF466" t="str">
        <f>HYPERLINK("http://dx.doi.org/10.1099/ijsem.0.005647","http://dx.doi.org/10.1099/ijsem.0.005647")</f>
        <v>http://dx.doi.org/10.1099/ijsem.0.005647</v>
      </c>
      <c r="BG466" t="s">
        <v>74</v>
      </c>
      <c r="BH466" t="s">
        <v>74</v>
      </c>
      <c r="BI466">
        <v>8</v>
      </c>
      <c r="BJ466" t="s">
        <v>747</v>
      </c>
      <c r="BK466" t="s">
        <v>103</v>
      </c>
      <c r="BL466" t="s">
        <v>747</v>
      </c>
      <c r="BM466" t="s">
        <v>8907</v>
      </c>
      <c r="BN466">
        <v>36748421</v>
      </c>
      <c r="BO466" t="s">
        <v>74</v>
      </c>
      <c r="BP466" t="s">
        <v>74</v>
      </c>
      <c r="BQ466" t="s">
        <v>74</v>
      </c>
      <c r="BR466" t="s">
        <v>106</v>
      </c>
      <c r="BS466" t="s">
        <v>8908</v>
      </c>
      <c r="BT466" t="str">
        <f>HYPERLINK("https%3A%2F%2Fwww.webofscience.com%2Fwos%2Fwoscc%2Ffull-record%2FWOS:000956091900017","View Full Record in Web of Science")</f>
        <v>View Full Record in Web of Science</v>
      </c>
    </row>
    <row r="467" spans="1:72" x14ac:dyDescent="0.15">
      <c r="A467" t="s">
        <v>7844</v>
      </c>
      <c r="B467" t="s">
        <v>8909</v>
      </c>
      <c r="C467" t="s">
        <v>74</v>
      </c>
      <c r="D467" t="s">
        <v>74</v>
      </c>
      <c r="E467" t="s">
        <v>8395</v>
      </c>
      <c r="F467" t="s">
        <v>8910</v>
      </c>
      <c r="G467" t="s">
        <v>74</v>
      </c>
      <c r="H467" t="s">
        <v>74</v>
      </c>
      <c r="I467" t="s">
        <v>8911</v>
      </c>
      <c r="J467" t="s">
        <v>8912</v>
      </c>
      <c r="K467" t="s">
        <v>74</v>
      </c>
      <c r="L467" t="s">
        <v>74</v>
      </c>
      <c r="M467" t="s">
        <v>78</v>
      </c>
      <c r="N467" t="s">
        <v>7851</v>
      </c>
      <c r="O467" t="s">
        <v>8913</v>
      </c>
      <c r="P467" t="s">
        <v>8914</v>
      </c>
      <c r="Q467" t="s">
        <v>8915</v>
      </c>
      <c r="R467" t="s">
        <v>74</v>
      </c>
      <c r="S467" t="s">
        <v>74</v>
      </c>
      <c r="T467" t="s">
        <v>8916</v>
      </c>
      <c r="U467" t="s">
        <v>74</v>
      </c>
      <c r="V467" t="s">
        <v>8917</v>
      </c>
      <c r="W467" t="s">
        <v>8918</v>
      </c>
      <c r="X467" t="s">
        <v>8919</v>
      </c>
      <c r="Y467" t="s">
        <v>8920</v>
      </c>
      <c r="Z467" t="s">
        <v>8921</v>
      </c>
      <c r="AA467" t="s">
        <v>74</v>
      </c>
      <c r="AB467" t="s">
        <v>74</v>
      </c>
      <c r="AC467" t="s">
        <v>74</v>
      </c>
      <c r="AD467" t="s">
        <v>74</v>
      </c>
      <c r="AE467" t="s">
        <v>74</v>
      </c>
      <c r="AF467" t="s">
        <v>74</v>
      </c>
      <c r="AG467">
        <v>38</v>
      </c>
      <c r="AH467">
        <v>4</v>
      </c>
      <c r="AI467">
        <v>4</v>
      </c>
      <c r="AJ467">
        <v>1</v>
      </c>
      <c r="AK467">
        <v>1</v>
      </c>
      <c r="AL467" t="s">
        <v>8395</v>
      </c>
      <c r="AM467" t="s">
        <v>506</v>
      </c>
      <c r="AN467" t="s">
        <v>8396</v>
      </c>
      <c r="AO467" t="s">
        <v>74</v>
      </c>
      <c r="AP467" t="s">
        <v>74</v>
      </c>
      <c r="AQ467" t="s">
        <v>8922</v>
      </c>
      <c r="AR467" t="s">
        <v>74</v>
      </c>
      <c r="AS467" t="s">
        <v>74</v>
      </c>
      <c r="AT467" t="s">
        <v>74</v>
      </c>
      <c r="AU467">
        <v>2022</v>
      </c>
      <c r="AV467" t="s">
        <v>74</v>
      </c>
      <c r="AW467" t="s">
        <v>74</v>
      </c>
      <c r="AX467" t="s">
        <v>74</v>
      </c>
      <c r="AY467" t="s">
        <v>74</v>
      </c>
      <c r="AZ467" t="s">
        <v>74</v>
      </c>
      <c r="BA467" t="s">
        <v>74</v>
      </c>
      <c r="BB467">
        <v>715</v>
      </c>
      <c r="BC467">
        <v>720</v>
      </c>
      <c r="BD467" t="s">
        <v>74</v>
      </c>
      <c r="BE467" t="s">
        <v>8923</v>
      </c>
      <c r="BF467" t="str">
        <f>HYPERLINK("http://dx.doi.org/10.1109/ISIE51582.2022.9831723","http://dx.doi.org/10.1109/ISIE51582.2022.9831723")</f>
        <v>http://dx.doi.org/10.1109/ISIE51582.2022.9831723</v>
      </c>
      <c r="BG467" t="s">
        <v>74</v>
      </c>
      <c r="BH467" t="s">
        <v>74</v>
      </c>
      <c r="BI467">
        <v>6</v>
      </c>
      <c r="BJ467" t="s">
        <v>8924</v>
      </c>
      <c r="BK467" t="s">
        <v>7868</v>
      </c>
      <c r="BL467" t="s">
        <v>4397</v>
      </c>
      <c r="BM467" t="s">
        <v>8925</v>
      </c>
      <c r="BN467" t="s">
        <v>74</v>
      </c>
      <c r="BO467" t="s">
        <v>74</v>
      </c>
      <c r="BP467" t="s">
        <v>74</v>
      </c>
      <c r="BQ467" t="s">
        <v>74</v>
      </c>
      <c r="BR467" t="s">
        <v>106</v>
      </c>
      <c r="BS467" t="s">
        <v>8926</v>
      </c>
      <c r="BT467" t="str">
        <f>HYPERLINK("https%3A%2F%2Fwww.webofscience.com%2Fwos%2Fwoscc%2Ffull-record%2FWOS:000946662000112","View Full Record in Web of Science")</f>
        <v>View Full Record in Web of Science</v>
      </c>
    </row>
    <row r="468" spans="1:72" x14ac:dyDescent="0.15">
      <c r="A468" t="s">
        <v>72</v>
      </c>
      <c r="B468" t="s">
        <v>8927</v>
      </c>
      <c r="C468" t="s">
        <v>74</v>
      </c>
      <c r="D468" t="s">
        <v>74</v>
      </c>
      <c r="E468" t="s">
        <v>74</v>
      </c>
      <c r="F468" t="s">
        <v>8928</v>
      </c>
      <c r="G468" t="s">
        <v>74</v>
      </c>
      <c r="H468" t="s">
        <v>74</v>
      </c>
      <c r="I468" t="s">
        <v>8929</v>
      </c>
      <c r="J468" t="s">
        <v>8930</v>
      </c>
      <c r="K468" t="s">
        <v>74</v>
      </c>
      <c r="L468" t="s">
        <v>74</v>
      </c>
      <c r="M468" t="s">
        <v>78</v>
      </c>
      <c r="N468" t="s">
        <v>79</v>
      </c>
      <c r="O468" t="s">
        <v>74</v>
      </c>
      <c r="P468" t="s">
        <v>74</v>
      </c>
      <c r="Q468" t="s">
        <v>74</v>
      </c>
      <c r="R468" t="s">
        <v>74</v>
      </c>
      <c r="S468" t="s">
        <v>74</v>
      </c>
      <c r="T468" t="s">
        <v>8931</v>
      </c>
      <c r="U468" t="s">
        <v>8932</v>
      </c>
      <c r="V468" t="s">
        <v>8933</v>
      </c>
      <c r="W468" t="s">
        <v>8934</v>
      </c>
      <c r="X468" t="s">
        <v>8935</v>
      </c>
      <c r="Y468" t="s">
        <v>8936</v>
      </c>
      <c r="Z468" t="s">
        <v>8937</v>
      </c>
      <c r="AA468" t="s">
        <v>8938</v>
      </c>
      <c r="AB468" t="s">
        <v>8939</v>
      </c>
      <c r="AC468" t="s">
        <v>8940</v>
      </c>
      <c r="AD468" t="s">
        <v>8941</v>
      </c>
      <c r="AE468" t="s">
        <v>8942</v>
      </c>
      <c r="AF468" t="s">
        <v>74</v>
      </c>
      <c r="AG468">
        <v>21</v>
      </c>
      <c r="AH468">
        <v>0</v>
      </c>
      <c r="AI468">
        <v>0</v>
      </c>
      <c r="AJ468">
        <v>2</v>
      </c>
      <c r="AK468">
        <v>4</v>
      </c>
      <c r="AL468" t="s">
        <v>8943</v>
      </c>
      <c r="AM468" t="s">
        <v>8944</v>
      </c>
      <c r="AN468" t="s">
        <v>8945</v>
      </c>
      <c r="AO468" t="s">
        <v>8946</v>
      </c>
      <c r="AP468" t="s">
        <v>8947</v>
      </c>
      <c r="AQ468" t="s">
        <v>74</v>
      </c>
      <c r="AR468" t="s">
        <v>8948</v>
      </c>
      <c r="AS468" t="s">
        <v>8949</v>
      </c>
      <c r="AT468" t="s">
        <v>74</v>
      </c>
      <c r="AU468">
        <v>2022</v>
      </c>
      <c r="AV468">
        <v>12</v>
      </c>
      <c r="AW468">
        <v>2</v>
      </c>
      <c r="AX468" t="s">
        <v>74</v>
      </c>
      <c r="AY468" t="s">
        <v>74</v>
      </c>
      <c r="AZ468" t="s">
        <v>74</v>
      </c>
      <c r="BA468" t="s">
        <v>74</v>
      </c>
      <c r="BB468">
        <v>280</v>
      </c>
      <c r="BC468">
        <v>290</v>
      </c>
      <c r="BD468" t="s">
        <v>74</v>
      </c>
      <c r="BE468" t="s">
        <v>8950</v>
      </c>
      <c r="BF468" t="str">
        <f>HYPERLINK("http://dx.doi.org/10.5817/CPR2022-2-21","http://dx.doi.org/10.5817/CPR2022-2-21")</f>
        <v>http://dx.doi.org/10.5817/CPR2022-2-21</v>
      </c>
      <c r="BG468" t="s">
        <v>74</v>
      </c>
      <c r="BH468" t="s">
        <v>74</v>
      </c>
      <c r="BI468">
        <v>11</v>
      </c>
      <c r="BJ468" t="s">
        <v>416</v>
      </c>
      <c r="BK468" t="s">
        <v>724</v>
      </c>
      <c r="BL468" t="s">
        <v>417</v>
      </c>
      <c r="BM468" t="s">
        <v>8951</v>
      </c>
      <c r="BN468" t="s">
        <v>74</v>
      </c>
      <c r="BO468" t="s">
        <v>445</v>
      </c>
      <c r="BP468" t="s">
        <v>74</v>
      </c>
      <c r="BQ468" t="s">
        <v>74</v>
      </c>
      <c r="BR468" t="s">
        <v>106</v>
      </c>
      <c r="BS468" t="s">
        <v>8952</v>
      </c>
      <c r="BT468" t="str">
        <f>HYPERLINK("https%3A%2F%2Fwww.webofscience.com%2Fwos%2Fwoscc%2Ffull-record%2FWOS:000957251400001","View Full Record in Web of Science")</f>
        <v>View Full Record in Web of Science</v>
      </c>
    </row>
    <row r="469" spans="1:72" x14ac:dyDescent="0.15">
      <c r="A469" t="s">
        <v>72</v>
      </c>
      <c r="B469" t="s">
        <v>8953</v>
      </c>
      <c r="C469" t="s">
        <v>74</v>
      </c>
      <c r="D469" t="s">
        <v>74</v>
      </c>
      <c r="E469" t="s">
        <v>74</v>
      </c>
      <c r="F469" t="s">
        <v>8954</v>
      </c>
      <c r="G469" t="s">
        <v>74</v>
      </c>
      <c r="H469" t="s">
        <v>74</v>
      </c>
      <c r="I469" t="s">
        <v>8955</v>
      </c>
      <c r="J469" t="s">
        <v>8956</v>
      </c>
      <c r="K469" t="s">
        <v>74</v>
      </c>
      <c r="L469" t="s">
        <v>74</v>
      </c>
      <c r="M469" t="s">
        <v>78</v>
      </c>
      <c r="N469" t="s">
        <v>79</v>
      </c>
      <c r="O469" t="s">
        <v>74</v>
      </c>
      <c r="P469" t="s">
        <v>74</v>
      </c>
      <c r="Q469" t="s">
        <v>74</v>
      </c>
      <c r="R469" t="s">
        <v>74</v>
      </c>
      <c r="S469" t="s">
        <v>74</v>
      </c>
      <c r="T469" t="s">
        <v>8957</v>
      </c>
      <c r="U469" t="s">
        <v>74</v>
      </c>
      <c r="V469" t="s">
        <v>8958</v>
      </c>
      <c r="W469" t="s">
        <v>8959</v>
      </c>
      <c r="X469" t="s">
        <v>74</v>
      </c>
      <c r="Y469" t="s">
        <v>8960</v>
      </c>
      <c r="Z469" t="s">
        <v>8961</v>
      </c>
      <c r="AA469" t="s">
        <v>74</v>
      </c>
      <c r="AB469" t="s">
        <v>74</v>
      </c>
      <c r="AC469" t="s">
        <v>74</v>
      </c>
      <c r="AD469" t="s">
        <v>74</v>
      </c>
      <c r="AE469" t="s">
        <v>74</v>
      </c>
      <c r="AF469" t="s">
        <v>74</v>
      </c>
      <c r="AG469">
        <v>40</v>
      </c>
      <c r="AH469">
        <v>2</v>
      </c>
      <c r="AI469">
        <v>2</v>
      </c>
      <c r="AJ469">
        <v>1</v>
      </c>
      <c r="AK469">
        <v>4</v>
      </c>
      <c r="AL469" t="s">
        <v>8962</v>
      </c>
      <c r="AM469" t="s">
        <v>8963</v>
      </c>
      <c r="AN469" t="s">
        <v>8964</v>
      </c>
      <c r="AO469" t="s">
        <v>74</v>
      </c>
      <c r="AP469" t="s">
        <v>8965</v>
      </c>
      <c r="AQ469" t="s">
        <v>74</v>
      </c>
      <c r="AR469" t="s">
        <v>8966</v>
      </c>
      <c r="AS469" t="s">
        <v>8967</v>
      </c>
      <c r="AT469" t="s">
        <v>74</v>
      </c>
      <c r="AU469">
        <v>2022</v>
      </c>
      <c r="AV469">
        <v>6</v>
      </c>
      <c r="AW469">
        <v>3</v>
      </c>
      <c r="AX469" t="s">
        <v>74</v>
      </c>
      <c r="AY469" t="s">
        <v>74</v>
      </c>
      <c r="AZ469" t="s">
        <v>74</v>
      </c>
      <c r="BA469" t="s">
        <v>74</v>
      </c>
      <c r="BB469" t="s">
        <v>74</v>
      </c>
      <c r="BC469" t="s">
        <v>74</v>
      </c>
      <c r="BD469" t="s">
        <v>74</v>
      </c>
      <c r="BE469" t="s">
        <v>8968</v>
      </c>
      <c r="BF469" t="str">
        <f>HYPERLINK("http://dx.doi.org/10.5281/zenodo.6603976","http://dx.doi.org/10.5281/zenodo.6603976")</f>
        <v>http://dx.doi.org/10.5281/zenodo.6603976</v>
      </c>
      <c r="BG469" t="s">
        <v>74</v>
      </c>
      <c r="BH469" t="s">
        <v>74</v>
      </c>
      <c r="BI469">
        <v>11</v>
      </c>
      <c r="BJ469" t="s">
        <v>1081</v>
      </c>
      <c r="BK469" t="s">
        <v>724</v>
      </c>
      <c r="BL469" t="s">
        <v>1082</v>
      </c>
      <c r="BM469" t="s">
        <v>8969</v>
      </c>
      <c r="BN469" t="s">
        <v>74</v>
      </c>
      <c r="BO469" t="s">
        <v>74</v>
      </c>
      <c r="BP469" t="s">
        <v>74</v>
      </c>
      <c r="BQ469" t="s">
        <v>74</v>
      </c>
      <c r="BR469" t="s">
        <v>106</v>
      </c>
      <c r="BS469" t="s">
        <v>8970</v>
      </c>
      <c r="BT469" t="str">
        <f>HYPERLINK("https%3A%2F%2Fwww.webofscience.com%2Fwos%2Fwoscc%2Ffull-record%2FWOS:000836437900001","View Full Record in Web of Science")</f>
        <v>View Full Record in Web of Science</v>
      </c>
    </row>
    <row r="470" spans="1:72" x14ac:dyDescent="0.15">
      <c r="A470" t="s">
        <v>72</v>
      </c>
      <c r="B470" t="s">
        <v>8971</v>
      </c>
      <c r="C470" t="s">
        <v>74</v>
      </c>
      <c r="D470" t="s">
        <v>74</v>
      </c>
      <c r="E470" t="s">
        <v>74</v>
      </c>
      <c r="F470" t="s">
        <v>8972</v>
      </c>
      <c r="G470" t="s">
        <v>74</v>
      </c>
      <c r="H470" t="s">
        <v>74</v>
      </c>
      <c r="I470" t="s">
        <v>8973</v>
      </c>
      <c r="J470" t="s">
        <v>8974</v>
      </c>
      <c r="K470" t="s">
        <v>74</v>
      </c>
      <c r="L470" t="s">
        <v>74</v>
      </c>
      <c r="M470" t="s">
        <v>78</v>
      </c>
      <c r="N470" t="s">
        <v>79</v>
      </c>
      <c r="O470" t="s">
        <v>74</v>
      </c>
      <c r="P470" t="s">
        <v>74</v>
      </c>
      <c r="Q470" t="s">
        <v>74</v>
      </c>
      <c r="R470" t="s">
        <v>74</v>
      </c>
      <c r="S470" t="s">
        <v>74</v>
      </c>
      <c r="T470" t="s">
        <v>8975</v>
      </c>
      <c r="U470" t="s">
        <v>74</v>
      </c>
      <c r="V470" t="s">
        <v>8976</v>
      </c>
      <c r="W470" t="s">
        <v>8977</v>
      </c>
      <c r="X470" t="s">
        <v>8978</v>
      </c>
      <c r="Y470" t="s">
        <v>8979</v>
      </c>
      <c r="Z470" t="s">
        <v>8980</v>
      </c>
      <c r="AA470" t="s">
        <v>8981</v>
      </c>
      <c r="AB470" t="s">
        <v>8982</v>
      </c>
      <c r="AC470" t="s">
        <v>74</v>
      </c>
      <c r="AD470" t="s">
        <v>74</v>
      </c>
      <c r="AE470" t="s">
        <v>74</v>
      </c>
      <c r="AF470" t="s">
        <v>74</v>
      </c>
      <c r="AG470">
        <v>27</v>
      </c>
      <c r="AH470">
        <v>0</v>
      </c>
      <c r="AI470">
        <v>0</v>
      </c>
      <c r="AJ470">
        <v>0</v>
      </c>
      <c r="AK470">
        <v>0</v>
      </c>
      <c r="AL470" t="s">
        <v>8983</v>
      </c>
      <c r="AM470" t="s">
        <v>8984</v>
      </c>
      <c r="AN470" t="s">
        <v>8985</v>
      </c>
      <c r="AO470" t="s">
        <v>8986</v>
      </c>
      <c r="AP470" t="s">
        <v>74</v>
      </c>
      <c r="AQ470" t="s">
        <v>74</v>
      </c>
      <c r="AR470" t="s">
        <v>8987</v>
      </c>
      <c r="AS470" t="s">
        <v>8988</v>
      </c>
      <c r="AT470" t="s">
        <v>74</v>
      </c>
      <c r="AU470">
        <v>2022</v>
      </c>
      <c r="AV470">
        <v>10</v>
      </c>
      <c r="AW470">
        <v>2</v>
      </c>
      <c r="AX470" t="s">
        <v>74</v>
      </c>
      <c r="AY470" t="s">
        <v>74</v>
      </c>
      <c r="AZ470" t="s">
        <v>74</v>
      </c>
      <c r="BA470" t="s">
        <v>74</v>
      </c>
      <c r="BB470">
        <v>619</v>
      </c>
      <c r="BC470">
        <v>632</v>
      </c>
      <c r="BD470" t="s">
        <v>74</v>
      </c>
      <c r="BE470" t="s">
        <v>8989</v>
      </c>
      <c r="BF470" t="str">
        <f>HYPERLINK("http://dx.doi.org/10.13035/H.2022.10.02.38","http://dx.doi.org/10.13035/H.2022.10.02.38")</f>
        <v>http://dx.doi.org/10.13035/H.2022.10.02.38</v>
      </c>
      <c r="BG470" t="s">
        <v>74</v>
      </c>
      <c r="BH470" t="s">
        <v>74</v>
      </c>
      <c r="BI470">
        <v>14</v>
      </c>
      <c r="BJ470" t="s">
        <v>8990</v>
      </c>
      <c r="BK470" t="s">
        <v>724</v>
      </c>
      <c r="BL470" t="s">
        <v>8991</v>
      </c>
      <c r="BM470" t="s">
        <v>8992</v>
      </c>
      <c r="BN470" t="s">
        <v>74</v>
      </c>
      <c r="BO470" t="s">
        <v>132</v>
      </c>
      <c r="BP470" t="s">
        <v>74</v>
      </c>
      <c r="BQ470" t="s">
        <v>74</v>
      </c>
      <c r="BR470" t="s">
        <v>106</v>
      </c>
      <c r="BS470" t="s">
        <v>8993</v>
      </c>
      <c r="BT470" t="str">
        <f>HYPERLINK("https%3A%2F%2Fwww.webofscience.com%2Fwos%2Fwoscc%2Ffull-record%2FWOS:000934070300039","View Full Record in Web of Science")</f>
        <v>View Full Record in Web of Science</v>
      </c>
    </row>
    <row r="471" spans="1:72" x14ac:dyDescent="0.15">
      <c r="A471" t="s">
        <v>7844</v>
      </c>
      <c r="B471" t="s">
        <v>8994</v>
      </c>
      <c r="C471" t="s">
        <v>74</v>
      </c>
      <c r="D471" t="s">
        <v>74</v>
      </c>
      <c r="E471" t="s">
        <v>8395</v>
      </c>
      <c r="F471" t="s">
        <v>8995</v>
      </c>
      <c r="G471" t="s">
        <v>74</v>
      </c>
      <c r="H471" t="s">
        <v>74</v>
      </c>
      <c r="I471" t="s">
        <v>8996</v>
      </c>
      <c r="J471" t="s">
        <v>8997</v>
      </c>
      <c r="K471" t="s">
        <v>8998</v>
      </c>
      <c r="L471" t="s">
        <v>74</v>
      </c>
      <c r="M471" t="s">
        <v>78</v>
      </c>
      <c r="N471" t="s">
        <v>7851</v>
      </c>
      <c r="O471" t="s">
        <v>8999</v>
      </c>
      <c r="P471" t="s">
        <v>9000</v>
      </c>
      <c r="Q471" t="s">
        <v>9001</v>
      </c>
      <c r="R471" t="s">
        <v>74</v>
      </c>
      <c r="S471" t="s">
        <v>74</v>
      </c>
      <c r="T471" t="s">
        <v>9002</v>
      </c>
      <c r="U471" t="s">
        <v>9003</v>
      </c>
      <c r="V471" t="s">
        <v>9004</v>
      </c>
      <c r="W471" t="s">
        <v>9005</v>
      </c>
      <c r="X471" t="s">
        <v>9006</v>
      </c>
      <c r="Y471" t="s">
        <v>9007</v>
      </c>
      <c r="Z471" t="s">
        <v>9008</v>
      </c>
      <c r="AA471" t="s">
        <v>9009</v>
      </c>
      <c r="AB471" t="s">
        <v>9010</v>
      </c>
      <c r="AC471" t="s">
        <v>9011</v>
      </c>
      <c r="AD471" t="s">
        <v>9012</v>
      </c>
      <c r="AE471" t="s">
        <v>9013</v>
      </c>
      <c r="AF471" t="s">
        <v>74</v>
      </c>
      <c r="AG471">
        <v>21</v>
      </c>
      <c r="AH471">
        <v>0</v>
      </c>
      <c r="AI471">
        <v>0</v>
      </c>
      <c r="AJ471">
        <v>0</v>
      </c>
      <c r="AK471">
        <v>0</v>
      </c>
      <c r="AL471" t="s">
        <v>8395</v>
      </c>
      <c r="AM471" t="s">
        <v>506</v>
      </c>
      <c r="AN471" t="s">
        <v>8396</v>
      </c>
      <c r="AO471" t="s">
        <v>9014</v>
      </c>
      <c r="AP471" t="s">
        <v>74</v>
      </c>
      <c r="AQ471" t="s">
        <v>9015</v>
      </c>
      <c r="AR471" t="s">
        <v>9016</v>
      </c>
      <c r="AS471" t="s">
        <v>74</v>
      </c>
      <c r="AT471" t="s">
        <v>74</v>
      </c>
      <c r="AU471">
        <v>2022</v>
      </c>
      <c r="AV471" t="s">
        <v>74</v>
      </c>
      <c r="AW471" t="s">
        <v>74</v>
      </c>
      <c r="AX471" t="s">
        <v>74</v>
      </c>
      <c r="AY471" t="s">
        <v>74</v>
      </c>
      <c r="AZ471" t="s">
        <v>74</v>
      </c>
      <c r="BA471" t="s">
        <v>74</v>
      </c>
      <c r="BB471" t="s">
        <v>74</v>
      </c>
      <c r="BC471" t="s">
        <v>74</v>
      </c>
      <c r="BD471" t="s">
        <v>74</v>
      </c>
      <c r="BE471" t="s">
        <v>9017</v>
      </c>
      <c r="BF471" t="str">
        <f>HYPERLINK("http://dx.doi.org/10.1109/ISCC55528.2022.9913036","http://dx.doi.org/10.1109/ISCC55528.2022.9913036")</f>
        <v>http://dx.doi.org/10.1109/ISCC55528.2022.9913036</v>
      </c>
      <c r="BG471" t="s">
        <v>74</v>
      </c>
      <c r="BH471" t="s">
        <v>74</v>
      </c>
      <c r="BI471">
        <v>7</v>
      </c>
      <c r="BJ471" t="s">
        <v>9018</v>
      </c>
      <c r="BK471" t="s">
        <v>7868</v>
      </c>
      <c r="BL471" t="s">
        <v>9019</v>
      </c>
      <c r="BM471" t="s">
        <v>9020</v>
      </c>
      <c r="BN471" t="s">
        <v>74</v>
      </c>
      <c r="BO471" t="s">
        <v>74</v>
      </c>
      <c r="BP471" t="s">
        <v>74</v>
      </c>
      <c r="BQ471" t="s">
        <v>74</v>
      </c>
      <c r="BR471" t="s">
        <v>106</v>
      </c>
      <c r="BS471" t="s">
        <v>9021</v>
      </c>
      <c r="BT471" t="str">
        <f>HYPERLINK("https%3A%2F%2Fwww.webofscience.com%2Fwos%2Fwoscc%2Ffull-record%2FWOS:000935799600164","View Full Record in Web of Science")</f>
        <v>View Full Record in Web of Science</v>
      </c>
    </row>
    <row r="472" spans="1:72" x14ac:dyDescent="0.15">
      <c r="A472" t="s">
        <v>72</v>
      </c>
      <c r="B472" t="s">
        <v>9022</v>
      </c>
      <c r="C472" t="s">
        <v>74</v>
      </c>
      <c r="D472" t="s">
        <v>74</v>
      </c>
      <c r="E472" t="s">
        <v>74</v>
      </c>
      <c r="F472" t="s">
        <v>9023</v>
      </c>
      <c r="G472" t="s">
        <v>74</v>
      </c>
      <c r="H472" t="s">
        <v>74</v>
      </c>
      <c r="I472" t="s">
        <v>9024</v>
      </c>
      <c r="J472" t="s">
        <v>9025</v>
      </c>
      <c r="K472" t="s">
        <v>74</v>
      </c>
      <c r="L472" t="s">
        <v>74</v>
      </c>
      <c r="M472" t="s">
        <v>78</v>
      </c>
      <c r="N472" t="s">
        <v>79</v>
      </c>
      <c r="O472" t="s">
        <v>74</v>
      </c>
      <c r="P472" t="s">
        <v>74</v>
      </c>
      <c r="Q472" t="s">
        <v>74</v>
      </c>
      <c r="R472" t="s">
        <v>74</v>
      </c>
      <c r="S472" t="s">
        <v>74</v>
      </c>
      <c r="T472" t="s">
        <v>74</v>
      </c>
      <c r="U472" t="s">
        <v>74</v>
      </c>
      <c r="V472" t="s">
        <v>74</v>
      </c>
      <c r="W472" t="s">
        <v>9026</v>
      </c>
      <c r="X472" t="s">
        <v>9027</v>
      </c>
      <c r="Y472" t="s">
        <v>9028</v>
      </c>
      <c r="Z472" t="s">
        <v>9029</v>
      </c>
      <c r="AA472" t="s">
        <v>9030</v>
      </c>
      <c r="AB472" t="s">
        <v>9031</v>
      </c>
      <c r="AC472" t="s">
        <v>74</v>
      </c>
      <c r="AD472" t="s">
        <v>74</v>
      </c>
      <c r="AE472" t="s">
        <v>74</v>
      </c>
      <c r="AF472" t="s">
        <v>74</v>
      </c>
      <c r="AG472">
        <v>23</v>
      </c>
      <c r="AH472">
        <v>1</v>
      </c>
      <c r="AI472">
        <v>1</v>
      </c>
      <c r="AJ472">
        <v>0</v>
      </c>
      <c r="AK472">
        <v>1</v>
      </c>
      <c r="AL472" t="s">
        <v>9032</v>
      </c>
      <c r="AM472" t="s">
        <v>9033</v>
      </c>
      <c r="AN472" t="s">
        <v>9034</v>
      </c>
      <c r="AO472" t="s">
        <v>9035</v>
      </c>
      <c r="AP472" t="s">
        <v>74</v>
      </c>
      <c r="AQ472" t="s">
        <v>74</v>
      </c>
      <c r="AR472" t="s">
        <v>9036</v>
      </c>
      <c r="AS472" t="s">
        <v>9037</v>
      </c>
      <c r="AT472" t="s">
        <v>74</v>
      </c>
      <c r="AU472">
        <v>2022</v>
      </c>
      <c r="AV472">
        <v>48</v>
      </c>
      <c r="AW472">
        <v>6</v>
      </c>
      <c r="AX472" t="s">
        <v>74</v>
      </c>
      <c r="AY472" t="s">
        <v>74</v>
      </c>
      <c r="AZ472" t="s">
        <v>233</v>
      </c>
      <c r="BA472" t="s">
        <v>74</v>
      </c>
      <c r="BB472">
        <v>509</v>
      </c>
      <c r="BC472">
        <v>512</v>
      </c>
      <c r="BD472" t="s">
        <v>74</v>
      </c>
      <c r="BE472" t="s">
        <v>9038</v>
      </c>
      <c r="BF472" t="str">
        <f>HYPERLINK("http://dx.doi.org/10.1578/AM.48.6.2022.509","http://dx.doi.org/10.1578/AM.48.6.2022.509")</f>
        <v>http://dx.doi.org/10.1578/AM.48.6.2022.509</v>
      </c>
      <c r="BG472" t="s">
        <v>74</v>
      </c>
      <c r="BH472" t="s">
        <v>74</v>
      </c>
      <c r="BI472">
        <v>4</v>
      </c>
      <c r="BJ472" t="s">
        <v>9039</v>
      </c>
      <c r="BK472" t="s">
        <v>103</v>
      </c>
      <c r="BL472" t="s">
        <v>9039</v>
      </c>
      <c r="BM472" t="s">
        <v>9040</v>
      </c>
      <c r="BN472" t="s">
        <v>74</v>
      </c>
      <c r="BO472" t="s">
        <v>74</v>
      </c>
      <c r="BP472" t="s">
        <v>74</v>
      </c>
      <c r="BQ472" t="s">
        <v>74</v>
      </c>
      <c r="BR472" t="s">
        <v>106</v>
      </c>
      <c r="BS472" t="s">
        <v>9041</v>
      </c>
      <c r="BT472" t="str">
        <f>HYPERLINK("https%3A%2F%2Fwww.webofscience.com%2Fwos%2Fwoscc%2Ffull-record%2FWOS:000910981400008","View Full Record in Web of Science")</f>
        <v>View Full Record in Web of Science</v>
      </c>
    </row>
    <row r="473" spans="1:72" x14ac:dyDescent="0.15">
      <c r="A473" t="s">
        <v>72</v>
      </c>
      <c r="B473" t="s">
        <v>9042</v>
      </c>
      <c r="C473" t="s">
        <v>74</v>
      </c>
      <c r="D473" t="s">
        <v>74</v>
      </c>
      <c r="E473" t="s">
        <v>74</v>
      </c>
      <c r="F473" t="s">
        <v>9043</v>
      </c>
      <c r="G473" t="s">
        <v>74</v>
      </c>
      <c r="H473" t="s">
        <v>74</v>
      </c>
      <c r="I473" t="s">
        <v>9044</v>
      </c>
      <c r="J473" t="s">
        <v>9025</v>
      </c>
      <c r="K473" t="s">
        <v>74</v>
      </c>
      <c r="L473" t="s">
        <v>74</v>
      </c>
      <c r="M473" t="s">
        <v>78</v>
      </c>
      <c r="N473" t="s">
        <v>79</v>
      </c>
      <c r="O473" t="s">
        <v>74</v>
      </c>
      <c r="P473" t="s">
        <v>74</v>
      </c>
      <c r="Q473" t="s">
        <v>74</v>
      </c>
      <c r="R473" t="s">
        <v>74</v>
      </c>
      <c r="S473" t="s">
        <v>74</v>
      </c>
      <c r="T473" t="s">
        <v>74</v>
      </c>
      <c r="U473" t="s">
        <v>9045</v>
      </c>
      <c r="V473" t="s">
        <v>74</v>
      </c>
      <c r="W473" t="s">
        <v>9046</v>
      </c>
      <c r="X473" t="s">
        <v>3236</v>
      </c>
      <c r="Y473" t="s">
        <v>9047</v>
      </c>
      <c r="Z473" t="s">
        <v>9048</v>
      </c>
      <c r="AA473" t="s">
        <v>9049</v>
      </c>
      <c r="AB473" t="s">
        <v>9050</v>
      </c>
      <c r="AC473" t="s">
        <v>74</v>
      </c>
      <c r="AD473" t="s">
        <v>74</v>
      </c>
      <c r="AE473" t="s">
        <v>74</v>
      </c>
      <c r="AF473" t="s">
        <v>74</v>
      </c>
      <c r="AG473">
        <v>25</v>
      </c>
      <c r="AH473">
        <v>0</v>
      </c>
      <c r="AI473">
        <v>0</v>
      </c>
      <c r="AJ473">
        <v>0</v>
      </c>
      <c r="AK473">
        <v>2</v>
      </c>
      <c r="AL473" t="s">
        <v>9032</v>
      </c>
      <c r="AM473" t="s">
        <v>9033</v>
      </c>
      <c r="AN473" t="s">
        <v>9034</v>
      </c>
      <c r="AO473" t="s">
        <v>9035</v>
      </c>
      <c r="AP473" t="s">
        <v>74</v>
      </c>
      <c r="AQ473" t="s">
        <v>74</v>
      </c>
      <c r="AR473" t="s">
        <v>9036</v>
      </c>
      <c r="AS473" t="s">
        <v>9037</v>
      </c>
      <c r="AT473" t="s">
        <v>74</v>
      </c>
      <c r="AU473">
        <v>2022</v>
      </c>
      <c r="AV473">
        <v>48</v>
      </c>
      <c r="AW473">
        <v>6</v>
      </c>
      <c r="AX473" t="s">
        <v>74</v>
      </c>
      <c r="AY473" t="s">
        <v>74</v>
      </c>
      <c r="AZ473" t="s">
        <v>233</v>
      </c>
      <c r="BA473" t="s">
        <v>74</v>
      </c>
      <c r="BB473">
        <v>568</v>
      </c>
      <c r="BC473">
        <v>573</v>
      </c>
      <c r="BD473" t="s">
        <v>74</v>
      </c>
      <c r="BE473" t="s">
        <v>9051</v>
      </c>
      <c r="BF473" t="str">
        <f>HYPERLINK("http://dx.doi.org/10.1578/AM.48.6.2022.568","http://dx.doi.org/10.1578/AM.48.6.2022.568")</f>
        <v>http://dx.doi.org/10.1578/AM.48.6.2022.568</v>
      </c>
      <c r="BG473" t="s">
        <v>74</v>
      </c>
      <c r="BH473" t="s">
        <v>74</v>
      </c>
      <c r="BI473">
        <v>6</v>
      </c>
      <c r="BJ473" t="s">
        <v>9039</v>
      </c>
      <c r="BK473" t="s">
        <v>103</v>
      </c>
      <c r="BL473" t="s">
        <v>9039</v>
      </c>
      <c r="BM473" t="s">
        <v>9040</v>
      </c>
      <c r="BN473" t="s">
        <v>74</v>
      </c>
      <c r="BO473" t="s">
        <v>74</v>
      </c>
      <c r="BP473" t="s">
        <v>74</v>
      </c>
      <c r="BQ473" t="s">
        <v>74</v>
      </c>
      <c r="BR473" t="s">
        <v>106</v>
      </c>
      <c r="BS473" t="s">
        <v>9052</v>
      </c>
      <c r="BT473" t="str">
        <f>HYPERLINK("https%3A%2F%2Fwww.webofscience.com%2Fwos%2Fwoscc%2Ffull-record%2FWOS:000910981400021","View Full Record in Web of Science")</f>
        <v>View Full Record in Web of Science</v>
      </c>
    </row>
    <row r="474" spans="1:72" x14ac:dyDescent="0.15">
      <c r="A474" t="s">
        <v>72</v>
      </c>
      <c r="B474" t="s">
        <v>9053</v>
      </c>
      <c r="C474" t="s">
        <v>74</v>
      </c>
      <c r="D474" t="s">
        <v>74</v>
      </c>
      <c r="E474" t="s">
        <v>74</v>
      </c>
      <c r="F474" t="s">
        <v>9054</v>
      </c>
      <c r="G474" t="s">
        <v>74</v>
      </c>
      <c r="H474" t="s">
        <v>74</v>
      </c>
      <c r="I474" t="s">
        <v>9055</v>
      </c>
      <c r="J474" t="s">
        <v>8816</v>
      </c>
      <c r="K474" t="s">
        <v>74</v>
      </c>
      <c r="L474" t="s">
        <v>74</v>
      </c>
      <c r="M474" t="s">
        <v>78</v>
      </c>
      <c r="N474" t="s">
        <v>79</v>
      </c>
      <c r="O474" t="s">
        <v>74</v>
      </c>
      <c r="P474" t="s">
        <v>74</v>
      </c>
      <c r="Q474" t="s">
        <v>74</v>
      </c>
      <c r="R474" t="s">
        <v>74</v>
      </c>
      <c r="S474" t="s">
        <v>74</v>
      </c>
      <c r="T474" t="s">
        <v>9056</v>
      </c>
      <c r="U474" t="s">
        <v>9057</v>
      </c>
      <c r="V474" t="s">
        <v>9058</v>
      </c>
      <c r="W474" t="s">
        <v>9059</v>
      </c>
      <c r="X474" t="s">
        <v>9060</v>
      </c>
      <c r="Y474" t="s">
        <v>9061</v>
      </c>
      <c r="Z474" t="s">
        <v>9062</v>
      </c>
      <c r="AA474" t="s">
        <v>9063</v>
      </c>
      <c r="AB474" t="s">
        <v>9064</v>
      </c>
      <c r="AC474" t="s">
        <v>9065</v>
      </c>
      <c r="AD474" t="s">
        <v>9066</v>
      </c>
      <c r="AE474" t="s">
        <v>9067</v>
      </c>
      <c r="AF474" t="s">
        <v>74</v>
      </c>
      <c r="AG474">
        <v>55</v>
      </c>
      <c r="AH474">
        <v>1</v>
      </c>
      <c r="AI474">
        <v>1</v>
      </c>
      <c r="AJ474">
        <v>3</v>
      </c>
      <c r="AK474">
        <v>7</v>
      </c>
      <c r="AL474" t="s">
        <v>8829</v>
      </c>
      <c r="AM474" t="s">
        <v>8830</v>
      </c>
      <c r="AN474" t="s">
        <v>8831</v>
      </c>
      <c r="AO474" t="s">
        <v>8832</v>
      </c>
      <c r="AP474" t="s">
        <v>8833</v>
      </c>
      <c r="AQ474" t="s">
        <v>74</v>
      </c>
      <c r="AR474" t="s">
        <v>8834</v>
      </c>
      <c r="AS474" t="s">
        <v>8835</v>
      </c>
      <c r="AT474" t="s">
        <v>74</v>
      </c>
      <c r="AU474">
        <v>2022</v>
      </c>
      <c r="AV474">
        <v>43</v>
      </c>
      <c r="AW474">
        <v>4</v>
      </c>
      <c r="AX474" t="s">
        <v>74</v>
      </c>
      <c r="AY474" t="s">
        <v>74</v>
      </c>
      <c r="AZ474" t="s">
        <v>74</v>
      </c>
      <c r="BA474" t="s">
        <v>74</v>
      </c>
      <c r="BB474">
        <v>325</v>
      </c>
      <c r="BC474">
        <v>339</v>
      </c>
      <c r="BD474" t="s">
        <v>74</v>
      </c>
      <c r="BE474" t="s">
        <v>9068</v>
      </c>
      <c r="BF474" t="str">
        <f>HYPERLINK("http://dx.doi.org/10.24425/ppr.2022.140368","http://dx.doi.org/10.24425/ppr.2022.140368")</f>
        <v>http://dx.doi.org/10.24425/ppr.2022.140368</v>
      </c>
      <c r="BG474" t="s">
        <v>74</v>
      </c>
      <c r="BH474" t="s">
        <v>74</v>
      </c>
      <c r="BI474">
        <v>15</v>
      </c>
      <c r="BJ474" t="s">
        <v>416</v>
      </c>
      <c r="BK474" t="s">
        <v>103</v>
      </c>
      <c r="BL474" t="s">
        <v>417</v>
      </c>
      <c r="BM474" t="s">
        <v>9069</v>
      </c>
      <c r="BN474" t="s">
        <v>74</v>
      </c>
      <c r="BO474" t="s">
        <v>445</v>
      </c>
      <c r="BP474" t="s">
        <v>74</v>
      </c>
      <c r="BQ474" t="s">
        <v>74</v>
      </c>
      <c r="BR474" t="s">
        <v>106</v>
      </c>
      <c r="BS474" t="s">
        <v>9070</v>
      </c>
      <c r="BT474" t="str">
        <f>HYPERLINK("https%3A%2F%2Fwww.webofscience.com%2Fwos%2Fwoscc%2Ffull-record%2FWOS:000937134200003","View Full Record in Web of Science")</f>
        <v>View Full Record in Web of Science</v>
      </c>
    </row>
    <row r="475" spans="1:72" x14ac:dyDescent="0.15">
      <c r="A475" t="s">
        <v>72</v>
      </c>
      <c r="B475" t="s">
        <v>9071</v>
      </c>
      <c r="C475" t="s">
        <v>74</v>
      </c>
      <c r="D475" t="s">
        <v>74</v>
      </c>
      <c r="E475" t="s">
        <v>74</v>
      </c>
      <c r="F475" t="s">
        <v>9072</v>
      </c>
      <c r="G475" t="s">
        <v>74</v>
      </c>
      <c r="H475" t="s">
        <v>74</v>
      </c>
      <c r="I475" t="s">
        <v>9073</v>
      </c>
      <c r="J475" t="s">
        <v>8816</v>
      </c>
      <c r="K475" t="s">
        <v>74</v>
      </c>
      <c r="L475" t="s">
        <v>74</v>
      </c>
      <c r="M475" t="s">
        <v>78</v>
      </c>
      <c r="N475" t="s">
        <v>79</v>
      </c>
      <c r="O475" t="s">
        <v>74</v>
      </c>
      <c r="P475" t="s">
        <v>74</v>
      </c>
      <c r="Q475" t="s">
        <v>74</v>
      </c>
      <c r="R475" t="s">
        <v>74</v>
      </c>
      <c r="S475" t="s">
        <v>74</v>
      </c>
      <c r="T475" t="s">
        <v>9074</v>
      </c>
      <c r="U475" t="s">
        <v>9075</v>
      </c>
      <c r="V475" t="s">
        <v>9076</v>
      </c>
      <c r="W475" t="s">
        <v>9077</v>
      </c>
      <c r="X475" t="s">
        <v>9078</v>
      </c>
      <c r="Y475" t="s">
        <v>9079</v>
      </c>
      <c r="Z475" t="s">
        <v>9080</v>
      </c>
      <c r="AA475" t="s">
        <v>9081</v>
      </c>
      <c r="AB475" t="s">
        <v>9082</v>
      </c>
      <c r="AC475" t="s">
        <v>9083</v>
      </c>
      <c r="AD475" t="s">
        <v>9084</v>
      </c>
      <c r="AE475" t="s">
        <v>9085</v>
      </c>
      <c r="AF475" t="s">
        <v>74</v>
      </c>
      <c r="AG475">
        <v>34</v>
      </c>
      <c r="AH475">
        <v>0</v>
      </c>
      <c r="AI475">
        <v>0</v>
      </c>
      <c r="AJ475">
        <v>3</v>
      </c>
      <c r="AK475">
        <v>4</v>
      </c>
      <c r="AL475" t="s">
        <v>8829</v>
      </c>
      <c r="AM475" t="s">
        <v>8830</v>
      </c>
      <c r="AN475" t="s">
        <v>8831</v>
      </c>
      <c r="AO475" t="s">
        <v>8832</v>
      </c>
      <c r="AP475" t="s">
        <v>8833</v>
      </c>
      <c r="AQ475" t="s">
        <v>74</v>
      </c>
      <c r="AR475" t="s">
        <v>8834</v>
      </c>
      <c r="AS475" t="s">
        <v>8835</v>
      </c>
      <c r="AT475" t="s">
        <v>74</v>
      </c>
      <c r="AU475">
        <v>2022</v>
      </c>
      <c r="AV475">
        <v>43</v>
      </c>
      <c r="AW475">
        <v>4</v>
      </c>
      <c r="AX475" t="s">
        <v>74</v>
      </c>
      <c r="AY475" t="s">
        <v>74</v>
      </c>
      <c r="AZ475" t="s">
        <v>74</v>
      </c>
      <c r="BA475" t="s">
        <v>74</v>
      </c>
      <c r="BB475">
        <v>341</v>
      </c>
      <c r="BC475">
        <v>362</v>
      </c>
      <c r="BD475" t="s">
        <v>74</v>
      </c>
      <c r="BE475" t="s">
        <v>9086</v>
      </c>
      <c r="BF475" t="str">
        <f>HYPERLINK("http://dx.doi.org/10.24425/ppr.2022.140369","http://dx.doi.org/10.24425/ppr.2022.140369")</f>
        <v>http://dx.doi.org/10.24425/ppr.2022.140369</v>
      </c>
      <c r="BG475" t="s">
        <v>74</v>
      </c>
      <c r="BH475" t="s">
        <v>74</v>
      </c>
      <c r="BI475">
        <v>22</v>
      </c>
      <c r="BJ475" t="s">
        <v>416</v>
      </c>
      <c r="BK475" t="s">
        <v>103</v>
      </c>
      <c r="BL475" t="s">
        <v>417</v>
      </c>
      <c r="BM475" t="s">
        <v>9069</v>
      </c>
      <c r="BN475" t="s">
        <v>74</v>
      </c>
      <c r="BO475" t="s">
        <v>445</v>
      </c>
      <c r="BP475" t="s">
        <v>74</v>
      </c>
      <c r="BQ475" t="s">
        <v>74</v>
      </c>
      <c r="BR475" t="s">
        <v>106</v>
      </c>
      <c r="BS475" t="s">
        <v>9087</v>
      </c>
      <c r="BT475" t="str">
        <f>HYPERLINK("https%3A%2F%2Fwww.webofscience.com%2Fwos%2Fwoscc%2Ffull-record%2FWOS:000937134200004","View Full Record in Web of Science")</f>
        <v>View Full Record in Web of Science</v>
      </c>
    </row>
    <row r="476" spans="1:72" x14ac:dyDescent="0.15">
      <c r="A476" t="s">
        <v>72</v>
      </c>
      <c r="B476" t="s">
        <v>9088</v>
      </c>
      <c r="C476" t="s">
        <v>74</v>
      </c>
      <c r="D476" t="s">
        <v>74</v>
      </c>
      <c r="E476" t="s">
        <v>74</v>
      </c>
      <c r="F476" t="s">
        <v>9089</v>
      </c>
      <c r="G476" t="s">
        <v>74</v>
      </c>
      <c r="H476" t="s">
        <v>74</v>
      </c>
      <c r="I476" t="s">
        <v>9090</v>
      </c>
      <c r="J476" t="s">
        <v>8930</v>
      </c>
      <c r="K476" t="s">
        <v>74</v>
      </c>
      <c r="L476" t="s">
        <v>74</v>
      </c>
      <c r="M476" t="s">
        <v>78</v>
      </c>
      <c r="N476" t="s">
        <v>79</v>
      </c>
      <c r="O476" t="s">
        <v>74</v>
      </c>
      <c r="P476" t="s">
        <v>74</v>
      </c>
      <c r="Q476" t="s">
        <v>74</v>
      </c>
      <c r="R476" t="s">
        <v>74</v>
      </c>
      <c r="S476" t="s">
        <v>74</v>
      </c>
      <c r="T476" t="s">
        <v>9091</v>
      </c>
      <c r="U476" t="s">
        <v>9092</v>
      </c>
      <c r="V476" t="s">
        <v>9093</v>
      </c>
      <c r="W476" t="s">
        <v>9094</v>
      </c>
      <c r="X476" t="s">
        <v>9095</v>
      </c>
      <c r="Y476" t="s">
        <v>9096</v>
      </c>
      <c r="Z476" t="s">
        <v>9097</v>
      </c>
      <c r="AA476" t="s">
        <v>9098</v>
      </c>
      <c r="AB476" t="s">
        <v>74</v>
      </c>
      <c r="AC476" t="s">
        <v>9099</v>
      </c>
      <c r="AD476" t="s">
        <v>9100</v>
      </c>
      <c r="AE476" t="s">
        <v>9101</v>
      </c>
      <c r="AF476" t="s">
        <v>74</v>
      </c>
      <c r="AG476">
        <v>23</v>
      </c>
      <c r="AH476">
        <v>0</v>
      </c>
      <c r="AI476">
        <v>0</v>
      </c>
      <c r="AJ476">
        <v>2</v>
      </c>
      <c r="AK476">
        <v>4</v>
      </c>
      <c r="AL476" t="s">
        <v>8943</v>
      </c>
      <c r="AM476" t="s">
        <v>8944</v>
      </c>
      <c r="AN476" t="s">
        <v>8945</v>
      </c>
      <c r="AO476" t="s">
        <v>8946</v>
      </c>
      <c r="AP476" t="s">
        <v>8947</v>
      </c>
      <c r="AQ476" t="s">
        <v>74</v>
      </c>
      <c r="AR476" t="s">
        <v>8948</v>
      </c>
      <c r="AS476" t="s">
        <v>8949</v>
      </c>
      <c r="AT476" t="s">
        <v>74</v>
      </c>
      <c r="AU476">
        <v>2022</v>
      </c>
      <c r="AV476">
        <v>12</v>
      </c>
      <c r="AW476">
        <v>2</v>
      </c>
      <c r="AX476" t="s">
        <v>74</v>
      </c>
      <c r="AY476" t="s">
        <v>74</v>
      </c>
      <c r="AZ476" t="s">
        <v>74</v>
      </c>
      <c r="BA476" t="s">
        <v>74</v>
      </c>
      <c r="BB476">
        <v>155</v>
      </c>
      <c r="BC476">
        <v>159</v>
      </c>
      <c r="BD476" t="s">
        <v>74</v>
      </c>
      <c r="BE476" t="s">
        <v>9102</v>
      </c>
      <c r="BF476" t="str">
        <f>HYPERLINK("http://dx.doi.org/10.5817/CPR2022-2-11","http://dx.doi.org/10.5817/CPR2022-2-11")</f>
        <v>http://dx.doi.org/10.5817/CPR2022-2-11</v>
      </c>
      <c r="BG476" t="s">
        <v>74</v>
      </c>
      <c r="BH476" t="s">
        <v>74</v>
      </c>
      <c r="BI476">
        <v>5</v>
      </c>
      <c r="BJ476" t="s">
        <v>416</v>
      </c>
      <c r="BK476" t="s">
        <v>724</v>
      </c>
      <c r="BL476" t="s">
        <v>417</v>
      </c>
      <c r="BM476" t="s">
        <v>9103</v>
      </c>
      <c r="BN476" t="s">
        <v>74</v>
      </c>
      <c r="BO476" t="s">
        <v>445</v>
      </c>
      <c r="BP476" t="s">
        <v>74</v>
      </c>
      <c r="BQ476" t="s">
        <v>74</v>
      </c>
      <c r="BR476" t="s">
        <v>106</v>
      </c>
      <c r="BS476" t="s">
        <v>9104</v>
      </c>
      <c r="BT476" t="str">
        <f>HYPERLINK("https%3A%2F%2Fwww.webofscience.com%2Fwos%2Fwoscc%2Ffull-record%2FWOS:000935360100001","View Full Record in Web of Science")</f>
        <v>View Full Record in Web of Science</v>
      </c>
    </row>
    <row r="477" spans="1:72" x14ac:dyDescent="0.15">
      <c r="A477" t="s">
        <v>72</v>
      </c>
      <c r="B477" t="s">
        <v>9105</v>
      </c>
      <c r="C477" t="s">
        <v>74</v>
      </c>
      <c r="D477" t="s">
        <v>74</v>
      </c>
      <c r="E477" t="s">
        <v>74</v>
      </c>
      <c r="F477" t="s">
        <v>9106</v>
      </c>
      <c r="G477" t="s">
        <v>74</v>
      </c>
      <c r="H477" t="s">
        <v>74</v>
      </c>
      <c r="I477" t="s">
        <v>9107</v>
      </c>
      <c r="J477" t="s">
        <v>8930</v>
      </c>
      <c r="K477" t="s">
        <v>74</v>
      </c>
      <c r="L477" t="s">
        <v>74</v>
      </c>
      <c r="M477" t="s">
        <v>78</v>
      </c>
      <c r="N477" t="s">
        <v>79</v>
      </c>
      <c r="O477" t="s">
        <v>74</v>
      </c>
      <c r="P477" t="s">
        <v>74</v>
      </c>
      <c r="Q477" t="s">
        <v>74</v>
      </c>
      <c r="R477" t="s">
        <v>74</v>
      </c>
      <c r="S477" t="s">
        <v>74</v>
      </c>
      <c r="T477" t="s">
        <v>9108</v>
      </c>
      <c r="U477" t="s">
        <v>9109</v>
      </c>
      <c r="V477" t="s">
        <v>9110</v>
      </c>
      <c r="W477" t="s">
        <v>9111</v>
      </c>
      <c r="X477" t="s">
        <v>9112</v>
      </c>
      <c r="Y477" t="s">
        <v>9113</v>
      </c>
      <c r="Z477" t="s">
        <v>9114</v>
      </c>
      <c r="AA477" t="s">
        <v>9115</v>
      </c>
      <c r="AB477" t="s">
        <v>9116</v>
      </c>
      <c r="AC477" t="s">
        <v>74</v>
      </c>
      <c r="AD477" t="s">
        <v>74</v>
      </c>
      <c r="AE477" t="s">
        <v>74</v>
      </c>
      <c r="AF477" t="s">
        <v>74</v>
      </c>
      <c r="AG477">
        <v>45</v>
      </c>
      <c r="AH477">
        <v>0</v>
      </c>
      <c r="AI477">
        <v>0</v>
      </c>
      <c r="AJ477">
        <v>1</v>
      </c>
      <c r="AK477">
        <v>1</v>
      </c>
      <c r="AL477" t="s">
        <v>8943</v>
      </c>
      <c r="AM477" t="s">
        <v>8944</v>
      </c>
      <c r="AN477" t="s">
        <v>8945</v>
      </c>
      <c r="AO477" t="s">
        <v>8946</v>
      </c>
      <c r="AP477" t="s">
        <v>8947</v>
      </c>
      <c r="AQ477" t="s">
        <v>74</v>
      </c>
      <c r="AR477" t="s">
        <v>8948</v>
      </c>
      <c r="AS477" t="s">
        <v>8949</v>
      </c>
      <c r="AT477" t="s">
        <v>74</v>
      </c>
      <c r="AU477">
        <v>2022</v>
      </c>
      <c r="AV477">
        <v>12</v>
      </c>
      <c r="AW477">
        <v>2</v>
      </c>
      <c r="AX477" t="s">
        <v>74</v>
      </c>
      <c r="AY477" t="s">
        <v>74</v>
      </c>
      <c r="AZ477" t="s">
        <v>74</v>
      </c>
      <c r="BA477" t="s">
        <v>74</v>
      </c>
      <c r="BB477">
        <v>203</v>
      </c>
      <c r="BC477">
        <v>221</v>
      </c>
      <c r="BD477" t="s">
        <v>74</v>
      </c>
      <c r="BE477" t="s">
        <v>9117</v>
      </c>
      <c r="BF477" t="str">
        <f>HYPERLINK("http://dx.doi.org/10.5817/CPR2022-2-15","http://dx.doi.org/10.5817/CPR2022-2-15")</f>
        <v>http://dx.doi.org/10.5817/CPR2022-2-15</v>
      </c>
      <c r="BG477" t="s">
        <v>74</v>
      </c>
      <c r="BH477" t="s">
        <v>74</v>
      </c>
      <c r="BI477">
        <v>19</v>
      </c>
      <c r="BJ477" t="s">
        <v>416</v>
      </c>
      <c r="BK477" t="s">
        <v>724</v>
      </c>
      <c r="BL477" t="s">
        <v>417</v>
      </c>
      <c r="BM477" t="s">
        <v>9103</v>
      </c>
      <c r="BN477" t="s">
        <v>74</v>
      </c>
      <c r="BO477" t="s">
        <v>445</v>
      </c>
      <c r="BP477" t="s">
        <v>74</v>
      </c>
      <c r="BQ477" t="s">
        <v>74</v>
      </c>
      <c r="BR477" t="s">
        <v>106</v>
      </c>
      <c r="BS477" t="s">
        <v>9118</v>
      </c>
      <c r="BT477" t="str">
        <f>HYPERLINK("https%3A%2F%2Fwww.webofscience.com%2Fwos%2Fwoscc%2Ffull-record%2FWOS:000935360100005","View Full Record in Web of Science")</f>
        <v>View Full Record in Web of Science</v>
      </c>
    </row>
    <row r="478" spans="1:72" x14ac:dyDescent="0.15">
      <c r="A478" t="s">
        <v>72</v>
      </c>
      <c r="B478" t="s">
        <v>9119</v>
      </c>
      <c r="C478" t="s">
        <v>74</v>
      </c>
      <c r="D478" t="s">
        <v>74</v>
      </c>
      <c r="E478" t="s">
        <v>74</v>
      </c>
      <c r="F478" t="s">
        <v>9120</v>
      </c>
      <c r="G478" t="s">
        <v>74</v>
      </c>
      <c r="H478" t="s">
        <v>74</v>
      </c>
      <c r="I478" t="s">
        <v>9121</v>
      </c>
      <c r="J478" t="s">
        <v>8930</v>
      </c>
      <c r="K478" t="s">
        <v>74</v>
      </c>
      <c r="L478" t="s">
        <v>74</v>
      </c>
      <c r="M478" t="s">
        <v>78</v>
      </c>
      <c r="N478" t="s">
        <v>79</v>
      </c>
      <c r="O478" t="s">
        <v>74</v>
      </c>
      <c r="P478" t="s">
        <v>74</v>
      </c>
      <c r="Q478" t="s">
        <v>74</v>
      </c>
      <c r="R478" t="s">
        <v>74</v>
      </c>
      <c r="S478" t="s">
        <v>74</v>
      </c>
      <c r="T478" t="s">
        <v>9122</v>
      </c>
      <c r="U478" t="s">
        <v>9123</v>
      </c>
      <c r="V478" t="s">
        <v>9124</v>
      </c>
      <c r="W478" t="s">
        <v>9125</v>
      </c>
      <c r="X478" t="s">
        <v>9126</v>
      </c>
      <c r="Y478" t="s">
        <v>9127</v>
      </c>
      <c r="Z478" t="s">
        <v>9128</v>
      </c>
      <c r="AA478" t="s">
        <v>9129</v>
      </c>
      <c r="AB478" t="s">
        <v>9130</v>
      </c>
      <c r="AC478" t="s">
        <v>9131</v>
      </c>
      <c r="AD478" t="s">
        <v>9132</v>
      </c>
      <c r="AE478" t="s">
        <v>9133</v>
      </c>
      <c r="AF478" t="s">
        <v>74</v>
      </c>
      <c r="AG478">
        <v>29</v>
      </c>
      <c r="AH478">
        <v>4</v>
      </c>
      <c r="AI478">
        <v>4</v>
      </c>
      <c r="AJ478">
        <v>0</v>
      </c>
      <c r="AK478">
        <v>7</v>
      </c>
      <c r="AL478" t="s">
        <v>8943</v>
      </c>
      <c r="AM478" t="s">
        <v>8944</v>
      </c>
      <c r="AN478" t="s">
        <v>8945</v>
      </c>
      <c r="AO478" t="s">
        <v>8946</v>
      </c>
      <c r="AP478" t="s">
        <v>8947</v>
      </c>
      <c r="AQ478" t="s">
        <v>74</v>
      </c>
      <c r="AR478" t="s">
        <v>8948</v>
      </c>
      <c r="AS478" t="s">
        <v>8949</v>
      </c>
      <c r="AT478" t="s">
        <v>74</v>
      </c>
      <c r="AU478">
        <v>2022</v>
      </c>
      <c r="AV478">
        <v>12</v>
      </c>
      <c r="AW478">
        <v>2</v>
      </c>
      <c r="AX478" t="s">
        <v>74</v>
      </c>
      <c r="AY478" t="s">
        <v>74</v>
      </c>
      <c r="AZ478" t="s">
        <v>74</v>
      </c>
      <c r="BA478" t="s">
        <v>74</v>
      </c>
      <c r="BB478">
        <v>246</v>
      </c>
      <c r="BC478">
        <v>255</v>
      </c>
      <c r="BD478" t="s">
        <v>74</v>
      </c>
      <c r="BE478" t="s">
        <v>9134</v>
      </c>
      <c r="BF478" t="str">
        <f>HYPERLINK("http://dx.doi.org/10.5817/CPR2022-2-18","http://dx.doi.org/10.5817/CPR2022-2-18")</f>
        <v>http://dx.doi.org/10.5817/CPR2022-2-18</v>
      </c>
      <c r="BG478" t="s">
        <v>74</v>
      </c>
      <c r="BH478" t="s">
        <v>74</v>
      </c>
      <c r="BI478">
        <v>10</v>
      </c>
      <c r="BJ478" t="s">
        <v>416</v>
      </c>
      <c r="BK478" t="s">
        <v>724</v>
      </c>
      <c r="BL478" t="s">
        <v>417</v>
      </c>
      <c r="BM478" t="s">
        <v>9103</v>
      </c>
      <c r="BN478" t="s">
        <v>74</v>
      </c>
      <c r="BO478" t="s">
        <v>445</v>
      </c>
      <c r="BP478" t="s">
        <v>74</v>
      </c>
      <c r="BQ478" t="s">
        <v>74</v>
      </c>
      <c r="BR478" t="s">
        <v>106</v>
      </c>
      <c r="BS478" t="s">
        <v>9135</v>
      </c>
      <c r="BT478" t="str">
        <f>HYPERLINK("https%3A%2F%2Fwww.webofscience.com%2Fwos%2Fwoscc%2Ffull-record%2FWOS:000935360100008","View Full Record in Web of Science")</f>
        <v>View Full Record in Web of Science</v>
      </c>
    </row>
    <row r="479" spans="1:72" x14ac:dyDescent="0.15">
      <c r="A479" t="s">
        <v>72</v>
      </c>
      <c r="B479" t="s">
        <v>9136</v>
      </c>
      <c r="C479" t="s">
        <v>74</v>
      </c>
      <c r="D479" t="s">
        <v>74</v>
      </c>
      <c r="E479" t="s">
        <v>74</v>
      </c>
      <c r="F479" t="s">
        <v>9137</v>
      </c>
      <c r="G479" t="s">
        <v>74</v>
      </c>
      <c r="H479" t="s">
        <v>74</v>
      </c>
      <c r="I479" t="s">
        <v>9138</v>
      </c>
      <c r="J479" t="s">
        <v>8930</v>
      </c>
      <c r="K479" t="s">
        <v>74</v>
      </c>
      <c r="L479" t="s">
        <v>74</v>
      </c>
      <c r="M479" t="s">
        <v>78</v>
      </c>
      <c r="N479" t="s">
        <v>79</v>
      </c>
      <c r="O479" t="s">
        <v>74</v>
      </c>
      <c r="P479" t="s">
        <v>74</v>
      </c>
      <c r="Q479" t="s">
        <v>74</v>
      </c>
      <c r="R479" t="s">
        <v>74</v>
      </c>
      <c r="S479" t="s">
        <v>74</v>
      </c>
      <c r="T479" t="s">
        <v>9139</v>
      </c>
      <c r="U479" t="s">
        <v>9140</v>
      </c>
      <c r="V479" t="s">
        <v>9141</v>
      </c>
      <c r="W479" t="s">
        <v>9142</v>
      </c>
      <c r="X479" t="s">
        <v>9143</v>
      </c>
      <c r="Y479" t="s">
        <v>9144</v>
      </c>
      <c r="Z479" t="s">
        <v>9145</v>
      </c>
      <c r="AA479" t="s">
        <v>9146</v>
      </c>
      <c r="AB479" t="s">
        <v>9147</v>
      </c>
      <c r="AC479" t="s">
        <v>9148</v>
      </c>
      <c r="AD479" t="s">
        <v>9149</v>
      </c>
      <c r="AE479" t="s">
        <v>9150</v>
      </c>
      <c r="AF479" t="s">
        <v>74</v>
      </c>
      <c r="AG479">
        <v>34</v>
      </c>
      <c r="AH479">
        <v>1</v>
      </c>
      <c r="AI479">
        <v>1</v>
      </c>
      <c r="AJ479">
        <v>1</v>
      </c>
      <c r="AK479">
        <v>4</v>
      </c>
      <c r="AL479" t="s">
        <v>8943</v>
      </c>
      <c r="AM479" t="s">
        <v>8944</v>
      </c>
      <c r="AN479" t="s">
        <v>8945</v>
      </c>
      <c r="AO479" t="s">
        <v>8946</v>
      </c>
      <c r="AP479" t="s">
        <v>8947</v>
      </c>
      <c r="AQ479" t="s">
        <v>74</v>
      </c>
      <c r="AR479" t="s">
        <v>8948</v>
      </c>
      <c r="AS479" t="s">
        <v>8949</v>
      </c>
      <c r="AT479" t="s">
        <v>74</v>
      </c>
      <c r="AU479">
        <v>2022</v>
      </c>
      <c r="AV479">
        <v>12</v>
      </c>
      <c r="AW479">
        <v>2</v>
      </c>
      <c r="AX479" t="s">
        <v>74</v>
      </c>
      <c r="AY479" t="s">
        <v>74</v>
      </c>
      <c r="AZ479" t="s">
        <v>74</v>
      </c>
      <c r="BA479" t="s">
        <v>74</v>
      </c>
      <c r="BB479">
        <v>256</v>
      </c>
      <c r="BC479">
        <v>268</v>
      </c>
      <c r="BD479" t="s">
        <v>74</v>
      </c>
      <c r="BE479" t="s">
        <v>9151</v>
      </c>
      <c r="BF479" t="str">
        <f>HYPERLINK("http://dx.doi.org/10.5817/CPR2022-2-19","http://dx.doi.org/10.5817/CPR2022-2-19")</f>
        <v>http://dx.doi.org/10.5817/CPR2022-2-19</v>
      </c>
      <c r="BG479" t="s">
        <v>74</v>
      </c>
      <c r="BH479" t="s">
        <v>74</v>
      </c>
      <c r="BI479">
        <v>13</v>
      </c>
      <c r="BJ479" t="s">
        <v>416</v>
      </c>
      <c r="BK479" t="s">
        <v>724</v>
      </c>
      <c r="BL479" t="s">
        <v>417</v>
      </c>
      <c r="BM479" t="s">
        <v>9103</v>
      </c>
      <c r="BN479" t="s">
        <v>74</v>
      </c>
      <c r="BO479" t="s">
        <v>445</v>
      </c>
      <c r="BP479" t="s">
        <v>74</v>
      </c>
      <c r="BQ479" t="s">
        <v>74</v>
      </c>
      <c r="BR479" t="s">
        <v>106</v>
      </c>
      <c r="BS479" t="s">
        <v>9152</v>
      </c>
      <c r="BT479" t="str">
        <f>HYPERLINK("https%3A%2F%2Fwww.webofscience.com%2Fwos%2Fwoscc%2Ffull-record%2FWOS:000935360100009","View Full Record in Web of Science")</f>
        <v>View Full Record in Web of Science</v>
      </c>
    </row>
    <row r="480" spans="1:72" x14ac:dyDescent="0.15">
      <c r="A480" t="s">
        <v>72</v>
      </c>
      <c r="B480" t="s">
        <v>9153</v>
      </c>
      <c r="C480" t="s">
        <v>74</v>
      </c>
      <c r="D480" t="s">
        <v>74</v>
      </c>
      <c r="E480" t="s">
        <v>74</v>
      </c>
      <c r="F480" t="s">
        <v>9154</v>
      </c>
      <c r="G480" t="s">
        <v>74</v>
      </c>
      <c r="H480" t="s">
        <v>74</v>
      </c>
      <c r="I480" t="s">
        <v>9155</v>
      </c>
      <c r="J480" t="s">
        <v>8930</v>
      </c>
      <c r="K480" t="s">
        <v>74</v>
      </c>
      <c r="L480" t="s">
        <v>74</v>
      </c>
      <c r="M480" t="s">
        <v>78</v>
      </c>
      <c r="N480" t="s">
        <v>79</v>
      </c>
      <c r="O480" t="s">
        <v>74</v>
      </c>
      <c r="P480" t="s">
        <v>74</v>
      </c>
      <c r="Q480" t="s">
        <v>74</v>
      </c>
      <c r="R480" t="s">
        <v>74</v>
      </c>
      <c r="S480" t="s">
        <v>74</v>
      </c>
      <c r="T480" t="s">
        <v>9156</v>
      </c>
      <c r="U480" t="s">
        <v>9157</v>
      </c>
      <c r="V480" t="s">
        <v>9158</v>
      </c>
      <c r="W480" t="s">
        <v>9159</v>
      </c>
      <c r="X480" t="s">
        <v>9160</v>
      </c>
      <c r="Y480" t="s">
        <v>9161</v>
      </c>
      <c r="Z480" t="s">
        <v>9162</v>
      </c>
      <c r="AA480" t="s">
        <v>74</v>
      </c>
      <c r="AB480" t="s">
        <v>9163</v>
      </c>
      <c r="AC480" t="s">
        <v>9164</v>
      </c>
      <c r="AD480" t="s">
        <v>9165</v>
      </c>
      <c r="AE480" t="s">
        <v>9166</v>
      </c>
      <c r="AF480" t="s">
        <v>74</v>
      </c>
      <c r="AG480">
        <v>34</v>
      </c>
      <c r="AH480">
        <v>1</v>
      </c>
      <c r="AI480">
        <v>1</v>
      </c>
      <c r="AJ480">
        <v>0</v>
      </c>
      <c r="AK480">
        <v>4</v>
      </c>
      <c r="AL480" t="s">
        <v>8943</v>
      </c>
      <c r="AM480" t="s">
        <v>8944</v>
      </c>
      <c r="AN480" t="s">
        <v>8945</v>
      </c>
      <c r="AO480" t="s">
        <v>8946</v>
      </c>
      <c r="AP480" t="s">
        <v>8947</v>
      </c>
      <c r="AQ480" t="s">
        <v>74</v>
      </c>
      <c r="AR480" t="s">
        <v>8948</v>
      </c>
      <c r="AS480" t="s">
        <v>8949</v>
      </c>
      <c r="AT480" t="s">
        <v>74</v>
      </c>
      <c r="AU480">
        <v>2022</v>
      </c>
      <c r="AV480">
        <v>12</v>
      </c>
      <c r="AW480">
        <v>2</v>
      </c>
      <c r="AX480" t="s">
        <v>74</v>
      </c>
      <c r="AY480" t="s">
        <v>74</v>
      </c>
      <c r="AZ480" t="s">
        <v>74</v>
      </c>
      <c r="BA480" t="s">
        <v>74</v>
      </c>
      <c r="BB480">
        <v>269</v>
      </c>
      <c r="BC480">
        <v>279</v>
      </c>
      <c r="BD480" t="s">
        <v>74</v>
      </c>
      <c r="BE480" t="s">
        <v>9167</v>
      </c>
      <c r="BF480" t="str">
        <f>HYPERLINK("http://dx.doi.org/10.5817/CPR2022-2-20","http://dx.doi.org/10.5817/CPR2022-2-20")</f>
        <v>http://dx.doi.org/10.5817/CPR2022-2-20</v>
      </c>
      <c r="BG480" t="s">
        <v>74</v>
      </c>
      <c r="BH480" t="s">
        <v>74</v>
      </c>
      <c r="BI480">
        <v>11</v>
      </c>
      <c r="BJ480" t="s">
        <v>416</v>
      </c>
      <c r="BK480" t="s">
        <v>724</v>
      </c>
      <c r="BL480" t="s">
        <v>417</v>
      </c>
      <c r="BM480" t="s">
        <v>9103</v>
      </c>
      <c r="BN480" t="s">
        <v>74</v>
      </c>
      <c r="BO480" t="s">
        <v>445</v>
      </c>
      <c r="BP480" t="s">
        <v>74</v>
      </c>
      <c r="BQ480" t="s">
        <v>74</v>
      </c>
      <c r="BR480" t="s">
        <v>106</v>
      </c>
      <c r="BS480" t="s">
        <v>9168</v>
      </c>
      <c r="BT480" t="str">
        <f>HYPERLINK("https%3A%2F%2Fwww.webofscience.com%2Fwos%2Fwoscc%2Ffull-record%2FWOS:000935360100010","View Full Record in Web of Science")</f>
        <v>View Full Record in Web of Science</v>
      </c>
    </row>
    <row r="481" spans="1:72" x14ac:dyDescent="0.15">
      <c r="A481" t="s">
        <v>72</v>
      </c>
      <c r="B481" t="s">
        <v>9169</v>
      </c>
      <c r="C481" t="s">
        <v>74</v>
      </c>
      <c r="D481" t="s">
        <v>74</v>
      </c>
      <c r="E481" t="s">
        <v>74</v>
      </c>
      <c r="F481" t="s">
        <v>9170</v>
      </c>
      <c r="G481" t="s">
        <v>74</v>
      </c>
      <c r="H481" t="s">
        <v>74</v>
      </c>
      <c r="I481" t="s">
        <v>9171</v>
      </c>
      <c r="J481" t="s">
        <v>9172</v>
      </c>
      <c r="K481" t="s">
        <v>74</v>
      </c>
      <c r="L481" t="s">
        <v>74</v>
      </c>
      <c r="M481" t="s">
        <v>78</v>
      </c>
      <c r="N481" t="s">
        <v>79</v>
      </c>
      <c r="O481" t="s">
        <v>74</v>
      </c>
      <c r="P481" t="s">
        <v>74</v>
      </c>
      <c r="Q481" t="s">
        <v>74</v>
      </c>
      <c r="R481" t="s">
        <v>74</v>
      </c>
      <c r="S481" t="s">
        <v>74</v>
      </c>
      <c r="T481" t="s">
        <v>9173</v>
      </c>
      <c r="U481" t="s">
        <v>74</v>
      </c>
      <c r="V481" t="s">
        <v>9174</v>
      </c>
      <c r="W481" t="s">
        <v>9175</v>
      </c>
      <c r="X481" t="s">
        <v>9176</v>
      </c>
      <c r="Y481" t="s">
        <v>9177</v>
      </c>
      <c r="Z481" t="s">
        <v>9178</v>
      </c>
      <c r="AA481" t="s">
        <v>9179</v>
      </c>
      <c r="AB481" t="s">
        <v>9180</v>
      </c>
      <c r="AC481" t="s">
        <v>74</v>
      </c>
      <c r="AD481" t="s">
        <v>74</v>
      </c>
      <c r="AE481" t="s">
        <v>74</v>
      </c>
      <c r="AF481" t="s">
        <v>74</v>
      </c>
      <c r="AG481">
        <v>40</v>
      </c>
      <c r="AH481">
        <v>0</v>
      </c>
      <c r="AI481">
        <v>0</v>
      </c>
      <c r="AJ481">
        <v>1</v>
      </c>
      <c r="AK481">
        <v>1</v>
      </c>
      <c r="AL481" t="s">
        <v>9181</v>
      </c>
      <c r="AM481" t="s">
        <v>9182</v>
      </c>
      <c r="AN481" t="s">
        <v>9183</v>
      </c>
      <c r="AO481" t="s">
        <v>9184</v>
      </c>
      <c r="AP481" t="s">
        <v>9185</v>
      </c>
      <c r="AQ481" t="s">
        <v>74</v>
      </c>
      <c r="AR481" t="s">
        <v>9186</v>
      </c>
      <c r="AS481" t="s">
        <v>9187</v>
      </c>
      <c r="AT481" t="s">
        <v>74</v>
      </c>
      <c r="AU481">
        <v>2022</v>
      </c>
      <c r="AV481" t="s">
        <v>74</v>
      </c>
      <c r="AW481">
        <v>37</v>
      </c>
      <c r="AX481" t="s">
        <v>74</v>
      </c>
      <c r="AY481" t="s">
        <v>74</v>
      </c>
      <c r="AZ481" t="s">
        <v>74</v>
      </c>
      <c r="BA481" t="s">
        <v>74</v>
      </c>
      <c r="BB481">
        <v>13</v>
      </c>
      <c r="BC481">
        <v>26</v>
      </c>
      <c r="BD481" t="s">
        <v>74</v>
      </c>
      <c r="BE481" t="s">
        <v>9188</v>
      </c>
      <c r="BF481" t="str">
        <f>HYPERLINK("http://dx.doi.org/10.35588/estudav.v0i37.5198","http://dx.doi.org/10.35588/estudav.v0i37.5198")</f>
        <v>http://dx.doi.org/10.35588/estudav.v0i37.5198</v>
      </c>
      <c r="BG481" t="s">
        <v>74</v>
      </c>
      <c r="BH481" t="s">
        <v>74</v>
      </c>
      <c r="BI481">
        <v>14</v>
      </c>
      <c r="BJ481" t="s">
        <v>9189</v>
      </c>
      <c r="BK481" t="s">
        <v>724</v>
      </c>
      <c r="BL481" t="s">
        <v>9190</v>
      </c>
      <c r="BM481" t="s">
        <v>9191</v>
      </c>
      <c r="BN481" t="s">
        <v>74</v>
      </c>
      <c r="BO481" t="s">
        <v>445</v>
      </c>
      <c r="BP481" t="s">
        <v>74</v>
      </c>
      <c r="BQ481" t="s">
        <v>74</v>
      </c>
      <c r="BR481" t="s">
        <v>106</v>
      </c>
      <c r="BS481" t="s">
        <v>9192</v>
      </c>
      <c r="BT481" t="str">
        <f>HYPERLINK("https%3A%2F%2Fwww.webofscience.com%2Fwos%2Fwoscc%2Ffull-record%2FWOS:000933168400002","View Full Record in Web of Science")</f>
        <v>View Full Record in Web of Science</v>
      </c>
    </row>
    <row r="482" spans="1:72" x14ac:dyDescent="0.15">
      <c r="A482" t="s">
        <v>72</v>
      </c>
      <c r="B482" t="s">
        <v>9193</v>
      </c>
      <c r="C482" t="s">
        <v>74</v>
      </c>
      <c r="D482" t="s">
        <v>74</v>
      </c>
      <c r="E482" t="s">
        <v>74</v>
      </c>
      <c r="F482" t="s">
        <v>9194</v>
      </c>
      <c r="G482" t="s">
        <v>74</v>
      </c>
      <c r="H482" t="s">
        <v>74</v>
      </c>
      <c r="I482" t="s">
        <v>9195</v>
      </c>
      <c r="J482" t="s">
        <v>9196</v>
      </c>
      <c r="K482" t="s">
        <v>74</v>
      </c>
      <c r="L482" t="s">
        <v>74</v>
      </c>
      <c r="M482" t="s">
        <v>78</v>
      </c>
      <c r="N482" t="s">
        <v>79</v>
      </c>
      <c r="O482" t="s">
        <v>74</v>
      </c>
      <c r="P482" t="s">
        <v>74</v>
      </c>
      <c r="Q482" t="s">
        <v>74</v>
      </c>
      <c r="R482" t="s">
        <v>74</v>
      </c>
      <c r="S482" t="s">
        <v>74</v>
      </c>
      <c r="T482" t="s">
        <v>9197</v>
      </c>
      <c r="U482" t="s">
        <v>9198</v>
      </c>
      <c r="V482" t="s">
        <v>9199</v>
      </c>
      <c r="W482" t="s">
        <v>9200</v>
      </c>
      <c r="X482" t="s">
        <v>9201</v>
      </c>
      <c r="Y482" t="s">
        <v>9202</v>
      </c>
      <c r="Z482" t="s">
        <v>9203</v>
      </c>
      <c r="AA482" t="s">
        <v>9204</v>
      </c>
      <c r="AB482" t="s">
        <v>9205</v>
      </c>
      <c r="AC482" t="s">
        <v>9206</v>
      </c>
      <c r="AD482" t="s">
        <v>9207</v>
      </c>
      <c r="AE482" t="s">
        <v>9208</v>
      </c>
      <c r="AF482" t="s">
        <v>74</v>
      </c>
      <c r="AG482">
        <v>36</v>
      </c>
      <c r="AH482">
        <v>7</v>
      </c>
      <c r="AI482">
        <v>7</v>
      </c>
      <c r="AJ482">
        <v>5</v>
      </c>
      <c r="AK482">
        <v>13</v>
      </c>
      <c r="AL482" t="s">
        <v>1667</v>
      </c>
      <c r="AM482" t="s">
        <v>1668</v>
      </c>
      <c r="AN482" t="s">
        <v>1669</v>
      </c>
      <c r="AO482" t="s">
        <v>9209</v>
      </c>
      <c r="AP482" t="s">
        <v>9210</v>
      </c>
      <c r="AQ482" t="s">
        <v>74</v>
      </c>
      <c r="AR482" t="s">
        <v>9211</v>
      </c>
      <c r="AS482" t="s">
        <v>9212</v>
      </c>
      <c r="AT482" t="s">
        <v>74</v>
      </c>
      <c r="AU482">
        <v>2022</v>
      </c>
      <c r="AV482">
        <v>60</v>
      </c>
      <c r="AW482" t="s">
        <v>74</v>
      </c>
      <c r="AX482" t="s">
        <v>74</v>
      </c>
      <c r="AY482" t="s">
        <v>74</v>
      </c>
      <c r="AZ482" t="s">
        <v>74</v>
      </c>
      <c r="BA482" t="s">
        <v>74</v>
      </c>
      <c r="BB482" t="s">
        <v>74</v>
      </c>
      <c r="BC482" t="s">
        <v>74</v>
      </c>
      <c r="BD482">
        <v>4212312</v>
      </c>
      <c r="BE482" t="s">
        <v>9213</v>
      </c>
      <c r="BF482" t="str">
        <f>HYPERLINK("http://dx.doi.org/10.1109/TGRS.2022.3228961","http://dx.doi.org/10.1109/TGRS.2022.3228961")</f>
        <v>http://dx.doi.org/10.1109/TGRS.2022.3228961</v>
      </c>
      <c r="BG482" t="s">
        <v>74</v>
      </c>
      <c r="BH482" t="s">
        <v>74</v>
      </c>
      <c r="BI482">
        <v>12</v>
      </c>
      <c r="BJ482" t="s">
        <v>9214</v>
      </c>
      <c r="BK482" t="s">
        <v>103</v>
      </c>
      <c r="BL482" t="s">
        <v>9215</v>
      </c>
      <c r="BM482" t="s">
        <v>9216</v>
      </c>
      <c r="BN482" t="s">
        <v>74</v>
      </c>
      <c r="BO482" t="s">
        <v>74</v>
      </c>
      <c r="BP482" t="s">
        <v>74</v>
      </c>
      <c r="BQ482" t="s">
        <v>74</v>
      </c>
      <c r="BR482" t="s">
        <v>106</v>
      </c>
      <c r="BS482" t="s">
        <v>9217</v>
      </c>
      <c r="BT482" t="str">
        <f>HYPERLINK("https%3A%2F%2Fwww.webofscience.com%2Fwos%2Fwoscc%2Ffull-record%2FWOS:000922341700002","View Full Record in Web of Science")</f>
        <v>View Full Record in Web of Science</v>
      </c>
    </row>
    <row r="483" spans="1:72" x14ac:dyDescent="0.15">
      <c r="A483" t="s">
        <v>72</v>
      </c>
      <c r="B483" t="s">
        <v>9218</v>
      </c>
      <c r="C483" t="s">
        <v>74</v>
      </c>
      <c r="D483" t="s">
        <v>74</v>
      </c>
      <c r="E483" t="s">
        <v>74</v>
      </c>
      <c r="F483" t="s">
        <v>9219</v>
      </c>
      <c r="G483" t="s">
        <v>74</v>
      </c>
      <c r="H483" t="s">
        <v>74</v>
      </c>
      <c r="I483" t="s">
        <v>9220</v>
      </c>
      <c r="J483" t="s">
        <v>8589</v>
      </c>
      <c r="K483" t="s">
        <v>74</v>
      </c>
      <c r="L483" t="s">
        <v>74</v>
      </c>
      <c r="M483" t="s">
        <v>8590</v>
      </c>
      <c r="N483" t="s">
        <v>79</v>
      </c>
      <c r="O483" t="s">
        <v>74</v>
      </c>
      <c r="P483" t="s">
        <v>74</v>
      </c>
      <c r="Q483" t="s">
        <v>74</v>
      </c>
      <c r="R483" t="s">
        <v>74</v>
      </c>
      <c r="S483" t="s">
        <v>74</v>
      </c>
      <c r="T483" t="s">
        <v>9221</v>
      </c>
      <c r="U483" t="s">
        <v>74</v>
      </c>
      <c r="V483" t="s">
        <v>9222</v>
      </c>
      <c r="W483" t="s">
        <v>9223</v>
      </c>
      <c r="X483" t="s">
        <v>9224</v>
      </c>
      <c r="Y483" t="s">
        <v>9225</v>
      </c>
      <c r="Z483" t="s">
        <v>9226</v>
      </c>
      <c r="AA483" t="s">
        <v>74</v>
      </c>
      <c r="AB483" t="s">
        <v>74</v>
      </c>
      <c r="AC483" t="s">
        <v>9227</v>
      </c>
      <c r="AD483" t="s">
        <v>9228</v>
      </c>
      <c r="AE483" t="s">
        <v>9229</v>
      </c>
      <c r="AF483" t="s">
        <v>74</v>
      </c>
      <c r="AG483">
        <v>18</v>
      </c>
      <c r="AH483">
        <v>0</v>
      </c>
      <c r="AI483">
        <v>0</v>
      </c>
      <c r="AJ483">
        <v>0</v>
      </c>
      <c r="AK483">
        <v>1</v>
      </c>
      <c r="AL483" t="s">
        <v>8601</v>
      </c>
      <c r="AM483" t="s">
        <v>8602</v>
      </c>
      <c r="AN483" t="s">
        <v>8603</v>
      </c>
      <c r="AO483" t="s">
        <v>8604</v>
      </c>
      <c r="AP483" t="s">
        <v>8605</v>
      </c>
      <c r="AQ483" t="s">
        <v>74</v>
      </c>
      <c r="AR483" t="s">
        <v>8606</v>
      </c>
      <c r="AS483" t="s">
        <v>8607</v>
      </c>
      <c r="AT483" t="s">
        <v>74</v>
      </c>
      <c r="AU483">
        <v>2022</v>
      </c>
      <c r="AV483">
        <v>67</v>
      </c>
      <c r="AW483">
        <v>3</v>
      </c>
      <c r="AX483" t="s">
        <v>74</v>
      </c>
      <c r="AY483" t="s">
        <v>74</v>
      </c>
      <c r="AZ483" t="s">
        <v>74</v>
      </c>
      <c r="BA483" t="s">
        <v>74</v>
      </c>
      <c r="BB483">
        <v>515</v>
      </c>
      <c r="BC483">
        <v>528</v>
      </c>
      <c r="BD483" t="s">
        <v>74</v>
      </c>
      <c r="BE483" t="s">
        <v>9230</v>
      </c>
      <c r="BF483" t="str">
        <f>HYPERLINK("http://dx.doi.org/10.21638/spbu07.2022.307","http://dx.doi.org/10.21638/spbu07.2022.307")</f>
        <v>http://dx.doi.org/10.21638/spbu07.2022.307</v>
      </c>
      <c r="BG483" t="s">
        <v>74</v>
      </c>
      <c r="BH483" t="s">
        <v>74</v>
      </c>
      <c r="BI483">
        <v>14</v>
      </c>
      <c r="BJ483" t="s">
        <v>151</v>
      </c>
      <c r="BK483" t="s">
        <v>724</v>
      </c>
      <c r="BL483" t="s">
        <v>152</v>
      </c>
      <c r="BM483" t="s">
        <v>9231</v>
      </c>
      <c r="BN483" t="s">
        <v>74</v>
      </c>
      <c r="BO483" t="s">
        <v>154</v>
      </c>
      <c r="BP483" t="s">
        <v>74</v>
      </c>
      <c r="BQ483" t="s">
        <v>74</v>
      </c>
      <c r="BR483" t="s">
        <v>106</v>
      </c>
      <c r="BS483" t="s">
        <v>9232</v>
      </c>
      <c r="BT483" t="str">
        <f>HYPERLINK("https%3A%2F%2Fwww.webofscience.com%2Fwos%2Fwoscc%2Ffull-record%2FWOS:000925840800007","View Full Record in Web of Science")</f>
        <v>View Full Record in Web of Science</v>
      </c>
    </row>
    <row r="484" spans="1:72" x14ac:dyDescent="0.15">
      <c r="A484" t="s">
        <v>72</v>
      </c>
      <c r="B484" t="s">
        <v>9233</v>
      </c>
      <c r="C484" t="s">
        <v>74</v>
      </c>
      <c r="D484" t="s">
        <v>74</v>
      </c>
      <c r="E484" t="s">
        <v>74</v>
      </c>
      <c r="F484" t="s">
        <v>9234</v>
      </c>
      <c r="G484" t="s">
        <v>74</v>
      </c>
      <c r="H484" t="s">
        <v>74</v>
      </c>
      <c r="I484" t="s">
        <v>9235</v>
      </c>
      <c r="J484" t="s">
        <v>9236</v>
      </c>
      <c r="K484" t="s">
        <v>74</v>
      </c>
      <c r="L484" t="s">
        <v>74</v>
      </c>
      <c r="M484" t="s">
        <v>78</v>
      </c>
      <c r="N484" t="s">
        <v>79</v>
      </c>
      <c r="O484" t="s">
        <v>74</v>
      </c>
      <c r="P484" t="s">
        <v>74</v>
      </c>
      <c r="Q484" t="s">
        <v>74</v>
      </c>
      <c r="R484" t="s">
        <v>74</v>
      </c>
      <c r="S484" t="s">
        <v>74</v>
      </c>
      <c r="T484" t="s">
        <v>9237</v>
      </c>
      <c r="U484" t="s">
        <v>9238</v>
      </c>
      <c r="V484" t="s">
        <v>9239</v>
      </c>
      <c r="W484" t="s">
        <v>9240</v>
      </c>
      <c r="X484" t="s">
        <v>9241</v>
      </c>
      <c r="Y484" t="s">
        <v>9242</v>
      </c>
      <c r="Z484" t="s">
        <v>9243</v>
      </c>
      <c r="AA484" t="s">
        <v>74</v>
      </c>
      <c r="AB484" t="s">
        <v>74</v>
      </c>
      <c r="AC484" t="s">
        <v>9244</v>
      </c>
      <c r="AD484" t="s">
        <v>9245</v>
      </c>
      <c r="AE484" t="s">
        <v>9246</v>
      </c>
      <c r="AF484" t="s">
        <v>74</v>
      </c>
      <c r="AG484">
        <v>112</v>
      </c>
      <c r="AH484">
        <v>0</v>
      </c>
      <c r="AI484">
        <v>0</v>
      </c>
      <c r="AJ484">
        <v>1</v>
      </c>
      <c r="AK484">
        <v>3</v>
      </c>
      <c r="AL484" t="s">
        <v>9247</v>
      </c>
      <c r="AM484" t="s">
        <v>9248</v>
      </c>
      <c r="AN484" t="s">
        <v>9249</v>
      </c>
      <c r="AO484" t="s">
        <v>9250</v>
      </c>
      <c r="AP484" t="s">
        <v>74</v>
      </c>
      <c r="AQ484" t="s">
        <v>74</v>
      </c>
      <c r="AR484" t="s">
        <v>9251</v>
      </c>
      <c r="AS484" t="s">
        <v>9252</v>
      </c>
      <c r="AT484" t="s">
        <v>74</v>
      </c>
      <c r="AU484">
        <v>2022</v>
      </c>
      <c r="AV484">
        <v>22</v>
      </c>
      <c r="AW484">
        <v>3</v>
      </c>
      <c r="AX484" t="s">
        <v>74</v>
      </c>
      <c r="AY484" t="s">
        <v>74</v>
      </c>
      <c r="AZ484" t="s">
        <v>74</v>
      </c>
      <c r="BA484" t="s">
        <v>74</v>
      </c>
      <c r="BB484" t="s">
        <v>74</v>
      </c>
      <c r="BC484" t="s">
        <v>74</v>
      </c>
      <c r="BD484" t="s">
        <v>9253</v>
      </c>
      <c r="BE484" t="s">
        <v>9254</v>
      </c>
      <c r="BF484" t="str">
        <f>HYPERLINK("http://dx.doi.org/10.2205/2022ES000801","http://dx.doi.org/10.2205/2022ES000801")</f>
        <v>http://dx.doi.org/10.2205/2022ES000801</v>
      </c>
      <c r="BG484" t="s">
        <v>74</v>
      </c>
      <c r="BH484" t="s">
        <v>74</v>
      </c>
      <c r="BI484">
        <v>21</v>
      </c>
      <c r="BJ484" t="s">
        <v>151</v>
      </c>
      <c r="BK484" t="s">
        <v>724</v>
      </c>
      <c r="BL484" t="s">
        <v>152</v>
      </c>
      <c r="BM484" t="s">
        <v>9255</v>
      </c>
      <c r="BN484" t="s">
        <v>74</v>
      </c>
      <c r="BO484" t="s">
        <v>9256</v>
      </c>
      <c r="BP484" t="s">
        <v>74</v>
      </c>
      <c r="BQ484" t="s">
        <v>74</v>
      </c>
      <c r="BR484" t="s">
        <v>106</v>
      </c>
      <c r="BS484" t="s">
        <v>9257</v>
      </c>
      <c r="BT484" t="str">
        <f>HYPERLINK("https%3A%2F%2Fwww.webofscience.com%2Fwos%2Fwoscc%2Ffull-record%2FWOS:000925688700007","View Full Record in Web of Science")</f>
        <v>View Full Record in Web of Science</v>
      </c>
    </row>
    <row r="485" spans="1:72" x14ac:dyDescent="0.15">
      <c r="A485" t="s">
        <v>72</v>
      </c>
      <c r="B485" t="s">
        <v>9258</v>
      </c>
      <c r="C485" t="s">
        <v>74</v>
      </c>
      <c r="D485" t="s">
        <v>74</v>
      </c>
      <c r="E485" t="s">
        <v>74</v>
      </c>
      <c r="F485" t="s">
        <v>9259</v>
      </c>
      <c r="G485" t="s">
        <v>74</v>
      </c>
      <c r="H485" t="s">
        <v>74</v>
      </c>
      <c r="I485" t="s">
        <v>9260</v>
      </c>
      <c r="J485" t="s">
        <v>9236</v>
      </c>
      <c r="K485" t="s">
        <v>74</v>
      </c>
      <c r="L485" t="s">
        <v>74</v>
      </c>
      <c r="M485" t="s">
        <v>78</v>
      </c>
      <c r="N485" t="s">
        <v>79</v>
      </c>
      <c r="O485" t="s">
        <v>74</v>
      </c>
      <c r="P485" t="s">
        <v>74</v>
      </c>
      <c r="Q485" t="s">
        <v>74</v>
      </c>
      <c r="R485" t="s">
        <v>74</v>
      </c>
      <c r="S485" t="s">
        <v>74</v>
      </c>
      <c r="T485" t="s">
        <v>9261</v>
      </c>
      <c r="U485" t="s">
        <v>9262</v>
      </c>
      <c r="V485" t="s">
        <v>9263</v>
      </c>
      <c r="W485" t="s">
        <v>9264</v>
      </c>
      <c r="X485" t="s">
        <v>9265</v>
      </c>
      <c r="Y485" t="s">
        <v>9266</v>
      </c>
      <c r="Z485" t="s">
        <v>9267</v>
      </c>
      <c r="AA485" t="s">
        <v>74</v>
      </c>
      <c r="AB485" t="s">
        <v>74</v>
      </c>
      <c r="AC485" t="s">
        <v>9268</v>
      </c>
      <c r="AD485" t="s">
        <v>9269</v>
      </c>
      <c r="AE485" t="s">
        <v>9270</v>
      </c>
      <c r="AF485" t="s">
        <v>74</v>
      </c>
      <c r="AG485">
        <v>46</v>
      </c>
      <c r="AH485">
        <v>1</v>
      </c>
      <c r="AI485">
        <v>1</v>
      </c>
      <c r="AJ485">
        <v>0</v>
      </c>
      <c r="AK485">
        <v>0</v>
      </c>
      <c r="AL485" t="s">
        <v>9247</v>
      </c>
      <c r="AM485" t="s">
        <v>9248</v>
      </c>
      <c r="AN485" t="s">
        <v>9249</v>
      </c>
      <c r="AO485" t="s">
        <v>9250</v>
      </c>
      <c r="AP485" t="s">
        <v>74</v>
      </c>
      <c r="AQ485" t="s">
        <v>74</v>
      </c>
      <c r="AR485" t="s">
        <v>9251</v>
      </c>
      <c r="AS485" t="s">
        <v>9252</v>
      </c>
      <c r="AT485" t="s">
        <v>74</v>
      </c>
      <c r="AU485">
        <v>2022</v>
      </c>
      <c r="AV485">
        <v>22</v>
      </c>
      <c r="AW485">
        <v>5</v>
      </c>
      <c r="AX485" t="s">
        <v>74</v>
      </c>
      <c r="AY485" t="s">
        <v>74</v>
      </c>
      <c r="AZ485" t="s">
        <v>74</v>
      </c>
      <c r="BA485" t="s">
        <v>74</v>
      </c>
      <c r="BB485" t="s">
        <v>74</v>
      </c>
      <c r="BC485" t="s">
        <v>74</v>
      </c>
      <c r="BD485" t="s">
        <v>9271</v>
      </c>
      <c r="BE485" t="s">
        <v>9272</v>
      </c>
      <c r="BF485" t="str">
        <f>HYPERLINK("http://dx.doi.org/10.2205/2022ES000783","http://dx.doi.org/10.2205/2022ES000783")</f>
        <v>http://dx.doi.org/10.2205/2022ES000783</v>
      </c>
      <c r="BG485" t="s">
        <v>74</v>
      </c>
      <c r="BH485" t="s">
        <v>74</v>
      </c>
      <c r="BI485">
        <v>17</v>
      </c>
      <c r="BJ485" t="s">
        <v>151</v>
      </c>
      <c r="BK485" t="s">
        <v>724</v>
      </c>
      <c r="BL485" t="s">
        <v>152</v>
      </c>
      <c r="BM485" t="s">
        <v>9273</v>
      </c>
      <c r="BN485" t="s">
        <v>74</v>
      </c>
      <c r="BO485" t="s">
        <v>1613</v>
      </c>
      <c r="BP485" t="s">
        <v>74</v>
      </c>
      <c r="BQ485" t="s">
        <v>74</v>
      </c>
      <c r="BR485" t="s">
        <v>106</v>
      </c>
      <c r="BS485" t="s">
        <v>9274</v>
      </c>
      <c r="BT485" t="str">
        <f>HYPERLINK("https%3A%2F%2Fwww.webofscience.com%2Fwos%2Fwoscc%2Ffull-record%2FWOS:000925699600001","View Full Record in Web of Science")</f>
        <v>View Full Record in Web of Science</v>
      </c>
    </row>
    <row r="486" spans="1:72" x14ac:dyDescent="0.15">
      <c r="A486" t="s">
        <v>72</v>
      </c>
      <c r="B486" t="s">
        <v>9275</v>
      </c>
      <c r="C486" t="s">
        <v>74</v>
      </c>
      <c r="D486" t="s">
        <v>74</v>
      </c>
      <c r="E486" t="s">
        <v>74</v>
      </c>
      <c r="F486" t="s">
        <v>9276</v>
      </c>
      <c r="G486" t="s">
        <v>74</v>
      </c>
      <c r="H486" t="s">
        <v>74</v>
      </c>
      <c r="I486" t="s">
        <v>9277</v>
      </c>
      <c r="J486" t="s">
        <v>9236</v>
      </c>
      <c r="K486" t="s">
        <v>74</v>
      </c>
      <c r="L486" t="s">
        <v>74</v>
      </c>
      <c r="M486" t="s">
        <v>78</v>
      </c>
      <c r="N486" t="s">
        <v>79</v>
      </c>
      <c r="O486" t="s">
        <v>74</v>
      </c>
      <c r="P486" t="s">
        <v>74</v>
      </c>
      <c r="Q486" t="s">
        <v>74</v>
      </c>
      <c r="R486" t="s">
        <v>74</v>
      </c>
      <c r="S486" t="s">
        <v>74</v>
      </c>
      <c r="T486" t="s">
        <v>9278</v>
      </c>
      <c r="U486" t="s">
        <v>74</v>
      </c>
      <c r="V486" t="s">
        <v>9279</v>
      </c>
      <c r="W486" t="s">
        <v>9280</v>
      </c>
      <c r="X486" t="s">
        <v>9281</v>
      </c>
      <c r="Y486" t="s">
        <v>9282</v>
      </c>
      <c r="Z486" t="s">
        <v>9283</v>
      </c>
      <c r="AA486" t="s">
        <v>9284</v>
      </c>
      <c r="AB486" t="s">
        <v>9285</v>
      </c>
      <c r="AC486" t="s">
        <v>9286</v>
      </c>
      <c r="AD486" t="s">
        <v>9287</v>
      </c>
      <c r="AE486" t="s">
        <v>9288</v>
      </c>
      <c r="AF486" t="s">
        <v>74</v>
      </c>
      <c r="AG486">
        <v>19</v>
      </c>
      <c r="AH486">
        <v>0</v>
      </c>
      <c r="AI486">
        <v>0</v>
      </c>
      <c r="AJ486">
        <v>0</v>
      </c>
      <c r="AK486">
        <v>0</v>
      </c>
      <c r="AL486" t="s">
        <v>9247</v>
      </c>
      <c r="AM486" t="s">
        <v>9248</v>
      </c>
      <c r="AN486" t="s">
        <v>9249</v>
      </c>
      <c r="AO486" t="s">
        <v>9250</v>
      </c>
      <c r="AP486" t="s">
        <v>74</v>
      </c>
      <c r="AQ486" t="s">
        <v>74</v>
      </c>
      <c r="AR486" t="s">
        <v>9251</v>
      </c>
      <c r="AS486" t="s">
        <v>9252</v>
      </c>
      <c r="AT486" t="s">
        <v>74</v>
      </c>
      <c r="AU486">
        <v>2022</v>
      </c>
      <c r="AV486">
        <v>22</v>
      </c>
      <c r="AW486">
        <v>2</v>
      </c>
      <c r="AX486" t="s">
        <v>74</v>
      </c>
      <c r="AY486" t="s">
        <v>74</v>
      </c>
      <c r="AZ486" t="s">
        <v>74</v>
      </c>
      <c r="BA486" t="s">
        <v>74</v>
      </c>
      <c r="BB486" t="s">
        <v>74</v>
      </c>
      <c r="BC486" t="s">
        <v>74</v>
      </c>
      <c r="BD486" t="s">
        <v>9289</v>
      </c>
      <c r="BE486" t="s">
        <v>9290</v>
      </c>
      <c r="BF486" t="str">
        <f>HYPERLINK("http://dx.doi.org/10.2205/2022ES000793","http://dx.doi.org/10.2205/2022ES000793")</f>
        <v>http://dx.doi.org/10.2205/2022ES000793</v>
      </c>
      <c r="BG486" t="s">
        <v>74</v>
      </c>
      <c r="BH486" t="s">
        <v>74</v>
      </c>
      <c r="BI486">
        <v>5</v>
      </c>
      <c r="BJ486" t="s">
        <v>151</v>
      </c>
      <c r="BK486" t="s">
        <v>724</v>
      </c>
      <c r="BL486" t="s">
        <v>152</v>
      </c>
      <c r="BM486" t="s">
        <v>9291</v>
      </c>
      <c r="BN486" t="s">
        <v>74</v>
      </c>
      <c r="BO486" t="s">
        <v>2996</v>
      </c>
      <c r="BP486" t="s">
        <v>74</v>
      </c>
      <c r="BQ486" t="s">
        <v>74</v>
      </c>
      <c r="BR486" t="s">
        <v>106</v>
      </c>
      <c r="BS486" t="s">
        <v>9292</v>
      </c>
      <c r="BT486" t="str">
        <f>HYPERLINK("https%3A%2F%2Fwww.webofscience.com%2Fwos%2Fwoscc%2Ffull-record%2FWOS:000925684500005","View Full Record in Web of Science")</f>
        <v>View Full Record in Web of Science</v>
      </c>
    </row>
    <row r="487" spans="1:72" x14ac:dyDescent="0.15">
      <c r="A487" t="s">
        <v>72</v>
      </c>
      <c r="B487" t="s">
        <v>9293</v>
      </c>
      <c r="C487" t="s">
        <v>74</v>
      </c>
      <c r="D487" t="s">
        <v>74</v>
      </c>
      <c r="E487" t="s">
        <v>74</v>
      </c>
      <c r="F487" t="s">
        <v>9294</v>
      </c>
      <c r="G487" t="s">
        <v>74</v>
      </c>
      <c r="H487" t="s">
        <v>74</v>
      </c>
      <c r="I487" t="s">
        <v>9295</v>
      </c>
      <c r="J487" t="s">
        <v>9236</v>
      </c>
      <c r="K487" t="s">
        <v>74</v>
      </c>
      <c r="L487" t="s">
        <v>74</v>
      </c>
      <c r="M487" t="s">
        <v>78</v>
      </c>
      <c r="N487" t="s">
        <v>79</v>
      </c>
      <c r="O487" t="s">
        <v>74</v>
      </c>
      <c r="P487" t="s">
        <v>74</v>
      </c>
      <c r="Q487" t="s">
        <v>74</v>
      </c>
      <c r="R487" t="s">
        <v>74</v>
      </c>
      <c r="S487" t="s">
        <v>74</v>
      </c>
      <c r="T487" t="s">
        <v>9296</v>
      </c>
      <c r="U487" t="s">
        <v>9297</v>
      </c>
      <c r="V487" t="s">
        <v>9298</v>
      </c>
      <c r="W487" t="s">
        <v>9299</v>
      </c>
      <c r="X487" t="s">
        <v>9300</v>
      </c>
      <c r="Y487" t="s">
        <v>9301</v>
      </c>
      <c r="Z487" t="s">
        <v>9283</v>
      </c>
      <c r="AA487" t="s">
        <v>9302</v>
      </c>
      <c r="AB487" t="s">
        <v>9303</v>
      </c>
      <c r="AC487" t="s">
        <v>9304</v>
      </c>
      <c r="AD487" t="s">
        <v>9305</v>
      </c>
      <c r="AE487" t="s">
        <v>9306</v>
      </c>
      <c r="AF487" t="s">
        <v>74</v>
      </c>
      <c r="AG487">
        <v>12</v>
      </c>
      <c r="AH487">
        <v>3</v>
      </c>
      <c r="AI487">
        <v>3</v>
      </c>
      <c r="AJ487">
        <v>1</v>
      </c>
      <c r="AK487">
        <v>1</v>
      </c>
      <c r="AL487" t="s">
        <v>9247</v>
      </c>
      <c r="AM487" t="s">
        <v>9248</v>
      </c>
      <c r="AN487" t="s">
        <v>9249</v>
      </c>
      <c r="AO487" t="s">
        <v>9250</v>
      </c>
      <c r="AP487" t="s">
        <v>74</v>
      </c>
      <c r="AQ487" t="s">
        <v>74</v>
      </c>
      <c r="AR487" t="s">
        <v>9251</v>
      </c>
      <c r="AS487" t="s">
        <v>9252</v>
      </c>
      <c r="AT487" t="s">
        <v>74</v>
      </c>
      <c r="AU487">
        <v>2022</v>
      </c>
      <c r="AV487">
        <v>22</v>
      </c>
      <c r="AW487">
        <v>2</v>
      </c>
      <c r="AX487" t="s">
        <v>74</v>
      </c>
      <c r="AY487" t="s">
        <v>74</v>
      </c>
      <c r="AZ487" t="s">
        <v>74</v>
      </c>
      <c r="BA487" t="s">
        <v>74</v>
      </c>
      <c r="BB487" t="s">
        <v>74</v>
      </c>
      <c r="BC487" t="s">
        <v>74</v>
      </c>
      <c r="BD487" t="s">
        <v>9307</v>
      </c>
      <c r="BE487" t="s">
        <v>9308</v>
      </c>
      <c r="BF487" t="str">
        <f>HYPERLINK("http://dx.doi.org/10.2205/2022ES000788","http://dx.doi.org/10.2205/2022ES000788")</f>
        <v>http://dx.doi.org/10.2205/2022ES000788</v>
      </c>
      <c r="BG487" t="s">
        <v>74</v>
      </c>
      <c r="BH487" t="s">
        <v>74</v>
      </c>
      <c r="BI487">
        <v>5</v>
      </c>
      <c r="BJ487" t="s">
        <v>151</v>
      </c>
      <c r="BK487" t="s">
        <v>724</v>
      </c>
      <c r="BL487" t="s">
        <v>152</v>
      </c>
      <c r="BM487" t="s">
        <v>9291</v>
      </c>
      <c r="BN487" t="s">
        <v>74</v>
      </c>
      <c r="BO487" t="s">
        <v>9256</v>
      </c>
      <c r="BP487" t="s">
        <v>74</v>
      </c>
      <c r="BQ487" t="s">
        <v>74</v>
      </c>
      <c r="BR487" t="s">
        <v>106</v>
      </c>
      <c r="BS487" t="s">
        <v>9309</v>
      </c>
      <c r="BT487" t="str">
        <f>HYPERLINK("https%3A%2F%2Fwww.webofscience.com%2Fwos%2Fwoscc%2Ffull-record%2FWOS:000925684500002","View Full Record in Web of Science")</f>
        <v>View Full Record in Web of Science</v>
      </c>
    </row>
    <row r="488" spans="1:72" x14ac:dyDescent="0.15">
      <c r="A488" t="s">
        <v>7844</v>
      </c>
      <c r="B488" t="s">
        <v>9310</v>
      </c>
      <c r="C488" t="s">
        <v>74</v>
      </c>
      <c r="D488" t="s">
        <v>9311</v>
      </c>
      <c r="E488" t="s">
        <v>74</v>
      </c>
      <c r="F488" t="s">
        <v>9312</v>
      </c>
      <c r="G488" t="s">
        <v>74</v>
      </c>
      <c r="H488" t="s">
        <v>74</v>
      </c>
      <c r="I488" t="s">
        <v>9313</v>
      </c>
      <c r="J488" t="s">
        <v>9314</v>
      </c>
      <c r="K488" t="s">
        <v>9315</v>
      </c>
      <c r="L488" t="s">
        <v>74</v>
      </c>
      <c r="M488" t="s">
        <v>78</v>
      </c>
      <c r="N488" t="s">
        <v>7851</v>
      </c>
      <c r="O488" t="s">
        <v>9316</v>
      </c>
      <c r="P488" t="s">
        <v>9317</v>
      </c>
      <c r="Q488" t="s">
        <v>9318</v>
      </c>
      <c r="R488" t="s">
        <v>74</v>
      </c>
      <c r="S488" t="s">
        <v>74</v>
      </c>
      <c r="T488" t="s">
        <v>9319</v>
      </c>
      <c r="U488" t="s">
        <v>9320</v>
      </c>
      <c r="V488" t="s">
        <v>9321</v>
      </c>
      <c r="W488" t="s">
        <v>9322</v>
      </c>
      <c r="X488" t="s">
        <v>9323</v>
      </c>
      <c r="Y488" t="s">
        <v>9324</v>
      </c>
      <c r="Z488" t="s">
        <v>9325</v>
      </c>
      <c r="AA488" t="s">
        <v>9326</v>
      </c>
      <c r="AB488" t="s">
        <v>9327</v>
      </c>
      <c r="AC488" t="s">
        <v>74</v>
      </c>
      <c r="AD488" t="s">
        <v>74</v>
      </c>
      <c r="AE488" t="s">
        <v>74</v>
      </c>
      <c r="AF488" t="s">
        <v>74</v>
      </c>
      <c r="AG488">
        <v>30</v>
      </c>
      <c r="AH488">
        <v>0</v>
      </c>
      <c r="AI488">
        <v>0</v>
      </c>
      <c r="AJ488">
        <v>0</v>
      </c>
      <c r="AK488">
        <v>1</v>
      </c>
      <c r="AL488" t="s">
        <v>9328</v>
      </c>
      <c r="AM488" t="s">
        <v>9329</v>
      </c>
      <c r="AN488" t="s">
        <v>9330</v>
      </c>
      <c r="AO488" t="s">
        <v>9331</v>
      </c>
      <c r="AP488" t="s">
        <v>9332</v>
      </c>
      <c r="AQ488" t="s">
        <v>9333</v>
      </c>
      <c r="AR488" t="s">
        <v>9334</v>
      </c>
      <c r="AS488" t="s">
        <v>74</v>
      </c>
      <c r="AT488" t="s">
        <v>74</v>
      </c>
      <c r="AU488">
        <v>2022</v>
      </c>
      <c r="AV488">
        <v>1734</v>
      </c>
      <c r="AW488" t="s">
        <v>74</v>
      </c>
      <c r="AX488" t="s">
        <v>74</v>
      </c>
      <c r="AY488" t="s">
        <v>74</v>
      </c>
      <c r="AZ488" t="s">
        <v>74</v>
      </c>
      <c r="BA488" t="s">
        <v>74</v>
      </c>
      <c r="BB488">
        <v>276</v>
      </c>
      <c r="BC488">
        <v>290</v>
      </c>
      <c r="BD488" t="s">
        <v>74</v>
      </c>
      <c r="BE488" t="s">
        <v>9335</v>
      </c>
      <c r="BF488" t="str">
        <f>HYPERLINK("http://dx.doi.org/10.1007/978-3-031-22321-1_19","http://dx.doi.org/10.1007/978-3-031-22321-1_19")</f>
        <v>http://dx.doi.org/10.1007/978-3-031-22321-1_19</v>
      </c>
      <c r="BG488" t="s">
        <v>74</v>
      </c>
      <c r="BH488" t="s">
        <v>74</v>
      </c>
      <c r="BI488">
        <v>15</v>
      </c>
      <c r="BJ488" t="s">
        <v>9336</v>
      </c>
      <c r="BK488" t="s">
        <v>7868</v>
      </c>
      <c r="BL488" t="s">
        <v>9337</v>
      </c>
      <c r="BM488" t="s">
        <v>9338</v>
      </c>
      <c r="BN488" t="s">
        <v>74</v>
      </c>
      <c r="BO488" t="s">
        <v>74</v>
      </c>
      <c r="BP488" t="s">
        <v>74</v>
      </c>
      <c r="BQ488" t="s">
        <v>74</v>
      </c>
      <c r="BR488" t="s">
        <v>106</v>
      </c>
      <c r="BS488" t="s">
        <v>9339</v>
      </c>
      <c r="BT488" t="str">
        <f>HYPERLINK("https%3A%2F%2Fwww.webofscience.com%2Fwos%2Fwoscc%2Ffull-record%2FWOS:000921010700019","View Full Record in Web of Science")</f>
        <v>View Full Record in Web of Science</v>
      </c>
    </row>
    <row r="489" spans="1:72" x14ac:dyDescent="0.15">
      <c r="A489" t="s">
        <v>72</v>
      </c>
      <c r="B489" t="s">
        <v>9340</v>
      </c>
      <c r="C489" t="s">
        <v>74</v>
      </c>
      <c r="D489" t="s">
        <v>74</v>
      </c>
      <c r="E489" t="s">
        <v>74</v>
      </c>
      <c r="F489" t="s">
        <v>9341</v>
      </c>
      <c r="G489" t="s">
        <v>74</v>
      </c>
      <c r="H489" t="s">
        <v>74</v>
      </c>
      <c r="I489" t="s">
        <v>9342</v>
      </c>
      <c r="J489" t="s">
        <v>9343</v>
      </c>
      <c r="K489" t="s">
        <v>74</v>
      </c>
      <c r="L489" t="s">
        <v>74</v>
      </c>
      <c r="M489" t="s">
        <v>78</v>
      </c>
      <c r="N489" t="s">
        <v>779</v>
      </c>
      <c r="O489" t="s">
        <v>74</v>
      </c>
      <c r="P489" t="s">
        <v>74</v>
      </c>
      <c r="Q489" t="s">
        <v>74</v>
      </c>
      <c r="R489" t="s">
        <v>74</v>
      </c>
      <c r="S489" t="s">
        <v>74</v>
      </c>
      <c r="T489" t="s">
        <v>74</v>
      </c>
      <c r="U489" t="s">
        <v>9344</v>
      </c>
      <c r="V489" t="s">
        <v>74</v>
      </c>
      <c r="W489" t="s">
        <v>9345</v>
      </c>
      <c r="X489" t="s">
        <v>9346</v>
      </c>
      <c r="Y489" t="s">
        <v>9347</v>
      </c>
      <c r="Z489" t="s">
        <v>9348</v>
      </c>
      <c r="AA489" t="s">
        <v>74</v>
      </c>
      <c r="AB489" t="s">
        <v>74</v>
      </c>
      <c r="AC489" t="s">
        <v>74</v>
      </c>
      <c r="AD489" t="s">
        <v>74</v>
      </c>
      <c r="AE489" t="s">
        <v>74</v>
      </c>
      <c r="AF489" t="s">
        <v>74</v>
      </c>
      <c r="AG489">
        <v>28</v>
      </c>
      <c r="AH489">
        <v>0</v>
      </c>
      <c r="AI489">
        <v>0</v>
      </c>
      <c r="AJ489">
        <v>0</v>
      </c>
      <c r="AK489">
        <v>0</v>
      </c>
      <c r="AL489" t="s">
        <v>9349</v>
      </c>
      <c r="AM489" t="s">
        <v>9350</v>
      </c>
      <c r="AN489" t="s">
        <v>9351</v>
      </c>
      <c r="AO489" t="s">
        <v>9352</v>
      </c>
      <c r="AP489" t="s">
        <v>9353</v>
      </c>
      <c r="AQ489" t="s">
        <v>74</v>
      </c>
      <c r="AR489" t="s">
        <v>9354</v>
      </c>
      <c r="AS489" t="s">
        <v>9355</v>
      </c>
      <c r="AT489" t="s">
        <v>74</v>
      </c>
      <c r="AU489">
        <v>2022</v>
      </c>
      <c r="AV489">
        <v>10</v>
      </c>
      <c r="AW489" t="s">
        <v>4618</v>
      </c>
      <c r="AX489" t="s">
        <v>74</v>
      </c>
      <c r="AY489" t="s">
        <v>74</v>
      </c>
      <c r="AZ489" t="s">
        <v>74</v>
      </c>
      <c r="BA489" t="s">
        <v>74</v>
      </c>
      <c r="BB489">
        <v>356</v>
      </c>
      <c r="BC489">
        <v>359</v>
      </c>
      <c r="BD489" t="s">
        <v>74</v>
      </c>
      <c r="BE489" t="s">
        <v>9356</v>
      </c>
      <c r="BF489" t="str">
        <f>HYPERLINK("http://dx.doi.org/10.5325/jeasmedarcherstu.10.3-4.0356","http://dx.doi.org/10.5325/jeasmedarcherstu.10.3-4.0356")</f>
        <v>http://dx.doi.org/10.5325/jeasmedarcherstu.10.3-4.0356</v>
      </c>
      <c r="BG489" t="s">
        <v>74</v>
      </c>
      <c r="BH489" t="s">
        <v>74</v>
      </c>
      <c r="BI489">
        <v>4</v>
      </c>
      <c r="BJ489" t="s">
        <v>9357</v>
      </c>
      <c r="BK489" t="s">
        <v>724</v>
      </c>
      <c r="BL489" t="s">
        <v>9357</v>
      </c>
      <c r="BM489" t="s">
        <v>9358</v>
      </c>
      <c r="BN489" t="s">
        <v>74</v>
      </c>
      <c r="BO489" t="s">
        <v>74</v>
      </c>
      <c r="BP489" t="s">
        <v>74</v>
      </c>
      <c r="BQ489" t="s">
        <v>74</v>
      </c>
      <c r="BR489" t="s">
        <v>106</v>
      </c>
      <c r="BS489" t="s">
        <v>9359</v>
      </c>
      <c r="BT489" t="str">
        <f>HYPERLINK("https%3A%2F%2Fwww.webofscience.com%2Fwos%2Fwoscc%2Ffull-record%2FWOS:000922901200010","View Full Record in Web of Science")</f>
        <v>View Full Record in Web of Science</v>
      </c>
    </row>
    <row r="490" spans="1:72" x14ac:dyDescent="0.15">
      <c r="A490" t="s">
        <v>72</v>
      </c>
      <c r="B490" t="s">
        <v>9360</v>
      </c>
      <c r="C490" t="s">
        <v>74</v>
      </c>
      <c r="D490" t="s">
        <v>74</v>
      </c>
      <c r="E490" t="s">
        <v>74</v>
      </c>
      <c r="F490" t="s">
        <v>9361</v>
      </c>
      <c r="G490" t="s">
        <v>74</v>
      </c>
      <c r="H490" t="s">
        <v>74</v>
      </c>
      <c r="I490" t="s">
        <v>9362</v>
      </c>
      <c r="J490" t="s">
        <v>9363</v>
      </c>
      <c r="K490" t="s">
        <v>74</v>
      </c>
      <c r="L490" t="s">
        <v>74</v>
      </c>
      <c r="M490" t="s">
        <v>78</v>
      </c>
      <c r="N490" t="s">
        <v>79</v>
      </c>
      <c r="O490" t="s">
        <v>74</v>
      </c>
      <c r="P490" t="s">
        <v>74</v>
      </c>
      <c r="Q490" t="s">
        <v>74</v>
      </c>
      <c r="R490" t="s">
        <v>74</v>
      </c>
      <c r="S490" t="s">
        <v>74</v>
      </c>
      <c r="T490" t="s">
        <v>9364</v>
      </c>
      <c r="U490" t="s">
        <v>9365</v>
      </c>
      <c r="V490" t="s">
        <v>9366</v>
      </c>
      <c r="W490" t="s">
        <v>9367</v>
      </c>
      <c r="X490" t="s">
        <v>9368</v>
      </c>
      <c r="Y490" t="s">
        <v>9369</v>
      </c>
      <c r="Z490" t="s">
        <v>9370</v>
      </c>
      <c r="AA490" t="s">
        <v>9371</v>
      </c>
      <c r="AB490" t="s">
        <v>74</v>
      </c>
      <c r="AC490" t="s">
        <v>9372</v>
      </c>
      <c r="AD490" t="s">
        <v>9373</v>
      </c>
      <c r="AE490" t="s">
        <v>9374</v>
      </c>
      <c r="AF490" t="s">
        <v>74</v>
      </c>
      <c r="AG490">
        <v>8</v>
      </c>
      <c r="AH490">
        <v>3</v>
      </c>
      <c r="AI490">
        <v>3</v>
      </c>
      <c r="AJ490">
        <v>1</v>
      </c>
      <c r="AK490">
        <v>1</v>
      </c>
      <c r="AL490" t="s">
        <v>9375</v>
      </c>
      <c r="AM490" t="s">
        <v>9248</v>
      </c>
      <c r="AN490" t="s">
        <v>9376</v>
      </c>
      <c r="AO490" t="s">
        <v>9377</v>
      </c>
      <c r="AP490" t="s">
        <v>9378</v>
      </c>
      <c r="AQ490" t="s">
        <v>74</v>
      </c>
      <c r="AR490" t="s">
        <v>9379</v>
      </c>
      <c r="AS490" t="s">
        <v>9380</v>
      </c>
      <c r="AT490" t="s">
        <v>74</v>
      </c>
      <c r="AU490">
        <v>2022</v>
      </c>
      <c r="AV490">
        <v>62</v>
      </c>
      <c r="AW490">
        <v>4</v>
      </c>
      <c r="AX490" t="s">
        <v>74</v>
      </c>
      <c r="AY490" t="s">
        <v>74</v>
      </c>
      <c r="AZ490" t="s">
        <v>74</v>
      </c>
      <c r="BA490" t="s">
        <v>74</v>
      </c>
      <c r="BB490">
        <v>504</v>
      </c>
      <c r="BC490">
        <v>511</v>
      </c>
      <c r="BD490" t="s">
        <v>74</v>
      </c>
      <c r="BE490" t="s">
        <v>9381</v>
      </c>
      <c r="BF490" t="str">
        <f>HYPERLINK("http://dx.doi.org/10.31857/S2076673422040147","http://dx.doi.org/10.31857/S2076673422040147")</f>
        <v>http://dx.doi.org/10.31857/S2076673422040147</v>
      </c>
      <c r="BG490" t="s">
        <v>74</v>
      </c>
      <c r="BH490" t="s">
        <v>74</v>
      </c>
      <c r="BI490">
        <v>8</v>
      </c>
      <c r="BJ490" t="s">
        <v>151</v>
      </c>
      <c r="BK490" t="s">
        <v>724</v>
      </c>
      <c r="BL490" t="s">
        <v>152</v>
      </c>
      <c r="BM490" t="s">
        <v>9382</v>
      </c>
      <c r="BN490" t="s">
        <v>74</v>
      </c>
      <c r="BO490" t="s">
        <v>74</v>
      </c>
      <c r="BP490" t="s">
        <v>74</v>
      </c>
      <c r="BQ490" t="s">
        <v>74</v>
      </c>
      <c r="BR490" t="s">
        <v>106</v>
      </c>
      <c r="BS490" t="s">
        <v>9383</v>
      </c>
      <c r="BT490" t="str">
        <f>HYPERLINK("https%3A%2F%2Fwww.webofscience.com%2Fwos%2Fwoscc%2Ffull-record%2FWOS:000920246200002","View Full Record in Web of Science")</f>
        <v>View Full Record in Web of Science</v>
      </c>
    </row>
    <row r="491" spans="1:72" x14ac:dyDescent="0.15">
      <c r="A491" t="s">
        <v>72</v>
      </c>
      <c r="B491" t="s">
        <v>9384</v>
      </c>
      <c r="C491" t="s">
        <v>74</v>
      </c>
      <c r="D491" t="s">
        <v>74</v>
      </c>
      <c r="E491" t="s">
        <v>74</v>
      </c>
      <c r="F491" t="s">
        <v>9385</v>
      </c>
      <c r="G491" t="s">
        <v>74</v>
      </c>
      <c r="H491" t="s">
        <v>74</v>
      </c>
      <c r="I491" t="s">
        <v>9386</v>
      </c>
      <c r="J491" t="s">
        <v>9363</v>
      </c>
      <c r="K491" t="s">
        <v>74</v>
      </c>
      <c r="L491" t="s">
        <v>74</v>
      </c>
      <c r="M491" t="s">
        <v>78</v>
      </c>
      <c r="N491" t="s">
        <v>79</v>
      </c>
      <c r="O491" t="s">
        <v>74</v>
      </c>
      <c r="P491" t="s">
        <v>74</v>
      </c>
      <c r="Q491" t="s">
        <v>74</v>
      </c>
      <c r="R491" t="s">
        <v>74</v>
      </c>
      <c r="S491" t="s">
        <v>74</v>
      </c>
      <c r="T491" t="s">
        <v>9387</v>
      </c>
      <c r="U491" t="s">
        <v>9388</v>
      </c>
      <c r="V491" t="s">
        <v>9389</v>
      </c>
      <c r="W491" t="s">
        <v>9390</v>
      </c>
      <c r="X491" t="s">
        <v>9391</v>
      </c>
      <c r="Y491" t="s">
        <v>9392</v>
      </c>
      <c r="Z491" t="s">
        <v>9393</v>
      </c>
      <c r="AA491" t="s">
        <v>9394</v>
      </c>
      <c r="AB491" t="s">
        <v>9395</v>
      </c>
      <c r="AC491" t="s">
        <v>9396</v>
      </c>
      <c r="AD491" t="s">
        <v>9396</v>
      </c>
      <c r="AE491" t="s">
        <v>9397</v>
      </c>
      <c r="AF491" t="s">
        <v>74</v>
      </c>
      <c r="AG491">
        <v>24</v>
      </c>
      <c r="AH491">
        <v>0</v>
      </c>
      <c r="AI491">
        <v>0</v>
      </c>
      <c r="AJ491">
        <v>2</v>
      </c>
      <c r="AK491">
        <v>2</v>
      </c>
      <c r="AL491" t="s">
        <v>9375</v>
      </c>
      <c r="AM491" t="s">
        <v>9248</v>
      </c>
      <c r="AN491" t="s">
        <v>9376</v>
      </c>
      <c r="AO491" t="s">
        <v>9377</v>
      </c>
      <c r="AP491" t="s">
        <v>9378</v>
      </c>
      <c r="AQ491" t="s">
        <v>74</v>
      </c>
      <c r="AR491" t="s">
        <v>9379</v>
      </c>
      <c r="AS491" t="s">
        <v>9380</v>
      </c>
      <c r="AT491" t="s">
        <v>74</v>
      </c>
      <c r="AU491">
        <v>2022</v>
      </c>
      <c r="AV491">
        <v>62</v>
      </c>
      <c r="AW491">
        <v>4</v>
      </c>
      <c r="AX491" t="s">
        <v>74</v>
      </c>
      <c r="AY491" t="s">
        <v>74</v>
      </c>
      <c r="AZ491" t="s">
        <v>74</v>
      </c>
      <c r="BA491" t="s">
        <v>74</v>
      </c>
      <c r="BB491">
        <v>564</v>
      </c>
      <c r="BC491">
        <v>578</v>
      </c>
      <c r="BD491" t="s">
        <v>74</v>
      </c>
      <c r="BE491" t="s">
        <v>9398</v>
      </c>
      <c r="BF491" t="str">
        <f>HYPERLINK("http://dx.doi.org/10.31857/S2076673422040152","http://dx.doi.org/10.31857/S2076673422040152")</f>
        <v>http://dx.doi.org/10.31857/S2076673422040152</v>
      </c>
      <c r="BG491" t="s">
        <v>74</v>
      </c>
      <c r="BH491" t="s">
        <v>74</v>
      </c>
      <c r="BI491">
        <v>15</v>
      </c>
      <c r="BJ491" t="s">
        <v>151</v>
      </c>
      <c r="BK491" t="s">
        <v>724</v>
      </c>
      <c r="BL491" t="s">
        <v>152</v>
      </c>
      <c r="BM491" t="s">
        <v>9382</v>
      </c>
      <c r="BN491" t="s">
        <v>74</v>
      </c>
      <c r="BO491" t="s">
        <v>74</v>
      </c>
      <c r="BP491" t="s">
        <v>74</v>
      </c>
      <c r="BQ491" t="s">
        <v>74</v>
      </c>
      <c r="BR491" t="s">
        <v>106</v>
      </c>
      <c r="BS491" t="s">
        <v>9399</v>
      </c>
      <c r="BT491" t="str">
        <f>HYPERLINK("https%3A%2F%2Fwww.webofscience.com%2Fwos%2Fwoscc%2Ffull-record%2FWOS:000920246200007","View Full Record in Web of Science")</f>
        <v>View Full Record in Web of Science</v>
      </c>
    </row>
    <row r="492" spans="1:72" x14ac:dyDescent="0.15">
      <c r="A492" t="s">
        <v>72</v>
      </c>
      <c r="B492" t="s">
        <v>9400</v>
      </c>
      <c r="C492" t="s">
        <v>74</v>
      </c>
      <c r="D492" t="s">
        <v>74</v>
      </c>
      <c r="E492" t="s">
        <v>74</v>
      </c>
      <c r="F492" t="s">
        <v>9401</v>
      </c>
      <c r="G492" t="s">
        <v>74</v>
      </c>
      <c r="H492" t="s">
        <v>74</v>
      </c>
      <c r="I492" t="s">
        <v>9402</v>
      </c>
      <c r="J492" t="s">
        <v>9403</v>
      </c>
      <c r="K492" t="s">
        <v>74</v>
      </c>
      <c r="L492" t="s">
        <v>74</v>
      </c>
      <c r="M492" t="s">
        <v>78</v>
      </c>
      <c r="N492" t="s">
        <v>79</v>
      </c>
      <c r="O492" t="s">
        <v>74</v>
      </c>
      <c r="P492" t="s">
        <v>74</v>
      </c>
      <c r="Q492" t="s">
        <v>74</v>
      </c>
      <c r="R492" t="s">
        <v>74</v>
      </c>
      <c r="S492" t="s">
        <v>74</v>
      </c>
      <c r="T492" t="s">
        <v>9404</v>
      </c>
      <c r="U492" t="s">
        <v>74</v>
      </c>
      <c r="V492" t="s">
        <v>9405</v>
      </c>
      <c r="W492" t="s">
        <v>9406</v>
      </c>
      <c r="X492" t="s">
        <v>9407</v>
      </c>
      <c r="Y492" t="s">
        <v>9408</v>
      </c>
      <c r="Z492" t="s">
        <v>9409</v>
      </c>
      <c r="AA492" t="s">
        <v>9410</v>
      </c>
      <c r="AB492" t="s">
        <v>9411</v>
      </c>
      <c r="AC492" t="s">
        <v>74</v>
      </c>
      <c r="AD492" t="s">
        <v>74</v>
      </c>
      <c r="AE492" t="s">
        <v>74</v>
      </c>
      <c r="AF492" t="s">
        <v>74</v>
      </c>
      <c r="AG492">
        <v>38</v>
      </c>
      <c r="AH492">
        <v>0</v>
      </c>
      <c r="AI492">
        <v>0</v>
      </c>
      <c r="AJ492">
        <v>4</v>
      </c>
      <c r="AK492">
        <v>9</v>
      </c>
      <c r="AL492" t="s">
        <v>9412</v>
      </c>
      <c r="AM492" t="s">
        <v>9413</v>
      </c>
      <c r="AN492" t="s">
        <v>9414</v>
      </c>
      <c r="AO492" t="s">
        <v>9415</v>
      </c>
      <c r="AP492" t="s">
        <v>9416</v>
      </c>
      <c r="AQ492" t="s">
        <v>74</v>
      </c>
      <c r="AR492" t="s">
        <v>9417</v>
      </c>
      <c r="AS492" t="s">
        <v>9418</v>
      </c>
      <c r="AT492" t="s">
        <v>74</v>
      </c>
      <c r="AU492">
        <v>2022</v>
      </c>
      <c r="AV492">
        <v>31</v>
      </c>
      <c r="AW492">
        <v>4</v>
      </c>
      <c r="AX492" t="s">
        <v>74</v>
      </c>
      <c r="AY492" t="s">
        <v>74</v>
      </c>
      <c r="AZ492" t="s">
        <v>74</v>
      </c>
      <c r="BA492" t="s">
        <v>74</v>
      </c>
      <c r="BB492">
        <v>616</v>
      </c>
      <c r="BC492">
        <v>627</v>
      </c>
      <c r="BD492" t="s">
        <v>74</v>
      </c>
      <c r="BE492" t="s">
        <v>9419</v>
      </c>
      <c r="BF492" t="str">
        <f>HYPERLINK("http://dx.doi.org/10.15421/112257","http://dx.doi.org/10.15421/112257")</f>
        <v>http://dx.doi.org/10.15421/112257</v>
      </c>
      <c r="BG492" t="s">
        <v>74</v>
      </c>
      <c r="BH492" t="s">
        <v>74</v>
      </c>
      <c r="BI492">
        <v>12</v>
      </c>
      <c r="BJ492" t="s">
        <v>151</v>
      </c>
      <c r="BK492" t="s">
        <v>724</v>
      </c>
      <c r="BL492" t="s">
        <v>152</v>
      </c>
      <c r="BM492" t="s">
        <v>9420</v>
      </c>
      <c r="BN492" t="s">
        <v>74</v>
      </c>
      <c r="BO492" t="s">
        <v>445</v>
      </c>
      <c r="BP492" t="s">
        <v>74</v>
      </c>
      <c r="BQ492" t="s">
        <v>74</v>
      </c>
      <c r="BR492" t="s">
        <v>106</v>
      </c>
      <c r="BS492" t="s">
        <v>9421</v>
      </c>
      <c r="BT492" t="str">
        <f>HYPERLINK("https%3A%2F%2Fwww.webofscience.com%2Fwos%2Fwoscc%2Ffull-record%2FWOS:000917342300003","View Full Record in Web of Science")</f>
        <v>View Full Record in Web of Science</v>
      </c>
    </row>
    <row r="493" spans="1:72" x14ac:dyDescent="0.15">
      <c r="A493" t="s">
        <v>72</v>
      </c>
      <c r="B493" t="s">
        <v>9422</v>
      </c>
      <c r="C493" t="s">
        <v>74</v>
      </c>
      <c r="D493" t="s">
        <v>74</v>
      </c>
      <c r="E493" t="s">
        <v>74</v>
      </c>
      <c r="F493" t="s">
        <v>9423</v>
      </c>
      <c r="G493" t="s">
        <v>74</v>
      </c>
      <c r="H493" t="s">
        <v>74</v>
      </c>
      <c r="I493" t="s">
        <v>9424</v>
      </c>
      <c r="J493" t="s">
        <v>9425</v>
      </c>
      <c r="K493" t="s">
        <v>74</v>
      </c>
      <c r="L493" t="s">
        <v>74</v>
      </c>
      <c r="M493" t="s">
        <v>78</v>
      </c>
      <c r="N493" t="s">
        <v>79</v>
      </c>
      <c r="O493" t="s">
        <v>74</v>
      </c>
      <c r="P493" t="s">
        <v>74</v>
      </c>
      <c r="Q493" t="s">
        <v>74</v>
      </c>
      <c r="R493" t="s">
        <v>74</v>
      </c>
      <c r="S493" t="s">
        <v>74</v>
      </c>
      <c r="T493" t="s">
        <v>9426</v>
      </c>
      <c r="U493" t="s">
        <v>74</v>
      </c>
      <c r="V493" t="s">
        <v>9427</v>
      </c>
      <c r="W493" t="s">
        <v>9428</v>
      </c>
      <c r="X493" t="s">
        <v>9429</v>
      </c>
      <c r="Y493" t="s">
        <v>9430</v>
      </c>
      <c r="Z493" t="s">
        <v>9431</v>
      </c>
      <c r="AA493" t="s">
        <v>9432</v>
      </c>
      <c r="AB493" t="s">
        <v>9433</v>
      </c>
      <c r="AC493" t="s">
        <v>9434</v>
      </c>
      <c r="AD493" t="s">
        <v>9435</v>
      </c>
      <c r="AE493" t="s">
        <v>9436</v>
      </c>
      <c r="AF493" t="s">
        <v>74</v>
      </c>
      <c r="AG493">
        <v>0</v>
      </c>
      <c r="AH493">
        <v>1</v>
      </c>
      <c r="AI493">
        <v>1</v>
      </c>
      <c r="AJ493">
        <v>4</v>
      </c>
      <c r="AK493">
        <v>9</v>
      </c>
      <c r="AL493" t="s">
        <v>9437</v>
      </c>
      <c r="AM493" t="s">
        <v>9438</v>
      </c>
      <c r="AN493" t="s">
        <v>9439</v>
      </c>
      <c r="AO493" t="s">
        <v>9440</v>
      </c>
      <c r="AP493" t="s">
        <v>9441</v>
      </c>
      <c r="AQ493" t="s">
        <v>74</v>
      </c>
      <c r="AR493" t="s">
        <v>9442</v>
      </c>
      <c r="AS493" t="s">
        <v>9443</v>
      </c>
      <c r="AT493" t="s">
        <v>74</v>
      </c>
      <c r="AU493">
        <v>2022</v>
      </c>
      <c r="AV493" t="s">
        <v>74</v>
      </c>
      <c r="AW493">
        <v>58</v>
      </c>
      <c r="AX493" t="s">
        <v>74</v>
      </c>
      <c r="AY493" t="s">
        <v>74</v>
      </c>
      <c r="AZ493" t="s">
        <v>74</v>
      </c>
      <c r="BA493" t="s">
        <v>74</v>
      </c>
      <c r="BB493">
        <v>28</v>
      </c>
      <c r="BC493">
        <v>54</v>
      </c>
      <c r="BD493" t="s">
        <v>74</v>
      </c>
      <c r="BE493" t="s">
        <v>9444</v>
      </c>
      <c r="BF493" t="str">
        <f>HYPERLINK("http://dx.doi.org/10.17223/19988591/58/2","http://dx.doi.org/10.17223/19988591/58/2")</f>
        <v>http://dx.doi.org/10.17223/19988591/58/2</v>
      </c>
      <c r="BG493" t="s">
        <v>74</v>
      </c>
      <c r="BH493" t="s">
        <v>74</v>
      </c>
      <c r="BI493">
        <v>27</v>
      </c>
      <c r="BJ493" t="s">
        <v>9445</v>
      </c>
      <c r="BK493" t="s">
        <v>724</v>
      </c>
      <c r="BL493" t="s">
        <v>9446</v>
      </c>
      <c r="BM493" t="s">
        <v>9447</v>
      </c>
      <c r="BN493" t="s">
        <v>74</v>
      </c>
      <c r="BO493" t="s">
        <v>74</v>
      </c>
      <c r="BP493" t="s">
        <v>74</v>
      </c>
      <c r="BQ493" t="s">
        <v>74</v>
      </c>
      <c r="BR493" t="s">
        <v>106</v>
      </c>
      <c r="BS493" t="s">
        <v>9448</v>
      </c>
      <c r="BT493" t="str">
        <f>HYPERLINK("https%3A%2F%2Fwww.webofscience.com%2Fwos%2Fwoscc%2Ffull-record%2FWOS:000915963000002","View Full Record in Web of Science")</f>
        <v>View Full Record in Web of Science</v>
      </c>
    </row>
    <row r="494" spans="1:72" x14ac:dyDescent="0.15">
      <c r="A494" t="s">
        <v>72</v>
      </c>
      <c r="B494" t="s">
        <v>9449</v>
      </c>
      <c r="C494" t="s">
        <v>74</v>
      </c>
      <c r="D494" t="s">
        <v>74</v>
      </c>
      <c r="E494" t="s">
        <v>74</v>
      </c>
      <c r="F494" t="s">
        <v>9450</v>
      </c>
      <c r="G494" t="s">
        <v>74</v>
      </c>
      <c r="H494" t="s">
        <v>74</v>
      </c>
      <c r="I494" t="s">
        <v>9451</v>
      </c>
      <c r="J494" t="s">
        <v>9452</v>
      </c>
      <c r="K494" t="s">
        <v>74</v>
      </c>
      <c r="L494" t="s">
        <v>74</v>
      </c>
      <c r="M494" t="s">
        <v>78</v>
      </c>
      <c r="N494" t="s">
        <v>79</v>
      </c>
      <c r="O494" t="s">
        <v>74</v>
      </c>
      <c r="P494" t="s">
        <v>74</v>
      </c>
      <c r="Q494" t="s">
        <v>74</v>
      </c>
      <c r="R494" t="s">
        <v>74</v>
      </c>
      <c r="S494" t="s">
        <v>74</v>
      </c>
      <c r="T494" t="s">
        <v>9453</v>
      </c>
      <c r="U494" t="s">
        <v>9454</v>
      </c>
      <c r="V494" t="s">
        <v>9455</v>
      </c>
      <c r="W494" t="s">
        <v>9456</v>
      </c>
      <c r="X494" t="s">
        <v>9457</v>
      </c>
      <c r="Y494" t="s">
        <v>9458</v>
      </c>
      <c r="Z494" t="s">
        <v>9459</v>
      </c>
      <c r="AA494" t="s">
        <v>74</v>
      </c>
      <c r="AB494" t="s">
        <v>9460</v>
      </c>
      <c r="AC494" t="s">
        <v>74</v>
      </c>
      <c r="AD494" t="s">
        <v>74</v>
      </c>
      <c r="AE494" t="s">
        <v>74</v>
      </c>
      <c r="AF494" t="s">
        <v>74</v>
      </c>
      <c r="AG494">
        <v>35</v>
      </c>
      <c r="AH494">
        <v>3</v>
      </c>
      <c r="AI494">
        <v>3</v>
      </c>
      <c r="AJ494">
        <v>0</v>
      </c>
      <c r="AK494">
        <v>0</v>
      </c>
      <c r="AL494" t="s">
        <v>9461</v>
      </c>
      <c r="AM494" t="s">
        <v>9462</v>
      </c>
      <c r="AN494" t="s">
        <v>9463</v>
      </c>
      <c r="AO494" t="s">
        <v>9464</v>
      </c>
      <c r="AP494" t="s">
        <v>9465</v>
      </c>
      <c r="AQ494" t="s">
        <v>74</v>
      </c>
      <c r="AR494" t="s">
        <v>9466</v>
      </c>
      <c r="AS494" t="s">
        <v>9467</v>
      </c>
      <c r="AT494" t="s">
        <v>74</v>
      </c>
      <c r="AU494">
        <v>2022</v>
      </c>
      <c r="AV494">
        <v>257</v>
      </c>
      <c r="AW494" t="s">
        <v>74</v>
      </c>
      <c r="AX494" t="s">
        <v>74</v>
      </c>
      <c r="AY494" t="s">
        <v>74</v>
      </c>
      <c r="AZ494" t="s">
        <v>74</v>
      </c>
      <c r="BA494" t="s">
        <v>74</v>
      </c>
      <c r="BB494">
        <v>833</v>
      </c>
      <c r="BC494">
        <v>842</v>
      </c>
      <c r="BD494" t="s">
        <v>74</v>
      </c>
      <c r="BE494" t="s">
        <v>9468</v>
      </c>
      <c r="BF494" t="str">
        <f>HYPERLINK("http://dx.doi.org/10.31897/PMI.2022.82","http://dx.doi.org/10.31897/PMI.2022.82")</f>
        <v>http://dx.doi.org/10.31897/PMI.2022.82</v>
      </c>
      <c r="BG494" t="s">
        <v>74</v>
      </c>
      <c r="BH494" t="s">
        <v>74</v>
      </c>
      <c r="BI494">
        <v>10</v>
      </c>
      <c r="BJ494" t="s">
        <v>9469</v>
      </c>
      <c r="BK494" t="s">
        <v>724</v>
      </c>
      <c r="BL494" t="s">
        <v>9469</v>
      </c>
      <c r="BM494" t="s">
        <v>9470</v>
      </c>
      <c r="BN494" t="s">
        <v>74</v>
      </c>
      <c r="BO494" t="s">
        <v>292</v>
      </c>
      <c r="BP494" t="s">
        <v>74</v>
      </c>
      <c r="BQ494" t="s">
        <v>74</v>
      </c>
      <c r="BR494" t="s">
        <v>106</v>
      </c>
      <c r="BS494" t="s">
        <v>9471</v>
      </c>
      <c r="BT494" t="str">
        <f>HYPERLINK("https%3A%2F%2Fwww.webofscience.com%2Fwos%2Fwoscc%2Ffull-record%2FWOS:000918618900012","View Full Record in Web of Science")</f>
        <v>View Full Record in Web of Science</v>
      </c>
    </row>
    <row r="495" spans="1:72" x14ac:dyDescent="0.15">
      <c r="A495" t="s">
        <v>72</v>
      </c>
      <c r="B495" t="s">
        <v>9472</v>
      </c>
      <c r="C495" t="s">
        <v>74</v>
      </c>
      <c r="D495" t="s">
        <v>74</v>
      </c>
      <c r="E495" t="s">
        <v>74</v>
      </c>
      <c r="F495" t="s">
        <v>9473</v>
      </c>
      <c r="G495" t="s">
        <v>74</v>
      </c>
      <c r="H495" t="s">
        <v>74</v>
      </c>
      <c r="I495" t="s">
        <v>9474</v>
      </c>
      <c r="J495" t="s">
        <v>9452</v>
      </c>
      <c r="K495" t="s">
        <v>74</v>
      </c>
      <c r="L495" t="s">
        <v>74</v>
      </c>
      <c r="M495" t="s">
        <v>78</v>
      </c>
      <c r="N495" t="s">
        <v>79</v>
      </c>
      <c r="O495" t="s">
        <v>74</v>
      </c>
      <c r="P495" t="s">
        <v>74</v>
      </c>
      <c r="Q495" t="s">
        <v>74</v>
      </c>
      <c r="R495" t="s">
        <v>74</v>
      </c>
      <c r="S495" t="s">
        <v>74</v>
      </c>
      <c r="T495" t="s">
        <v>9475</v>
      </c>
      <c r="U495" t="s">
        <v>9476</v>
      </c>
      <c r="V495" t="s">
        <v>9477</v>
      </c>
      <c r="W495" t="s">
        <v>9478</v>
      </c>
      <c r="X495" t="s">
        <v>9457</v>
      </c>
      <c r="Y495" t="s">
        <v>9479</v>
      </c>
      <c r="Z495" t="s">
        <v>9480</v>
      </c>
      <c r="AA495" t="s">
        <v>9481</v>
      </c>
      <c r="AB495" t="s">
        <v>9482</v>
      </c>
      <c r="AC495" t="s">
        <v>74</v>
      </c>
      <c r="AD495" t="s">
        <v>74</v>
      </c>
      <c r="AE495" t="s">
        <v>74</v>
      </c>
      <c r="AF495" t="s">
        <v>74</v>
      </c>
      <c r="AG495">
        <v>36</v>
      </c>
      <c r="AH495">
        <v>0</v>
      </c>
      <c r="AI495">
        <v>0</v>
      </c>
      <c r="AJ495">
        <v>1</v>
      </c>
      <c r="AK495">
        <v>1</v>
      </c>
      <c r="AL495" t="s">
        <v>9461</v>
      </c>
      <c r="AM495" t="s">
        <v>9462</v>
      </c>
      <c r="AN495" t="s">
        <v>9463</v>
      </c>
      <c r="AO495" t="s">
        <v>9464</v>
      </c>
      <c r="AP495" t="s">
        <v>9465</v>
      </c>
      <c r="AQ495" t="s">
        <v>74</v>
      </c>
      <c r="AR495" t="s">
        <v>9466</v>
      </c>
      <c r="AS495" t="s">
        <v>9467</v>
      </c>
      <c r="AT495" t="s">
        <v>74</v>
      </c>
      <c r="AU495">
        <v>2022</v>
      </c>
      <c r="AV495">
        <v>257</v>
      </c>
      <c r="AW495" t="s">
        <v>74</v>
      </c>
      <c r="AX495" t="s">
        <v>74</v>
      </c>
      <c r="AY495" t="s">
        <v>74</v>
      </c>
      <c r="AZ495" t="s">
        <v>74</v>
      </c>
      <c r="BA495" t="s">
        <v>74</v>
      </c>
      <c r="BB495">
        <v>853</v>
      </c>
      <c r="BC495">
        <v>864</v>
      </c>
      <c r="BD495" t="s">
        <v>74</v>
      </c>
      <c r="BE495" t="s">
        <v>9483</v>
      </c>
      <c r="BF495" t="str">
        <f>HYPERLINK("http://dx.doi.org/10.31897/PMI.2022.53","http://dx.doi.org/10.31897/PMI.2022.53")</f>
        <v>http://dx.doi.org/10.31897/PMI.2022.53</v>
      </c>
      <c r="BG495" t="s">
        <v>74</v>
      </c>
      <c r="BH495" t="s">
        <v>74</v>
      </c>
      <c r="BI495">
        <v>12</v>
      </c>
      <c r="BJ495" t="s">
        <v>9469</v>
      </c>
      <c r="BK495" t="s">
        <v>724</v>
      </c>
      <c r="BL495" t="s">
        <v>9469</v>
      </c>
      <c r="BM495" t="s">
        <v>9470</v>
      </c>
      <c r="BN495" t="s">
        <v>74</v>
      </c>
      <c r="BO495" t="s">
        <v>211</v>
      </c>
      <c r="BP495" t="s">
        <v>74</v>
      </c>
      <c r="BQ495" t="s">
        <v>74</v>
      </c>
      <c r="BR495" t="s">
        <v>106</v>
      </c>
      <c r="BS495" t="s">
        <v>9484</v>
      </c>
      <c r="BT495" t="str">
        <f>HYPERLINK("https%3A%2F%2Fwww.webofscience.com%2Fwos%2Fwoscc%2Ffull-record%2FWOS:000918618900014","View Full Record in Web of Science")</f>
        <v>View Full Record in Web of Science</v>
      </c>
    </row>
    <row r="496" spans="1:72" x14ac:dyDescent="0.15">
      <c r="A496" t="s">
        <v>8094</v>
      </c>
      <c r="B496" t="s">
        <v>9485</v>
      </c>
      <c r="C496" t="s">
        <v>74</v>
      </c>
      <c r="D496" t="s">
        <v>9486</v>
      </c>
      <c r="E496" t="s">
        <v>74</v>
      </c>
      <c r="F496" t="s">
        <v>9487</v>
      </c>
      <c r="G496" t="s">
        <v>74</v>
      </c>
      <c r="H496" t="s">
        <v>74</v>
      </c>
      <c r="I496" t="s">
        <v>9488</v>
      </c>
      <c r="J496" t="s">
        <v>9489</v>
      </c>
      <c r="K496" t="s">
        <v>9490</v>
      </c>
      <c r="L496" t="s">
        <v>74</v>
      </c>
      <c r="M496" t="s">
        <v>78</v>
      </c>
      <c r="N496" t="s">
        <v>8115</v>
      </c>
      <c r="O496" t="s">
        <v>74</v>
      </c>
      <c r="P496" t="s">
        <v>74</v>
      </c>
      <c r="Q496" t="s">
        <v>74</v>
      </c>
      <c r="R496" t="s">
        <v>74</v>
      </c>
      <c r="S496" t="s">
        <v>74</v>
      </c>
      <c r="T496" t="s">
        <v>74</v>
      </c>
      <c r="U496" t="s">
        <v>9491</v>
      </c>
      <c r="V496" t="s">
        <v>74</v>
      </c>
      <c r="W496" t="s">
        <v>9492</v>
      </c>
      <c r="X496" t="s">
        <v>9493</v>
      </c>
      <c r="Y496" t="s">
        <v>9494</v>
      </c>
      <c r="Z496" t="s">
        <v>9495</v>
      </c>
      <c r="AA496" t="s">
        <v>9496</v>
      </c>
      <c r="AB496" t="s">
        <v>9497</v>
      </c>
      <c r="AC496" t="s">
        <v>9498</v>
      </c>
      <c r="AD496" t="s">
        <v>9499</v>
      </c>
      <c r="AE496" t="s">
        <v>9500</v>
      </c>
      <c r="AF496" t="s">
        <v>74</v>
      </c>
      <c r="AG496">
        <v>66</v>
      </c>
      <c r="AH496">
        <v>1</v>
      </c>
      <c r="AI496">
        <v>1</v>
      </c>
      <c r="AJ496">
        <v>0</v>
      </c>
      <c r="AK496">
        <v>2</v>
      </c>
      <c r="AL496" t="s">
        <v>9501</v>
      </c>
      <c r="AM496" t="s">
        <v>9502</v>
      </c>
      <c r="AN496" t="s">
        <v>9503</v>
      </c>
      <c r="AO496" t="s">
        <v>74</v>
      </c>
      <c r="AP496" t="s">
        <v>74</v>
      </c>
      <c r="AQ496" t="s">
        <v>9504</v>
      </c>
      <c r="AR496" t="s">
        <v>9505</v>
      </c>
      <c r="AS496" t="s">
        <v>74</v>
      </c>
      <c r="AT496" t="s">
        <v>74</v>
      </c>
      <c r="AU496">
        <v>2022</v>
      </c>
      <c r="AV496">
        <v>12</v>
      </c>
      <c r="AW496" t="s">
        <v>74</v>
      </c>
      <c r="AX496" t="s">
        <v>74</v>
      </c>
      <c r="AY496" t="s">
        <v>74</v>
      </c>
      <c r="AZ496" t="s">
        <v>74</v>
      </c>
      <c r="BA496" t="s">
        <v>74</v>
      </c>
      <c r="BB496">
        <v>460</v>
      </c>
      <c r="BC496">
        <v>468</v>
      </c>
      <c r="BD496" t="s">
        <v>74</v>
      </c>
      <c r="BE496" t="s">
        <v>9506</v>
      </c>
      <c r="BF496" t="str">
        <f>HYPERLINK("http://dx.doi.org/10.1079/9781789249637.0067","http://dx.doi.org/10.1079/9781789249637.0067")</f>
        <v>http://dx.doi.org/10.1079/9781789249637.0067</v>
      </c>
      <c r="BG496" t="s">
        <v>9507</v>
      </c>
      <c r="BH496" t="s">
        <v>74</v>
      </c>
      <c r="BI496">
        <v>9</v>
      </c>
      <c r="BJ496" t="s">
        <v>9508</v>
      </c>
      <c r="BK496" t="s">
        <v>9509</v>
      </c>
      <c r="BL496" t="s">
        <v>9510</v>
      </c>
      <c r="BM496" t="s">
        <v>9511</v>
      </c>
      <c r="BN496" t="s">
        <v>74</v>
      </c>
      <c r="BO496" t="s">
        <v>74</v>
      </c>
      <c r="BP496" t="s">
        <v>74</v>
      </c>
      <c r="BQ496" t="s">
        <v>74</v>
      </c>
      <c r="BR496" t="s">
        <v>106</v>
      </c>
      <c r="BS496" t="s">
        <v>9512</v>
      </c>
      <c r="BT496" t="str">
        <f>HYPERLINK("https%3A%2F%2Fwww.webofscience.com%2Fwos%2Fwoscc%2Ffull-record%2FWOS:000893525500070","View Full Record in Web of Science")</f>
        <v>View Full Record in Web of Science</v>
      </c>
    </row>
    <row r="497" spans="1:72" x14ac:dyDescent="0.15">
      <c r="A497" t="s">
        <v>72</v>
      </c>
      <c r="B497" t="s">
        <v>9513</v>
      </c>
      <c r="C497" t="s">
        <v>74</v>
      </c>
      <c r="D497" t="s">
        <v>74</v>
      </c>
      <c r="E497" t="s">
        <v>74</v>
      </c>
      <c r="F497" t="s">
        <v>9514</v>
      </c>
      <c r="G497" t="s">
        <v>74</v>
      </c>
      <c r="H497" t="s">
        <v>74</v>
      </c>
      <c r="I497" t="s">
        <v>9515</v>
      </c>
      <c r="J497" t="s">
        <v>9516</v>
      </c>
      <c r="K497" t="s">
        <v>74</v>
      </c>
      <c r="L497" t="s">
        <v>74</v>
      </c>
      <c r="M497" t="s">
        <v>78</v>
      </c>
      <c r="N497" t="s">
        <v>79</v>
      </c>
      <c r="O497" t="s">
        <v>74</v>
      </c>
      <c r="P497" t="s">
        <v>74</v>
      </c>
      <c r="Q497" t="s">
        <v>74</v>
      </c>
      <c r="R497" t="s">
        <v>74</v>
      </c>
      <c r="S497" t="s">
        <v>74</v>
      </c>
      <c r="T497" t="s">
        <v>9517</v>
      </c>
      <c r="U497" t="s">
        <v>9518</v>
      </c>
      <c r="V497" t="s">
        <v>9519</v>
      </c>
      <c r="W497" t="s">
        <v>9520</v>
      </c>
      <c r="X497" t="s">
        <v>9521</v>
      </c>
      <c r="Y497" t="s">
        <v>9522</v>
      </c>
      <c r="Z497" t="s">
        <v>9523</v>
      </c>
      <c r="AA497" t="s">
        <v>74</v>
      </c>
      <c r="AB497" t="s">
        <v>74</v>
      </c>
      <c r="AC497" t="s">
        <v>9524</v>
      </c>
      <c r="AD497" t="s">
        <v>9525</v>
      </c>
      <c r="AE497" t="s">
        <v>9526</v>
      </c>
      <c r="AF497" t="s">
        <v>74</v>
      </c>
      <c r="AG497">
        <v>26</v>
      </c>
      <c r="AH497">
        <v>1</v>
      </c>
      <c r="AI497">
        <v>1</v>
      </c>
      <c r="AJ497">
        <v>1</v>
      </c>
      <c r="AK497">
        <v>4</v>
      </c>
      <c r="AL497" t="s">
        <v>9527</v>
      </c>
      <c r="AM497" t="s">
        <v>9528</v>
      </c>
      <c r="AN497" t="s">
        <v>9529</v>
      </c>
      <c r="AO497" t="s">
        <v>9530</v>
      </c>
      <c r="AP497" t="s">
        <v>9531</v>
      </c>
      <c r="AQ497" t="s">
        <v>74</v>
      </c>
      <c r="AR497" t="s">
        <v>9532</v>
      </c>
      <c r="AS497" t="s">
        <v>9533</v>
      </c>
      <c r="AT497" t="s">
        <v>74</v>
      </c>
      <c r="AU497">
        <v>2022</v>
      </c>
      <c r="AV497">
        <v>73</v>
      </c>
      <c r="AW497">
        <v>2</v>
      </c>
      <c r="AX497" t="s">
        <v>74</v>
      </c>
      <c r="AY497" t="s">
        <v>74</v>
      </c>
      <c r="AZ497" t="s">
        <v>74</v>
      </c>
      <c r="BA497" t="s">
        <v>74</v>
      </c>
      <c r="BB497" t="s">
        <v>74</v>
      </c>
      <c r="BC497" t="s">
        <v>74</v>
      </c>
      <c r="BD497">
        <v>156042</v>
      </c>
      <c r="BE497" t="s">
        <v>9534</v>
      </c>
      <c r="BF497" t="str">
        <f>HYPERLINK("http://dx.doi.org/10.37501/soilsa/156042","http://dx.doi.org/10.37501/soilsa/156042")</f>
        <v>http://dx.doi.org/10.37501/soilsa/156042</v>
      </c>
      <c r="BG497" t="s">
        <v>74</v>
      </c>
      <c r="BH497" t="s">
        <v>74</v>
      </c>
      <c r="BI497">
        <v>10</v>
      </c>
      <c r="BJ497" t="s">
        <v>2218</v>
      </c>
      <c r="BK497" t="s">
        <v>724</v>
      </c>
      <c r="BL497" t="s">
        <v>2219</v>
      </c>
      <c r="BM497" t="s">
        <v>9535</v>
      </c>
      <c r="BN497" t="s">
        <v>74</v>
      </c>
      <c r="BO497" t="s">
        <v>445</v>
      </c>
      <c r="BP497" t="s">
        <v>74</v>
      </c>
      <c r="BQ497" t="s">
        <v>74</v>
      </c>
      <c r="BR497" t="s">
        <v>106</v>
      </c>
      <c r="BS497" t="s">
        <v>9536</v>
      </c>
      <c r="BT497" t="str">
        <f>HYPERLINK("https%3A%2F%2Fwww.webofscience.com%2Fwos%2Fwoscc%2Ffull-record%2FWOS:000907588000007","View Full Record in Web of Science")</f>
        <v>View Full Record in Web of Science</v>
      </c>
    </row>
    <row r="498" spans="1:72" x14ac:dyDescent="0.15">
      <c r="A498" t="s">
        <v>72</v>
      </c>
      <c r="B498" t="s">
        <v>9537</v>
      </c>
      <c r="C498" t="s">
        <v>74</v>
      </c>
      <c r="D498" t="s">
        <v>74</v>
      </c>
      <c r="E498" t="s">
        <v>74</v>
      </c>
      <c r="F498" t="s">
        <v>9538</v>
      </c>
      <c r="G498" t="s">
        <v>74</v>
      </c>
      <c r="H498" t="s">
        <v>74</v>
      </c>
      <c r="I498" t="s">
        <v>9539</v>
      </c>
      <c r="J498" t="s">
        <v>9196</v>
      </c>
      <c r="K498" t="s">
        <v>74</v>
      </c>
      <c r="L498" t="s">
        <v>74</v>
      </c>
      <c r="M498" t="s">
        <v>78</v>
      </c>
      <c r="N498" t="s">
        <v>79</v>
      </c>
      <c r="O498" t="s">
        <v>74</v>
      </c>
      <c r="P498" t="s">
        <v>74</v>
      </c>
      <c r="Q498" t="s">
        <v>74</v>
      </c>
      <c r="R498" t="s">
        <v>74</v>
      </c>
      <c r="S498" t="s">
        <v>74</v>
      </c>
      <c r="T498" t="s">
        <v>9540</v>
      </c>
      <c r="U498" t="s">
        <v>9541</v>
      </c>
      <c r="V498" t="s">
        <v>9542</v>
      </c>
      <c r="W498" t="s">
        <v>9543</v>
      </c>
      <c r="X498" t="s">
        <v>9544</v>
      </c>
      <c r="Y498" t="s">
        <v>9545</v>
      </c>
      <c r="Z498" t="s">
        <v>9546</v>
      </c>
      <c r="AA498" t="s">
        <v>9547</v>
      </c>
      <c r="AB498" t="s">
        <v>9548</v>
      </c>
      <c r="AC498" t="s">
        <v>9549</v>
      </c>
      <c r="AD498" t="s">
        <v>9550</v>
      </c>
      <c r="AE498" t="s">
        <v>9551</v>
      </c>
      <c r="AF498" t="s">
        <v>74</v>
      </c>
      <c r="AG498">
        <v>61</v>
      </c>
      <c r="AH498">
        <v>0</v>
      </c>
      <c r="AI498">
        <v>0</v>
      </c>
      <c r="AJ498">
        <v>3</v>
      </c>
      <c r="AK498">
        <v>11</v>
      </c>
      <c r="AL498" t="s">
        <v>1667</v>
      </c>
      <c r="AM498" t="s">
        <v>1668</v>
      </c>
      <c r="AN498" t="s">
        <v>1669</v>
      </c>
      <c r="AO498" t="s">
        <v>9209</v>
      </c>
      <c r="AP498" t="s">
        <v>9210</v>
      </c>
      <c r="AQ498" t="s">
        <v>74</v>
      </c>
      <c r="AR498" t="s">
        <v>9211</v>
      </c>
      <c r="AS498" t="s">
        <v>9212</v>
      </c>
      <c r="AT498" t="s">
        <v>74</v>
      </c>
      <c r="AU498">
        <v>2022</v>
      </c>
      <c r="AV498">
        <v>60</v>
      </c>
      <c r="AW498" t="s">
        <v>74</v>
      </c>
      <c r="AX498" t="s">
        <v>74</v>
      </c>
      <c r="AY498" t="s">
        <v>74</v>
      </c>
      <c r="AZ498" t="s">
        <v>74</v>
      </c>
      <c r="BA498" t="s">
        <v>74</v>
      </c>
      <c r="BB498" t="s">
        <v>74</v>
      </c>
      <c r="BC498" t="s">
        <v>74</v>
      </c>
      <c r="BD498">
        <v>4306815</v>
      </c>
      <c r="BE498" t="s">
        <v>9552</v>
      </c>
      <c r="BF498" t="str">
        <f>HYPERLINK("http://dx.doi.org/10.1109/TGRS.2022.3225628","http://dx.doi.org/10.1109/TGRS.2022.3225628")</f>
        <v>http://dx.doi.org/10.1109/TGRS.2022.3225628</v>
      </c>
      <c r="BG498" t="s">
        <v>74</v>
      </c>
      <c r="BH498" t="s">
        <v>74</v>
      </c>
      <c r="BI498">
        <v>15</v>
      </c>
      <c r="BJ498" t="s">
        <v>9214</v>
      </c>
      <c r="BK498" t="s">
        <v>103</v>
      </c>
      <c r="BL498" t="s">
        <v>9215</v>
      </c>
      <c r="BM498" t="s">
        <v>9553</v>
      </c>
      <c r="BN498" t="s">
        <v>74</v>
      </c>
      <c r="BO498" t="s">
        <v>74</v>
      </c>
      <c r="BP498" t="s">
        <v>74</v>
      </c>
      <c r="BQ498" t="s">
        <v>74</v>
      </c>
      <c r="BR498" t="s">
        <v>106</v>
      </c>
      <c r="BS498" t="s">
        <v>9554</v>
      </c>
      <c r="BT498" t="str">
        <f>HYPERLINK("https%3A%2F%2Fwww.webofscience.com%2Fwos%2Fwoscc%2Ffull-record%2FWOS:000900990200025","View Full Record in Web of Science")</f>
        <v>View Full Record in Web of Science</v>
      </c>
    </row>
    <row r="499" spans="1:72" x14ac:dyDescent="0.15">
      <c r="A499" t="s">
        <v>72</v>
      </c>
      <c r="B499" t="s">
        <v>9555</v>
      </c>
      <c r="C499" t="s">
        <v>74</v>
      </c>
      <c r="D499" t="s">
        <v>74</v>
      </c>
      <c r="E499" t="s">
        <v>74</v>
      </c>
      <c r="F499" t="s">
        <v>9556</v>
      </c>
      <c r="G499" t="s">
        <v>74</v>
      </c>
      <c r="H499" t="s">
        <v>74</v>
      </c>
      <c r="I499" t="s">
        <v>9557</v>
      </c>
      <c r="J499" t="s">
        <v>9558</v>
      </c>
      <c r="K499" t="s">
        <v>74</v>
      </c>
      <c r="L499" t="s">
        <v>74</v>
      </c>
      <c r="M499" t="s">
        <v>78</v>
      </c>
      <c r="N499" t="s">
        <v>79</v>
      </c>
      <c r="O499" t="s">
        <v>74</v>
      </c>
      <c r="P499" t="s">
        <v>74</v>
      </c>
      <c r="Q499" t="s">
        <v>74</v>
      </c>
      <c r="R499" t="s">
        <v>74</v>
      </c>
      <c r="S499" t="s">
        <v>74</v>
      </c>
      <c r="T499" t="s">
        <v>9559</v>
      </c>
      <c r="U499" t="s">
        <v>9560</v>
      </c>
      <c r="V499" t="s">
        <v>9561</v>
      </c>
      <c r="W499" t="s">
        <v>9562</v>
      </c>
      <c r="X499" t="s">
        <v>9563</v>
      </c>
      <c r="Y499" t="s">
        <v>9564</v>
      </c>
      <c r="Z499" t="s">
        <v>9565</v>
      </c>
      <c r="AA499" t="s">
        <v>9566</v>
      </c>
      <c r="AB499" t="s">
        <v>9567</v>
      </c>
      <c r="AC499" t="s">
        <v>9568</v>
      </c>
      <c r="AD499" t="s">
        <v>9569</v>
      </c>
      <c r="AE499" t="s">
        <v>9570</v>
      </c>
      <c r="AF499" t="s">
        <v>74</v>
      </c>
      <c r="AG499">
        <v>79</v>
      </c>
      <c r="AH499">
        <v>4</v>
      </c>
      <c r="AI499">
        <v>4</v>
      </c>
      <c r="AJ499">
        <v>5</v>
      </c>
      <c r="AK499">
        <v>16</v>
      </c>
      <c r="AL499" t="s">
        <v>9571</v>
      </c>
      <c r="AM499" t="s">
        <v>9572</v>
      </c>
      <c r="AN499" t="s">
        <v>9573</v>
      </c>
      <c r="AO499" t="s">
        <v>9574</v>
      </c>
      <c r="AP499" t="s">
        <v>9575</v>
      </c>
      <c r="AQ499" t="s">
        <v>74</v>
      </c>
      <c r="AR499" t="s">
        <v>9576</v>
      </c>
      <c r="AS499" t="s">
        <v>9577</v>
      </c>
      <c r="AT499" t="s">
        <v>74</v>
      </c>
      <c r="AU499">
        <v>2022</v>
      </c>
      <c r="AV499">
        <v>37</v>
      </c>
      <c r="AW499">
        <v>2</v>
      </c>
      <c r="AX499" t="s">
        <v>74</v>
      </c>
      <c r="AY499" t="s">
        <v>74</v>
      </c>
      <c r="AZ499" t="s">
        <v>74</v>
      </c>
      <c r="BA499" t="s">
        <v>74</v>
      </c>
      <c r="BB499" t="s">
        <v>74</v>
      </c>
      <c r="BC499" t="s">
        <v>74</v>
      </c>
      <c r="BD499" t="s">
        <v>74</v>
      </c>
      <c r="BE499" t="s">
        <v>9578</v>
      </c>
      <c r="BF499" t="str">
        <f>HYPERLINK("http://dx.doi.org/10.1264/jsme2.ME21069","http://dx.doi.org/10.1264/jsme2.ME21069")</f>
        <v>http://dx.doi.org/10.1264/jsme2.ME21069</v>
      </c>
      <c r="BG499" t="s">
        <v>74</v>
      </c>
      <c r="BH499" t="s">
        <v>74</v>
      </c>
      <c r="BI499">
        <v>15</v>
      </c>
      <c r="BJ499" t="s">
        <v>9579</v>
      </c>
      <c r="BK499" t="s">
        <v>103</v>
      </c>
      <c r="BL499" t="s">
        <v>9579</v>
      </c>
      <c r="BM499" t="s">
        <v>9580</v>
      </c>
      <c r="BN499">
        <v>35705309</v>
      </c>
      <c r="BO499" t="s">
        <v>211</v>
      </c>
      <c r="BP499" t="s">
        <v>74</v>
      </c>
      <c r="BQ499" t="s">
        <v>74</v>
      </c>
      <c r="BR499" t="s">
        <v>106</v>
      </c>
      <c r="BS499" t="s">
        <v>9581</v>
      </c>
      <c r="BT499" t="str">
        <f>HYPERLINK("https%3A%2F%2Fwww.webofscience.com%2Fwos%2Fwoscc%2Ffull-record%2FWOS:000905239700003","View Full Record in Web of Science")</f>
        <v>View Full Record in Web of Science</v>
      </c>
    </row>
    <row r="500" spans="1:72" x14ac:dyDescent="0.15">
      <c r="A500" t="s">
        <v>72</v>
      </c>
      <c r="B500" t="s">
        <v>9582</v>
      </c>
      <c r="C500" t="s">
        <v>74</v>
      </c>
      <c r="D500" t="s">
        <v>74</v>
      </c>
      <c r="E500" t="s">
        <v>74</v>
      </c>
      <c r="F500" t="s">
        <v>9583</v>
      </c>
      <c r="G500" t="s">
        <v>74</v>
      </c>
      <c r="H500" t="s">
        <v>74</v>
      </c>
      <c r="I500" t="s">
        <v>9584</v>
      </c>
      <c r="J500" t="s">
        <v>9585</v>
      </c>
      <c r="K500" t="s">
        <v>74</v>
      </c>
      <c r="L500" t="s">
        <v>74</v>
      </c>
      <c r="M500" t="s">
        <v>78</v>
      </c>
      <c r="N500" t="s">
        <v>79</v>
      </c>
      <c r="O500" t="s">
        <v>74</v>
      </c>
      <c r="P500" t="s">
        <v>74</v>
      </c>
      <c r="Q500" t="s">
        <v>74</v>
      </c>
      <c r="R500" t="s">
        <v>74</v>
      </c>
      <c r="S500" t="s">
        <v>74</v>
      </c>
      <c r="T500" t="s">
        <v>9586</v>
      </c>
      <c r="U500" t="s">
        <v>9587</v>
      </c>
      <c r="V500" t="s">
        <v>9588</v>
      </c>
      <c r="W500" t="s">
        <v>9589</v>
      </c>
      <c r="X500" t="s">
        <v>9590</v>
      </c>
      <c r="Y500" t="s">
        <v>9591</v>
      </c>
      <c r="Z500" t="s">
        <v>9592</v>
      </c>
      <c r="AA500" t="s">
        <v>9593</v>
      </c>
      <c r="AB500" t="s">
        <v>74</v>
      </c>
      <c r="AC500" t="s">
        <v>9594</v>
      </c>
      <c r="AD500" t="s">
        <v>9595</v>
      </c>
      <c r="AE500" t="s">
        <v>9596</v>
      </c>
      <c r="AF500" t="s">
        <v>74</v>
      </c>
      <c r="AG500">
        <v>13</v>
      </c>
      <c r="AH500">
        <v>0</v>
      </c>
      <c r="AI500">
        <v>0</v>
      </c>
      <c r="AJ500">
        <v>2</v>
      </c>
      <c r="AK500">
        <v>2</v>
      </c>
      <c r="AL500" t="s">
        <v>9597</v>
      </c>
      <c r="AM500" t="s">
        <v>385</v>
      </c>
      <c r="AN500" t="s">
        <v>9598</v>
      </c>
      <c r="AO500" t="s">
        <v>9599</v>
      </c>
      <c r="AP500" t="s">
        <v>9600</v>
      </c>
      <c r="AQ500" t="s">
        <v>74</v>
      </c>
      <c r="AR500" t="s">
        <v>9601</v>
      </c>
      <c r="AS500" t="s">
        <v>9602</v>
      </c>
      <c r="AT500" t="s">
        <v>74</v>
      </c>
      <c r="AU500">
        <v>2022</v>
      </c>
      <c r="AV500">
        <v>83</v>
      </c>
      <c r="AW500" t="s">
        <v>74</v>
      </c>
      <c r="AX500">
        <v>3</v>
      </c>
      <c r="AY500" t="s">
        <v>74</v>
      </c>
      <c r="AZ500" t="s">
        <v>74</v>
      </c>
      <c r="BA500" t="s">
        <v>74</v>
      </c>
      <c r="BB500">
        <v>191</v>
      </c>
      <c r="BC500">
        <v>194</v>
      </c>
      <c r="BD500" t="s">
        <v>74</v>
      </c>
      <c r="BE500" t="s">
        <v>9603</v>
      </c>
      <c r="BF500" t="str">
        <f>HYPERLINK("http://dx.doi.org/10.52215/rev.bgs.2022.83.3.191","http://dx.doi.org/10.52215/rev.bgs.2022.83.3.191")</f>
        <v>http://dx.doi.org/10.52215/rev.bgs.2022.83.3.191</v>
      </c>
      <c r="BG500" t="s">
        <v>74</v>
      </c>
      <c r="BH500" t="s">
        <v>74</v>
      </c>
      <c r="BI500">
        <v>4</v>
      </c>
      <c r="BJ500" t="s">
        <v>151</v>
      </c>
      <c r="BK500" t="s">
        <v>724</v>
      </c>
      <c r="BL500" t="s">
        <v>152</v>
      </c>
      <c r="BM500" t="s">
        <v>9604</v>
      </c>
      <c r="BN500" t="s">
        <v>74</v>
      </c>
      <c r="BO500" t="s">
        <v>1613</v>
      </c>
      <c r="BP500" t="s">
        <v>74</v>
      </c>
      <c r="BQ500" t="s">
        <v>74</v>
      </c>
      <c r="BR500" t="s">
        <v>106</v>
      </c>
      <c r="BS500" t="s">
        <v>9605</v>
      </c>
      <c r="BT500" t="str">
        <f>HYPERLINK("https%3A%2F%2Fwww.webofscience.com%2Fwos%2Fwoscc%2Ffull-record%2FWOS:000898178900020","View Full Record in Web of Science")</f>
        <v>View Full Record in Web of Science</v>
      </c>
    </row>
    <row r="501" spans="1:72" x14ac:dyDescent="0.15">
      <c r="A501" t="s">
        <v>72</v>
      </c>
      <c r="B501" t="s">
        <v>9606</v>
      </c>
      <c r="C501" t="s">
        <v>74</v>
      </c>
      <c r="D501" t="s">
        <v>74</v>
      </c>
      <c r="E501" t="s">
        <v>74</v>
      </c>
      <c r="F501" t="s">
        <v>9607</v>
      </c>
      <c r="G501" t="s">
        <v>74</v>
      </c>
      <c r="H501" t="s">
        <v>74</v>
      </c>
      <c r="I501" t="s">
        <v>9608</v>
      </c>
      <c r="J501" t="s">
        <v>9609</v>
      </c>
      <c r="K501" t="s">
        <v>74</v>
      </c>
      <c r="L501" t="s">
        <v>74</v>
      </c>
      <c r="M501" t="s">
        <v>78</v>
      </c>
      <c r="N501" t="s">
        <v>1113</v>
      </c>
      <c r="O501" t="s">
        <v>74</v>
      </c>
      <c r="P501" t="s">
        <v>74</v>
      </c>
      <c r="Q501" t="s">
        <v>74</v>
      </c>
      <c r="R501" t="s">
        <v>74</v>
      </c>
      <c r="S501" t="s">
        <v>74</v>
      </c>
      <c r="T501" t="s">
        <v>9610</v>
      </c>
      <c r="U501" t="s">
        <v>9611</v>
      </c>
      <c r="V501" t="s">
        <v>9612</v>
      </c>
      <c r="W501" t="s">
        <v>9613</v>
      </c>
      <c r="X501" t="s">
        <v>9614</v>
      </c>
      <c r="Y501" t="s">
        <v>9615</v>
      </c>
      <c r="Z501" t="s">
        <v>9616</v>
      </c>
      <c r="AA501" t="s">
        <v>9617</v>
      </c>
      <c r="AB501" t="s">
        <v>9618</v>
      </c>
      <c r="AC501" t="s">
        <v>74</v>
      </c>
      <c r="AD501" t="s">
        <v>74</v>
      </c>
      <c r="AE501" t="s">
        <v>74</v>
      </c>
      <c r="AF501" t="s">
        <v>74</v>
      </c>
      <c r="AG501">
        <v>97</v>
      </c>
      <c r="AH501">
        <v>4</v>
      </c>
      <c r="AI501">
        <v>4</v>
      </c>
      <c r="AJ501">
        <v>0</v>
      </c>
      <c r="AK501">
        <v>4</v>
      </c>
      <c r="AL501" t="s">
        <v>9619</v>
      </c>
      <c r="AM501" t="s">
        <v>9620</v>
      </c>
      <c r="AN501" t="s">
        <v>9621</v>
      </c>
      <c r="AO501" t="s">
        <v>9622</v>
      </c>
      <c r="AP501" t="s">
        <v>9623</v>
      </c>
      <c r="AQ501" t="s">
        <v>74</v>
      </c>
      <c r="AR501" t="s">
        <v>9624</v>
      </c>
      <c r="AS501" t="s">
        <v>9625</v>
      </c>
      <c r="AT501" t="s">
        <v>74</v>
      </c>
      <c r="AU501">
        <v>2022</v>
      </c>
      <c r="AV501">
        <v>35</v>
      </c>
      <c r="AW501">
        <v>6</v>
      </c>
      <c r="AX501" t="s">
        <v>74</v>
      </c>
      <c r="AY501" t="s">
        <v>74</v>
      </c>
      <c r="AZ501" t="s">
        <v>74</v>
      </c>
      <c r="BA501" t="s">
        <v>74</v>
      </c>
      <c r="BB501">
        <v>469</v>
      </c>
      <c r="BC501">
        <v>500</v>
      </c>
      <c r="BD501" t="s">
        <v>74</v>
      </c>
      <c r="BE501" t="s">
        <v>9626</v>
      </c>
      <c r="BF501" t="str">
        <f>HYPERLINK("http://dx.doi.org/10.1071/SB21023","http://dx.doi.org/10.1071/SB21023")</f>
        <v>http://dx.doi.org/10.1071/SB21023</v>
      </c>
      <c r="BG501" t="s">
        <v>74</v>
      </c>
      <c r="BH501" t="s">
        <v>74</v>
      </c>
      <c r="BI501">
        <v>32</v>
      </c>
      <c r="BJ501" t="s">
        <v>4493</v>
      </c>
      <c r="BK501" t="s">
        <v>103</v>
      </c>
      <c r="BL501" t="s">
        <v>4493</v>
      </c>
      <c r="BM501" t="s">
        <v>9627</v>
      </c>
      <c r="BN501" t="s">
        <v>74</v>
      </c>
      <c r="BO501" t="s">
        <v>948</v>
      </c>
      <c r="BP501" t="s">
        <v>74</v>
      </c>
      <c r="BQ501" t="s">
        <v>74</v>
      </c>
      <c r="BR501" t="s">
        <v>106</v>
      </c>
      <c r="BS501" t="s">
        <v>9628</v>
      </c>
      <c r="BT501" t="str">
        <f>HYPERLINK("https%3A%2F%2Fwww.webofscience.com%2Fwos%2Fwoscc%2Ffull-record%2FWOS:000895960000002","View Full Record in Web of Science")</f>
        <v>View Full Record in Web of Science</v>
      </c>
    </row>
    <row r="502" spans="1:72" x14ac:dyDescent="0.15">
      <c r="A502" t="s">
        <v>72</v>
      </c>
      <c r="B502" t="s">
        <v>9629</v>
      </c>
      <c r="C502" t="s">
        <v>74</v>
      </c>
      <c r="D502" t="s">
        <v>74</v>
      </c>
      <c r="E502" t="s">
        <v>74</v>
      </c>
      <c r="F502" t="s">
        <v>9630</v>
      </c>
      <c r="G502" t="s">
        <v>74</v>
      </c>
      <c r="H502" t="s">
        <v>74</v>
      </c>
      <c r="I502" t="s">
        <v>9631</v>
      </c>
      <c r="J502" t="s">
        <v>9632</v>
      </c>
      <c r="K502" t="s">
        <v>74</v>
      </c>
      <c r="L502" t="s">
        <v>74</v>
      </c>
      <c r="M502" t="s">
        <v>78</v>
      </c>
      <c r="N502" t="s">
        <v>79</v>
      </c>
      <c r="O502" t="s">
        <v>74</v>
      </c>
      <c r="P502" t="s">
        <v>74</v>
      </c>
      <c r="Q502" t="s">
        <v>74</v>
      </c>
      <c r="R502" t="s">
        <v>74</v>
      </c>
      <c r="S502" t="s">
        <v>74</v>
      </c>
      <c r="T502" t="s">
        <v>9633</v>
      </c>
      <c r="U502" t="s">
        <v>9634</v>
      </c>
      <c r="V502" t="s">
        <v>9635</v>
      </c>
      <c r="W502" t="s">
        <v>9636</v>
      </c>
      <c r="X502" t="s">
        <v>9637</v>
      </c>
      <c r="Y502" t="s">
        <v>9638</v>
      </c>
      <c r="Z502" t="s">
        <v>9097</v>
      </c>
      <c r="AA502" t="s">
        <v>9639</v>
      </c>
      <c r="AB502" t="s">
        <v>9640</v>
      </c>
      <c r="AC502" t="s">
        <v>9641</v>
      </c>
      <c r="AD502" t="s">
        <v>9642</v>
      </c>
      <c r="AE502" t="s">
        <v>9643</v>
      </c>
      <c r="AF502" t="s">
        <v>74</v>
      </c>
      <c r="AG502">
        <v>20</v>
      </c>
      <c r="AH502">
        <v>5</v>
      </c>
      <c r="AI502">
        <v>5</v>
      </c>
      <c r="AJ502">
        <v>0</v>
      </c>
      <c r="AK502">
        <v>3</v>
      </c>
      <c r="AL502" t="s">
        <v>9644</v>
      </c>
      <c r="AM502" t="s">
        <v>9645</v>
      </c>
      <c r="AN502" t="s">
        <v>9646</v>
      </c>
      <c r="AO502" t="s">
        <v>9647</v>
      </c>
      <c r="AP502" t="s">
        <v>9648</v>
      </c>
      <c r="AQ502" t="s">
        <v>74</v>
      </c>
      <c r="AR502" t="s">
        <v>9649</v>
      </c>
      <c r="AS502" t="s">
        <v>9650</v>
      </c>
      <c r="AT502" t="s">
        <v>74</v>
      </c>
      <c r="AU502">
        <v>2022</v>
      </c>
      <c r="AV502">
        <v>46</v>
      </c>
      <c r="AW502">
        <v>5</v>
      </c>
      <c r="AX502" t="s">
        <v>74</v>
      </c>
      <c r="AY502" t="s">
        <v>74</v>
      </c>
      <c r="AZ502" t="s">
        <v>74</v>
      </c>
      <c r="BA502" t="s">
        <v>74</v>
      </c>
      <c r="BB502">
        <v>500</v>
      </c>
      <c r="BC502">
        <v>506</v>
      </c>
      <c r="BD502" t="s">
        <v>74</v>
      </c>
      <c r="BE502" t="s">
        <v>9651</v>
      </c>
      <c r="BF502" t="str">
        <f>HYPERLINK("http://dx.doi.org/10.55730/1300-008X.2725","http://dx.doi.org/10.55730/1300-008X.2725")</f>
        <v>http://dx.doi.org/10.55730/1300-008X.2725</v>
      </c>
      <c r="BG502" t="s">
        <v>74</v>
      </c>
      <c r="BH502" t="s">
        <v>74</v>
      </c>
      <c r="BI502">
        <v>7</v>
      </c>
      <c r="BJ502" t="s">
        <v>1473</v>
      </c>
      <c r="BK502" t="s">
        <v>103</v>
      </c>
      <c r="BL502" t="s">
        <v>1473</v>
      </c>
      <c r="BM502" t="s">
        <v>9652</v>
      </c>
      <c r="BN502" t="s">
        <v>74</v>
      </c>
      <c r="BO502" t="s">
        <v>1613</v>
      </c>
      <c r="BP502" t="s">
        <v>74</v>
      </c>
      <c r="BQ502" t="s">
        <v>74</v>
      </c>
      <c r="BR502" t="s">
        <v>106</v>
      </c>
      <c r="BS502" t="s">
        <v>9653</v>
      </c>
      <c r="BT502" t="str">
        <f>HYPERLINK("https%3A%2F%2Fwww.webofscience.com%2Fwos%2Fwoscc%2Ffull-record%2FWOS:000889575400006","View Full Record in Web of Science")</f>
        <v>View Full Record in Web of Science</v>
      </c>
    </row>
    <row r="503" spans="1:72" x14ac:dyDescent="0.15">
      <c r="A503" t="s">
        <v>72</v>
      </c>
      <c r="B503" t="s">
        <v>9654</v>
      </c>
      <c r="C503" t="s">
        <v>74</v>
      </c>
      <c r="D503" t="s">
        <v>74</v>
      </c>
      <c r="E503" t="s">
        <v>74</v>
      </c>
      <c r="F503" t="s">
        <v>9655</v>
      </c>
      <c r="G503" t="s">
        <v>74</v>
      </c>
      <c r="H503" t="s">
        <v>74</v>
      </c>
      <c r="I503" t="s">
        <v>9656</v>
      </c>
      <c r="J503" t="s">
        <v>9657</v>
      </c>
      <c r="K503" t="s">
        <v>74</v>
      </c>
      <c r="L503" t="s">
        <v>74</v>
      </c>
      <c r="M503" t="s">
        <v>78</v>
      </c>
      <c r="N503" t="s">
        <v>79</v>
      </c>
      <c r="O503" t="s">
        <v>74</v>
      </c>
      <c r="P503" t="s">
        <v>74</v>
      </c>
      <c r="Q503" t="s">
        <v>74</v>
      </c>
      <c r="R503" t="s">
        <v>74</v>
      </c>
      <c r="S503" t="s">
        <v>74</v>
      </c>
      <c r="T503" t="s">
        <v>9658</v>
      </c>
      <c r="U503" t="s">
        <v>74</v>
      </c>
      <c r="V503" t="s">
        <v>9659</v>
      </c>
      <c r="W503" t="s">
        <v>9660</v>
      </c>
      <c r="X503" t="s">
        <v>9661</v>
      </c>
      <c r="Y503" t="s">
        <v>9662</v>
      </c>
      <c r="Z503" t="s">
        <v>9663</v>
      </c>
      <c r="AA503" t="s">
        <v>9664</v>
      </c>
      <c r="AB503" t="s">
        <v>9665</v>
      </c>
      <c r="AC503" t="s">
        <v>74</v>
      </c>
      <c r="AD503" t="s">
        <v>74</v>
      </c>
      <c r="AE503" t="s">
        <v>74</v>
      </c>
      <c r="AF503" t="s">
        <v>74</v>
      </c>
      <c r="AG503">
        <v>12</v>
      </c>
      <c r="AH503">
        <v>0</v>
      </c>
      <c r="AI503">
        <v>0</v>
      </c>
      <c r="AJ503">
        <v>0</v>
      </c>
      <c r="AK503">
        <v>1</v>
      </c>
      <c r="AL503" t="s">
        <v>9666</v>
      </c>
      <c r="AM503" t="s">
        <v>9667</v>
      </c>
      <c r="AN503" t="s">
        <v>9668</v>
      </c>
      <c r="AO503" t="s">
        <v>9669</v>
      </c>
      <c r="AP503" t="s">
        <v>74</v>
      </c>
      <c r="AQ503" t="s">
        <v>74</v>
      </c>
      <c r="AR503" t="s">
        <v>9670</v>
      </c>
      <c r="AS503" t="s">
        <v>9671</v>
      </c>
      <c r="AT503" t="s">
        <v>74</v>
      </c>
      <c r="AU503">
        <v>2022</v>
      </c>
      <c r="AV503" t="s">
        <v>74</v>
      </c>
      <c r="AW503">
        <v>3</v>
      </c>
      <c r="AX503" t="s">
        <v>74</v>
      </c>
      <c r="AY503" t="s">
        <v>74</v>
      </c>
      <c r="AZ503" t="s">
        <v>74</v>
      </c>
      <c r="BA503" t="s">
        <v>74</v>
      </c>
      <c r="BB503">
        <v>5</v>
      </c>
      <c r="BC503">
        <v>14</v>
      </c>
      <c r="BD503" t="s">
        <v>74</v>
      </c>
      <c r="BE503" t="s">
        <v>9672</v>
      </c>
      <c r="BF503" t="str">
        <f>HYPERLINK("http://dx.doi.org/10.17721/1728-2713.98.01","http://dx.doi.org/10.17721/1728-2713.98.01")</f>
        <v>http://dx.doi.org/10.17721/1728-2713.98.01</v>
      </c>
      <c r="BG503" t="s">
        <v>74</v>
      </c>
      <c r="BH503" t="s">
        <v>74</v>
      </c>
      <c r="BI503">
        <v>10</v>
      </c>
      <c r="BJ503" t="s">
        <v>152</v>
      </c>
      <c r="BK503" t="s">
        <v>724</v>
      </c>
      <c r="BL503" t="s">
        <v>152</v>
      </c>
      <c r="BM503" t="s">
        <v>9673</v>
      </c>
      <c r="BN503" t="s">
        <v>74</v>
      </c>
      <c r="BO503" t="s">
        <v>1613</v>
      </c>
      <c r="BP503" t="s">
        <v>74</v>
      </c>
      <c r="BQ503" t="s">
        <v>74</v>
      </c>
      <c r="BR503" t="s">
        <v>106</v>
      </c>
      <c r="BS503" t="s">
        <v>9674</v>
      </c>
      <c r="BT503" t="str">
        <f>HYPERLINK("https%3A%2F%2Fwww.webofscience.com%2Fwos%2Fwoscc%2Ffull-record%2FWOS:000887252800001","View Full Record in Web of Science")</f>
        <v>View Full Record in Web of Science</v>
      </c>
    </row>
    <row r="504" spans="1:72" x14ac:dyDescent="0.15">
      <c r="A504" t="s">
        <v>72</v>
      </c>
      <c r="B504" t="s">
        <v>9675</v>
      </c>
      <c r="C504" t="s">
        <v>74</v>
      </c>
      <c r="D504" t="s">
        <v>74</v>
      </c>
      <c r="E504" t="s">
        <v>74</v>
      </c>
      <c r="F504" t="s">
        <v>9676</v>
      </c>
      <c r="G504" t="s">
        <v>74</v>
      </c>
      <c r="H504" t="s">
        <v>74</v>
      </c>
      <c r="I504" t="s">
        <v>9677</v>
      </c>
      <c r="J504" t="s">
        <v>9196</v>
      </c>
      <c r="K504" t="s">
        <v>74</v>
      </c>
      <c r="L504" t="s">
        <v>74</v>
      </c>
      <c r="M504" t="s">
        <v>78</v>
      </c>
      <c r="N504" t="s">
        <v>79</v>
      </c>
      <c r="O504" t="s">
        <v>74</v>
      </c>
      <c r="P504" t="s">
        <v>74</v>
      </c>
      <c r="Q504" t="s">
        <v>74</v>
      </c>
      <c r="R504" t="s">
        <v>74</v>
      </c>
      <c r="S504" t="s">
        <v>74</v>
      </c>
      <c r="T504" t="s">
        <v>9678</v>
      </c>
      <c r="U504" t="s">
        <v>9679</v>
      </c>
      <c r="V504" t="s">
        <v>9680</v>
      </c>
      <c r="W504" t="s">
        <v>9681</v>
      </c>
      <c r="X504" t="s">
        <v>9682</v>
      </c>
      <c r="Y504" t="s">
        <v>9683</v>
      </c>
      <c r="Z504" t="s">
        <v>9684</v>
      </c>
      <c r="AA504" t="s">
        <v>9685</v>
      </c>
      <c r="AB504" t="s">
        <v>9686</v>
      </c>
      <c r="AC504" t="s">
        <v>9687</v>
      </c>
      <c r="AD504" t="s">
        <v>9688</v>
      </c>
      <c r="AE504" t="s">
        <v>9689</v>
      </c>
      <c r="AF504" t="s">
        <v>74</v>
      </c>
      <c r="AG504">
        <v>63</v>
      </c>
      <c r="AH504">
        <v>1</v>
      </c>
      <c r="AI504">
        <v>1</v>
      </c>
      <c r="AJ504">
        <v>0</v>
      </c>
      <c r="AK504">
        <v>3</v>
      </c>
      <c r="AL504" t="s">
        <v>1667</v>
      </c>
      <c r="AM504" t="s">
        <v>1668</v>
      </c>
      <c r="AN504" t="s">
        <v>1669</v>
      </c>
      <c r="AO504" t="s">
        <v>9209</v>
      </c>
      <c r="AP504" t="s">
        <v>9210</v>
      </c>
      <c r="AQ504" t="s">
        <v>74</v>
      </c>
      <c r="AR504" t="s">
        <v>9211</v>
      </c>
      <c r="AS504" t="s">
        <v>9212</v>
      </c>
      <c r="AT504" t="s">
        <v>74</v>
      </c>
      <c r="AU504">
        <v>2022</v>
      </c>
      <c r="AV504">
        <v>60</v>
      </c>
      <c r="AW504" t="s">
        <v>74</v>
      </c>
      <c r="AX504" t="s">
        <v>74</v>
      </c>
      <c r="AY504" t="s">
        <v>74</v>
      </c>
      <c r="AZ504" t="s">
        <v>74</v>
      </c>
      <c r="BA504" t="s">
        <v>74</v>
      </c>
      <c r="BB504" t="s">
        <v>74</v>
      </c>
      <c r="BC504" t="s">
        <v>74</v>
      </c>
      <c r="BD504">
        <v>4306514</v>
      </c>
      <c r="BE504" t="s">
        <v>9690</v>
      </c>
      <c r="BF504" t="str">
        <f>HYPERLINK("http://dx.doi.org/10.1109/TGRS.2022.3218538","http://dx.doi.org/10.1109/TGRS.2022.3218538")</f>
        <v>http://dx.doi.org/10.1109/TGRS.2022.3218538</v>
      </c>
      <c r="BG504" t="s">
        <v>74</v>
      </c>
      <c r="BH504" t="s">
        <v>74</v>
      </c>
      <c r="BI504">
        <v>14</v>
      </c>
      <c r="BJ504" t="s">
        <v>9214</v>
      </c>
      <c r="BK504" t="s">
        <v>103</v>
      </c>
      <c r="BL504" t="s">
        <v>9215</v>
      </c>
      <c r="BM504" t="s">
        <v>9691</v>
      </c>
      <c r="BN504" t="s">
        <v>74</v>
      </c>
      <c r="BO504" t="s">
        <v>948</v>
      </c>
      <c r="BP504" t="s">
        <v>74</v>
      </c>
      <c r="BQ504" t="s">
        <v>74</v>
      </c>
      <c r="BR504" t="s">
        <v>106</v>
      </c>
      <c r="BS504" t="s">
        <v>9692</v>
      </c>
      <c r="BT504" t="str">
        <f>HYPERLINK("https%3A%2F%2Fwww.webofscience.com%2Fwos%2Fwoscc%2Ffull-record%2FWOS:000888219000004","View Full Record in Web of Science")</f>
        <v>View Full Record in Web of Science</v>
      </c>
    </row>
    <row r="505" spans="1:72" x14ac:dyDescent="0.15">
      <c r="A505" t="s">
        <v>72</v>
      </c>
      <c r="B505" t="s">
        <v>9693</v>
      </c>
      <c r="C505" t="s">
        <v>74</v>
      </c>
      <c r="D505" t="s">
        <v>74</v>
      </c>
      <c r="E505" t="s">
        <v>74</v>
      </c>
      <c r="F505" t="s">
        <v>9694</v>
      </c>
      <c r="G505" t="s">
        <v>74</v>
      </c>
      <c r="H505" t="s">
        <v>74</v>
      </c>
      <c r="I505" t="s">
        <v>9695</v>
      </c>
      <c r="J505" t="s">
        <v>8773</v>
      </c>
      <c r="K505" t="s">
        <v>74</v>
      </c>
      <c r="L505" t="s">
        <v>74</v>
      </c>
      <c r="M505" t="s">
        <v>78</v>
      </c>
      <c r="N505" t="s">
        <v>79</v>
      </c>
      <c r="O505" t="s">
        <v>74</v>
      </c>
      <c r="P505" t="s">
        <v>74</v>
      </c>
      <c r="Q505" t="s">
        <v>74</v>
      </c>
      <c r="R505" t="s">
        <v>74</v>
      </c>
      <c r="S505" t="s">
        <v>74</v>
      </c>
      <c r="T505" t="s">
        <v>9696</v>
      </c>
      <c r="U505" t="s">
        <v>9697</v>
      </c>
      <c r="V505" t="s">
        <v>9698</v>
      </c>
      <c r="W505" t="s">
        <v>9699</v>
      </c>
      <c r="X505" t="s">
        <v>9700</v>
      </c>
      <c r="Y505" t="s">
        <v>9701</v>
      </c>
      <c r="Z505" t="s">
        <v>9702</v>
      </c>
      <c r="AA505" t="s">
        <v>74</v>
      </c>
      <c r="AB505" t="s">
        <v>74</v>
      </c>
      <c r="AC505" t="s">
        <v>9703</v>
      </c>
      <c r="AD505" t="s">
        <v>9704</v>
      </c>
      <c r="AE505" t="s">
        <v>9705</v>
      </c>
      <c r="AF505" t="s">
        <v>74</v>
      </c>
      <c r="AG505">
        <v>48</v>
      </c>
      <c r="AH505">
        <v>0</v>
      </c>
      <c r="AI505">
        <v>1</v>
      </c>
      <c r="AJ505">
        <v>0</v>
      </c>
      <c r="AK505">
        <v>2</v>
      </c>
      <c r="AL505" t="s">
        <v>8786</v>
      </c>
      <c r="AM505" t="s">
        <v>436</v>
      </c>
      <c r="AN505" t="s">
        <v>8787</v>
      </c>
      <c r="AO505" t="s">
        <v>8788</v>
      </c>
      <c r="AP505" t="s">
        <v>8789</v>
      </c>
      <c r="AQ505" t="s">
        <v>74</v>
      </c>
      <c r="AR505" t="s">
        <v>8790</v>
      </c>
      <c r="AS505" t="s">
        <v>8791</v>
      </c>
      <c r="AT505" t="s">
        <v>74</v>
      </c>
      <c r="AU505">
        <v>2022</v>
      </c>
      <c r="AV505">
        <v>72</v>
      </c>
      <c r="AW505">
        <v>9</v>
      </c>
      <c r="AX505" t="s">
        <v>74</v>
      </c>
      <c r="AY505" t="s">
        <v>74</v>
      </c>
      <c r="AZ505" t="s">
        <v>74</v>
      </c>
      <c r="BA505" t="s">
        <v>74</v>
      </c>
      <c r="BB505" t="s">
        <v>74</v>
      </c>
      <c r="BC505" t="s">
        <v>74</v>
      </c>
      <c r="BD505">
        <v>5535</v>
      </c>
      <c r="BE505" t="s">
        <v>9706</v>
      </c>
      <c r="BF505" t="str">
        <f>HYPERLINK("http://dx.doi.org/10.1099/ijsem.0.005535","http://dx.doi.org/10.1099/ijsem.0.005535")</f>
        <v>http://dx.doi.org/10.1099/ijsem.0.005535</v>
      </c>
      <c r="BG505" t="s">
        <v>74</v>
      </c>
      <c r="BH505" t="s">
        <v>74</v>
      </c>
      <c r="BI505">
        <v>6</v>
      </c>
      <c r="BJ505" t="s">
        <v>747</v>
      </c>
      <c r="BK505" t="s">
        <v>103</v>
      </c>
      <c r="BL505" t="s">
        <v>747</v>
      </c>
      <c r="BM505" t="s">
        <v>9707</v>
      </c>
      <c r="BN505">
        <v>36166367</v>
      </c>
      <c r="BO505" t="s">
        <v>74</v>
      </c>
      <c r="BP505" t="s">
        <v>74</v>
      </c>
      <c r="BQ505" t="s">
        <v>74</v>
      </c>
      <c r="BR505" t="s">
        <v>106</v>
      </c>
      <c r="BS505" t="s">
        <v>9708</v>
      </c>
      <c r="BT505" t="str">
        <f>HYPERLINK("https%3A%2F%2Fwww.webofscience.com%2Fwos%2Fwoscc%2Ffull-record%2FWOS:000886038700005","View Full Record in Web of Science")</f>
        <v>View Full Record in Web of Science</v>
      </c>
    </row>
    <row r="506" spans="1:72" x14ac:dyDescent="0.15">
      <c r="A506" t="s">
        <v>7844</v>
      </c>
      <c r="B506" t="s">
        <v>9709</v>
      </c>
      <c r="C506" t="s">
        <v>74</v>
      </c>
      <c r="D506" t="s">
        <v>9710</v>
      </c>
      <c r="E506" t="s">
        <v>74</v>
      </c>
      <c r="F506" t="s">
        <v>9711</v>
      </c>
      <c r="G506" t="s">
        <v>74</v>
      </c>
      <c r="H506" t="s">
        <v>74</v>
      </c>
      <c r="I506" t="s">
        <v>9712</v>
      </c>
      <c r="J506" t="s">
        <v>9713</v>
      </c>
      <c r="K506" t="s">
        <v>9714</v>
      </c>
      <c r="L506" t="s">
        <v>74</v>
      </c>
      <c r="M506" t="s">
        <v>78</v>
      </c>
      <c r="N506" t="s">
        <v>7851</v>
      </c>
      <c r="O506" t="s">
        <v>9715</v>
      </c>
      <c r="P506" t="s">
        <v>9716</v>
      </c>
      <c r="Q506" t="s">
        <v>9717</v>
      </c>
      <c r="R506" t="s">
        <v>74</v>
      </c>
      <c r="S506" t="s">
        <v>74</v>
      </c>
      <c r="T506" t="s">
        <v>9718</v>
      </c>
      <c r="U506" t="s">
        <v>74</v>
      </c>
      <c r="V506" t="s">
        <v>9719</v>
      </c>
      <c r="W506" t="s">
        <v>9720</v>
      </c>
      <c r="X506" t="s">
        <v>4314</v>
      </c>
      <c r="Y506" t="s">
        <v>9721</v>
      </c>
      <c r="Z506" t="s">
        <v>9722</v>
      </c>
      <c r="AA506" t="s">
        <v>9723</v>
      </c>
      <c r="AB506" t="s">
        <v>74</v>
      </c>
      <c r="AC506" t="s">
        <v>74</v>
      </c>
      <c r="AD506" t="s">
        <v>74</v>
      </c>
      <c r="AE506" t="s">
        <v>74</v>
      </c>
      <c r="AF506" t="s">
        <v>74</v>
      </c>
      <c r="AG506">
        <v>13</v>
      </c>
      <c r="AH506">
        <v>0</v>
      </c>
      <c r="AI506">
        <v>0</v>
      </c>
      <c r="AJ506">
        <v>1</v>
      </c>
      <c r="AK506">
        <v>8</v>
      </c>
      <c r="AL506" t="s">
        <v>9724</v>
      </c>
      <c r="AM506" t="s">
        <v>9725</v>
      </c>
      <c r="AN506" t="s">
        <v>9726</v>
      </c>
      <c r="AO506" t="s">
        <v>9727</v>
      </c>
      <c r="AP506" t="s">
        <v>9728</v>
      </c>
      <c r="AQ506" t="s">
        <v>9729</v>
      </c>
      <c r="AR506" t="s">
        <v>9730</v>
      </c>
      <c r="AS506" t="s">
        <v>74</v>
      </c>
      <c r="AT506" t="s">
        <v>74</v>
      </c>
      <c r="AU506">
        <v>2022</v>
      </c>
      <c r="AV506">
        <v>909</v>
      </c>
      <c r="AW506" t="s">
        <v>74</v>
      </c>
      <c r="AX506" t="s">
        <v>74</v>
      </c>
      <c r="AY506" t="s">
        <v>74</v>
      </c>
      <c r="AZ506" t="s">
        <v>74</v>
      </c>
      <c r="BA506" t="s">
        <v>74</v>
      </c>
      <c r="BB506">
        <v>244</v>
      </c>
      <c r="BC506">
        <v>254</v>
      </c>
      <c r="BD506" t="s">
        <v>74</v>
      </c>
      <c r="BE506" t="s">
        <v>9731</v>
      </c>
      <c r="BF506" t="str">
        <f>HYPERLINK("http://dx.doi.org/10.1007/978-981-19-2580-1_21","http://dx.doi.org/10.1007/978-981-19-2580-1_21")</f>
        <v>http://dx.doi.org/10.1007/978-981-19-2580-1_21</v>
      </c>
      <c r="BG506" t="s">
        <v>74</v>
      </c>
      <c r="BH506" t="s">
        <v>74</v>
      </c>
      <c r="BI506">
        <v>11</v>
      </c>
      <c r="BJ506" t="s">
        <v>8465</v>
      </c>
      <c r="BK506" t="s">
        <v>7868</v>
      </c>
      <c r="BL506" t="s">
        <v>8465</v>
      </c>
      <c r="BM506" t="s">
        <v>9732</v>
      </c>
      <c r="BN506" t="s">
        <v>74</v>
      </c>
      <c r="BO506" t="s">
        <v>74</v>
      </c>
      <c r="BP506" t="s">
        <v>74</v>
      </c>
      <c r="BQ506" t="s">
        <v>74</v>
      </c>
      <c r="BR506" t="s">
        <v>106</v>
      </c>
      <c r="BS506" t="s">
        <v>9733</v>
      </c>
      <c r="BT506" t="str">
        <f>HYPERLINK("https%3A%2F%2Fwww.webofscience.com%2Fwos%2Fwoscc%2Ffull-record%2FWOS:000889126600021","View Full Record in Web of Science")</f>
        <v>View Full Record in Web of Science</v>
      </c>
    </row>
    <row r="507" spans="1:72" x14ac:dyDescent="0.15">
      <c r="A507" t="s">
        <v>72</v>
      </c>
      <c r="B507" t="s">
        <v>9734</v>
      </c>
      <c r="C507" t="s">
        <v>74</v>
      </c>
      <c r="D507" t="s">
        <v>74</v>
      </c>
      <c r="E507" t="s">
        <v>74</v>
      </c>
      <c r="F507" t="s">
        <v>9735</v>
      </c>
      <c r="G507" t="s">
        <v>74</v>
      </c>
      <c r="H507" t="s">
        <v>74</v>
      </c>
      <c r="I507" t="s">
        <v>9736</v>
      </c>
      <c r="J507" t="s">
        <v>9737</v>
      </c>
      <c r="K507" t="s">
        <v>74</v>
      </c>
      <c r="L507" t="s">
        <v>74</v>
      </c>
      <c r="M507" t="s">
        <v>78</v>
      </c>
      <c r="N507" t="s">
        <v>79</v>
      </c>
      <c r="O507" t="s">
        <v>74</v>
      </c>
      <c r="P507" t="s">
        <v>74</v>
      </c>
      <c r="Q507" t="s">
        <v>74</v>
      </c>
      <c r="R507" t="s">
        <v>74</v>
      </c>
      <c r="S507" t="s">
        <v>74</v>
      </c>
      <c r="T507" t="s">
        <v>9738</v>
      </c>
      <c r="U507" t="s">
        <v>9739</v>
      </c>
      <c r="V507" t="s">
        <v>9740</v>
      </c>
      <c r="W507" t="s">
        <v>9741</v>
      </c>
      <c r="X507" t="s">
        <v>9742</v>
      </c>
      <c r="Y507" t="s">
        <v>9743</v>
      </c>
      <c r="Z507" t="s">
        <v>9744</v>
      </c>
      <c r="AA507" t="s">
        <v>9745</v>
      </c>
      <c r="AB507" t="s">
        <v>9746</v>
      </c>
      <c r="AC507" t="s">
        <v>9747</v>
      </c>
      <c r="AD507" t="s">
        <v>9748</v>
      </c>
      <c r="AE507" t="s">
        <v>9749</v>
      </c>
      <c r="AF507" t="s">
        <v>74</v>
      </c>
      <c r="AG507">
        <v>60</v>
      </c>
      <c r="AH507">
        <v>2</v>
      </c>
      <c r="AI507">
        <v>2</v>
      </c>
      <c r="AJ507">
        <v>1</v>
      </c>
      <c r="AK507">
        <v>7</v>
      </c>
      <c r="AL507" t="s">
        <v>1667</v>
      </c>
      <c r="AM507" t="s">
        <v>1668</v>
      </c>
      <c r="AN507" t="s">
        <v>1669</v>
      </c>
      <c r="AO507" t="s">
        <v>9750</v>
      </c>
      <c r="AP507" t="s">
        <v>9751</v>
      </c>
      <c r="AQ507" t="s">
        <v>74</v>
      </c>
      <c r="AR507" t="s">
        <v>9752</v>
      </c>
      <c r="AS507" t="s">
        <v>9753</v>
      </c>
      <c r="AT507" t="s">
        <v>74</v>
      </c>
      <c r="AU507">
        <v>2022</v>
      </c>
      <c r="AV507">
        <v>15</v>
      </c>
      <c r="AW507" t="s">
        <v>74</v>
      </c>
      <c r="AX507" t="s">
        <v>74</v>
      </c>
      <c r="AY507" t="s">
        <v>74</v>
      </c>
      <c r="AZ507" t="s">
        <v>74</v>
      </c>
      <c r="BA507" t="s">
        <v>74</v>
      </c>
      <c r="BB507">
        <v>9699</v>
      </c>
      <c r="BC507">
        <v>9715</v>
      </c>
      <c r="BD507" t="s">
        <v>74</v>
      </c>
      <c r="BE507" t="s">
        <v>9754</v>
      </c>
      <c r="BF507" t="str">
        <f>HYPERLINK("http://dx.doi.org/10.1109/JSTARS.2022.3217279","http://dx.doi.org/10.1109/JSTARS.2022.3217279")</f>
        <v>http://dx.doi.org/10.1109/JSTARS.2022.3217279</v>
      </c>
      <c r="BG507" t="s">
        <v>74</v>
      </c>
      <c r="BH507" t="s">
        <v>74</v>
      </c>
      <c r="BI507">
        <v>17</v>
      </c>
      <c r="BJ507" t="s">
        <v>9755</v>
      </c>
      <c r="BK507" t="s">
        <v>103</v>
      </c>
      <c r="BL507" t="s">
        <v>9756</v>
      </c>
      <c r="BM507" t="s">
        <v>9757</v>
      </c>
      <c r="BN507" t="s">
        <v>74</v>
      </c>
      <c r="BO507" t="s">
        <v>154</v>
      </c>
      <c r="BP507" t="s">
        <v>74</v>
      </c>
      <c r="BQ507" t="s">
        <v>74</v>
      </c>
      <c r="BR507" t="s">
        <v>106</v>
      </c>
      <c r="BS507" t="s">
        <v>9758</v>
      </c>
      <c r="BT507" t="str">
        <f>HYPERLINK("https%3A%2F%2Fwww.webofscience.com%2Fwos%2Fwoscc%2Ffull-record%2FWOS:000886590300010","View Full Record in Web of Science")</f>
        <v>View Full Record in Web of Science</v>
      </c>
    </row>
    <row r="508" spans="1:72" x14ac:dyDescent="0.15">
      <c r="A508" t="s">
        <v>72</v>
      </c>
      <c r="B508" t="s">
        <v>9759</v>
      </c>
      <c r="C508" t="s">
        <v>74</v>
      </c>
      <c r="D508" t="s">
        <v>74</v>
      </c>
      <c r="E508" t="s">
        <v>74</v>
      </c>
      <c r="F508" t="s">
        <v>9760</v>
      </c>
      <c r="G508" t="s">
        <v>74</v>
      </c>
      <c r="H508" t="s">
        <v>74</v>
      </c>
      <c r="I508" t="s">
        <v>9761</v>
      </c>
      <c r="J508" t="s">
        <v>9762</v>
      </c>
      <c r="K508" t="s">
        <v>74</v>
      </c>
      <c r="L508" t="s">
        <v>74</v>
      </c>
      <c r="M508" t="s">
        <v>78</v>
      </c>
      <c r="N508" t="s">
        <v>79</v>
      </c>
      <c r="O508" t="s">
        <v>74</v>
      </c>
      <c r="P508" t="s">
        <v>74</v>
      </c>
      <c r="Q508" t="s">
        <v>74</v>
      </c>
      <c r="R508" t="s">
        <v>74</v>
      </c>
      <c r="S508" t="s">
        <v>74</v>
      </c>
      <c r="T508" t="s">
        <v>74</v>
      </c>
      <c r="U508" t="s">
        <v>9763</v>
      </c>
      <c r="V508" t="s">
        <v>9764</v>
      </c>
      <c r="W508" t="s">
        <v>9765</v>
      </c>
      <c r="X508" t="s">
        <v>9766</v>
      </c>
      <c r="Y508" t="s">
        <v>9767</v>
      </c>
      <c r="Z508" t="s">
        <v>9768</v>
      </c>
      <c r="AA508" t="s">
        <v>9769</v>
      </c>
      <c r="AB508" t="s">
        <v>9770</v>
      </c>
      <c r="AC508" t="s">
        <v>9771</v>
      </c>
      <c r="AD508" t="s">
        <v>9772</v>
      </c>
      <c r="AE508" t="s">
        <v>9773</v>
      </c>
      <c r="AF508" t="s">
        <v>74</v>
      </c>
      <c r="AG508">
        <v>153</v>
      </c>
      <c r="AH508">
        <v>4</v>
      </c>
      <c r="AI508">
        <v>5</v>
      </c>
      <c r="AJ508">
        <v>3</v>
      </c>
      <c r="AK508">
        <v>3</v>
      </c>
      <c r="AL508" t="s">
        <v>9774</v>
      </c>
      <c r="AM508" t="s">
        <v>9775</v>
      </c>
      <c r="AN508" t="s">
        <v>9776</v>
      </c>
      <c r="AO508" t="s">
        <v>9777</v>
      </c>
      <c r="AP508" t="s">
        <v>9778</v>
      </c>
      <c r="AQ508" t="s">
        <v>74</v>
      </c>
      <c r="AR508" t="s">
        <v>9779</v>
      </c>
      <c r="AS508" t="s">
        <v>9780</v>
      </c>
      <c r="AT508" t="s">
        <v>8419</v>
      </c>
      <c r="AU508">
        <v>2022</v>
      </c>
      <c r="AV508">
        <v>134</v>
      </c>
      <c r="AW508" t="s">
        <v>6989</v>
      </c>
      <c r="AX508" t="s">
        <v>74</v>
      </c>
      <c r="AY508" t="s">
        <v>74</v>
      </c>
      <c r="AZ508" t="s">
        <v>74</v>
      </c>
      <c r="BA508" t="s">
        <v>74</v>
      </c>
      <c r="BB508">
        <v>160</v>
      </c>
      <c r="BC508">
        <v>178</v>
      </c>
      <c r="BD508" t="s">
        <v>74</v>
      </c>
      <c r="BE508" t="s">
        <v>9781</v>
      </c>
      <c r="BF508" t="str">
        <f>HYPERLINK("http://dx.doi.org/10.1130/B35905.1","http://dx.doi.org/10.1130/B35905.1")</f>
        <v>http://dx.doi.org/10.1130/B35905.1</v>
      </c>
      <c r="BG508" t="s">
        <v>74</v>
      </c>
      <c r="BH508" t="s">
        <v>74</v>
      </c>
      <c r="BI508">
        <v>19</v>
      </c>
      <c r="BJ508" t="s">
        <v>151</v>
      </c>
      <c r="BK508" t="s">
        <v>103</v>
      </c>
      <c r="BL508" t="s">
        <v>152</v>
      </c>
      <c r="BM508" t="s">
        <v>9782</v>
      </c>
      <c r="BN508" t="s">
        <v>74</v>
      </c>
      <c r="BO508" t="s">
        <v>74</v>
      </c>
      <c r="BP508" t="s">
        <v>74</v>
      </c>
      <c r="BQ508" t="s">
        <v>74</v>
      </c>
      <c r="BR508" t="s">
        <v>106</v>
      </c>
      <c r="BS508" t="s">
        <v>9783</v>
      </c>
      <c r="BT508" t="str">
        <f>HYPERLINK("https%3A%2F%2Fwww.webofscience.com%2Fwos%2Fwoscc%2Ffull-record%2FWOS:000740439000002","View Full Record in Web of Science")</f>
        <v>View Full Record in Web of Science</v>
      </c>
    </row>
    <row r="509" spans="1:72" x14ac:dyDescent="0.15">
      <c r="A509" t="s">
        <v>72</v>
      </c>
      <c r="B509" t="s">
        <v>9784</v>
      </c>
      <c r="C509" t="s">
        <v>74</v>
      </c>
      <c r="D509" t="s">
        <v>74</v>
      </c>
      <c r="E509" t="s">
        <v>74</v>
      </c>
      <c r="F509" t="s">
        <v>9785</v>
      </c>
      <c r="G509" t="s">
        <v>74</v>
      </c>
      <c r="H509" t="s">
        <v>74</v>
      </c>
      <c r="I509" t="s">
        <v>9786</v>
      </c>
      <c r="J509" t="s">
        <v>9787</v>
      </c>
      <c r="K509" t="s">
        <v>74</v>
      </c>
      <c r="L509" t="s">
        <v>74</v>
      </c>
      <c r="M509" t="s">
        <v>78</v>
      </c>
      <c r="N509" t="s">
        <v>79</v>
      </c>
      <c r="O509" t="s">
        <v>74</v>
      </c>
      <c r="P509" t="s">
        <v>74</v>
      </c>
      <c r="Q509" t="s">
        <v>74</v>
      </c>
      <c r="R509" t="s">
        <v>74</v>
      </c>
      <c r="S509" t="s">
        <v>74</v>
      </c>
      <c r="T509" t="s">
        <v>9788</v>
      </c>
      <c r="U509" t="s">
        <v>74</v>
      </c>
      <c r="V509" t="s">
        <v>9789</v>
      </c>
      <c r="W509" t="s">
        <v>9790</v>
      </c>
      <c r="X509" t="s">
        <v>9791</v>
      </c>
      <c r="Y509" t="s">
        <v>9792</v>
      </c>
      <c r="Z509" t="s">
        <v>9793</v>
      </c>
      <c r="AA509" t="s">
        <v>9794</v>
      </c>
      <c r="AB509" t="s">
        <v>9795</v>
      </c>
      <c r="AC509" t="s">
        <v>9796</v>
      </c>
      <c r="AD509" t="s">
        <v>9797</v>
      </c>
      <c r="AE509" t="s">
        <v>9798</v>
      </c>
      <c r="AF509" t="s">
        <v>74</v>
      </c>
      <c r="AG509">
        <v>28</v>
      </c>
      <c r="AH509">
        <v>1</v>
      </c>
      <c r="AI509">
        <v>1</v>
      </c>
      <c r="AJ509">
        <v>1</v>
      </c>
      <c r="AK509">
        <v>4</v>
      </c>
      <c r="AL509" t="s">
        <v>9799</v>
      </c>
      <c r="AM509" t="s">
        <v>9528</v>
      </c>
      <c r="AN509" t="s">
        <v>9800</v>
      </c>
      <c r="AO509" t="s">
        <v>9801</v>
      </c>
      <c r="AP509" t="s">
        <v>9802</v>
      </c>
      <c r="AQ509" t="s">
        <v>74</v>
      </c>
      <c r="AR509" t="s">
        <v>9803</v>
      </c>
      <c r="AS509" t="s">
        <v>9804</v>
      </c>
      <c r="AT509" t="s">
        <v>74</v>
      </c>
      <c r="AU509">
        <v>2022</v>
      </c>
      <c r="AV509">
        <v>22</v>
      </c>
      <c r="AW509" t="s">
        <v>74</v>
      </c>
      <c r="AX509" t="s">
        <v>74</v>
      </c>
      <c r="AY509" t="s">
        <v>74</v>
      </c>
      <c r="AZ509" t="s">
        <v>74</v>
      </c>
      <c r="BA509" t="s">
        <v>74</v>
      </c>
      <c r="BB509">
        <v>33</v>
      </c>
      <c r="BC509">
        <v>43</v>
      </c>
      <c r="BD509" t="s">
        <v>74</v>
      </c>
      <c r="BE509" t="s">
        <v>9805</v>
      </c>
      <c r="BF509" t="str">
        <f>HYPERLINK("http://dx.doi.org/10.12775/bgeo-2022-0003","http://dx.doi.org/10.12775/bgeo-2022-0003")</f>
        <v>http://dx.doi.org/10.12775/bgeo-2022-0003</v>
      </c>
      <c r="BG509" t="s">
        <v>74</v>
      </c>
      <c r="BH509" t="s">
        <v>74</v>
      </c>
      <c r="BI509">
        <v>11</v>
      </c>
      <c r="BJ509" t="s">
        <v>8448</v>
      </c>
      <c r="BK509" t="s">
        <v>724</v>
      </c>
      <c r="BL509" t="s">
        <v>8449</v>
      </c>
      <c r="BM509" t="s">
        <v>9806</v>
      </c>
      <c r="BN509" t="s">
        <v>74</v>
      </c>
      <c r="BO509" t="s">
        <v>445</v>
      </c>
      <c r="BP509" t="s">
        <v>74</v>
      </c>
      <c r="BQ509" t="s">
        <v>74</v>
      </c>
      <c r="BR509" t="s">
        <v>106</v>
      </c>
      <c r="BS509" t="s">
        <v>9807</v>
      </c>
      <c r="BT509" t="str">
        <f>HYPERLINK("https%3A%2F%2Fwww.webofscience.com%2Fwos%2Fwoscc%2Ffull-record%2FWOS:000886775900003","View Full Record in Web of Science")</f>
        <v>View Full Record in Web of Science</v>
      </c>
    </row>
    <row r="510" spans="1:72" x14ac:dyDescent="0.15">
      <c r="A510" t="s">
        <v>72</v>
      </c>
      <c r="B510" t="s">
        <v>9808</v>
      </c>
      <c r="C510" t="s">
        <v>74</v>
      </c>
      <c r="D510" t="s">
        <v>74</v>
      </c>
      <c r="E510" t="s">
        <v>74</v>
      </c>
      <c r="F510" t="s">
        <v>9809</v>
      </c>
      <c r="G510" t="s">
        <v>74</v>
      </c>
      <c r="H510" t="s">
        <v>74</v>
      </c>
      <c r="I510" t="s">
        <v>9810</v>
      </c>
      <c r="J510" t="s">
        <v>9811</v>
      </c>
      <c r="K510" t="s">
        <v>74</v>
      </c>
      <c r="L510" t="s">
        <v>74</v>
      </c>
      <c r="M510" t="s">
        <v>78</v>
      </c>
      <c r="N510" t="s">
        <v>79</v>
      </c>
      <c r="O510" t="s">
        <v>74</v>
      </c>
      <c r="P510" t="s">
        <v>74</v>
      </c>
      <c r="Q510" t="s">
        <v>74</v>
      </c>
      <c r="R510" t="s">
        <v>74</v>
      </c>
      <c r="S510" t="s">
        <v>74</v>
      </c>
      <c r="T510" t="s">
        <v>9812</v>
      </c>
      <c r="U510" t="s">
        <v>9813</v>
      </c>
      <c r="V510" t="s">
        <v>9814</v>
      </c>
      <c r="W510" t="s">
        <v>9815</v>
      </c>
      <c r="X510" t="s">
        <v>9816</v>
      </c>
      <c r="Y510" t="s">
        <v>9817</v>
      </c>
      <c r="Z510" t="s">
        <v>9818</v>
      </c>
      <c r="AA510" t="s">
        <v>74</v>
      </c>
      <c r="AB510" t="s">
        <v>74</v>
      </c>
      <c r="AC510" t="s">
        <v>9819</v>
      </c>
      <c r="AD510" t="s">
        <v>9820</v>
      </c>
      <c r="AE510" t="s">
        <v>9821</v>
      </c>
      <c r="AF510" t="s">
        <v>74</v>
      </c>
      <c r="AG510">
        <v>28</v>
      </c>
      <c r="AH510">
        <v>0</v>
      </c>
      <c r="AI510">
        <v>0</v>
      </c>
      <c r="AJ510">
        <v>0</v>
      </c>
      <c r="AK510">
        <v>1</v>
      </c>
      <c r="AL510" t="s">
        <v>9822</v>
      </c>
      <c r="AM510" t="s">
        <v>9823</v>
      </c>
      <c r="AN510" t="s">
        <v>9824</v>
      </c>
      <c r="AO510" t="s">
        <v>9825</v>
      </c>
      <c r="AP510" t="s">
        <v>74</v>
      </c>
      <c r="AQ510" t="s">
        <v>74</v>
      </c>
      <c r="AR510" t="s">
        <v>9826</v>
      </c>
      <c r="AS510" t="s">
        <v>9827</v>
      </c>
      <c r="AT510" t="s">
        <v>74</v>
      </c>
      <c r="AU510">
        <v>2022</v>
      </c>
      <c r="AV510">
        <v>15</v>
      </c>
      <c r="AW510" t="s">
        <v>74</v>
      </c>
      <c r="AX510" t="s">
        <v>74</v>
      </c>
      <c r="AY510" t="s">
        <v>74</v>
      </c>
      <c r="AZ510" t="s">
        <v>74</v>
      </c>
      <c r="BA510" t="s">
        <v>74</v>
      </c>
      <c r="BB510">
        <v>1375</v>
      </c>
      <c r="BC510">
        <v>1383</v>
      </c>
      <c r="BD510" t="s">
        <v>74</v>
      </c>
      <c r="BE510" t="s">
        <v>9828</v>
      </c>
      <c r="BF510" t="str">
        <f>HYPERLINK("http://dx.doi.org/10.2147/OTT.S371042","http://dx.doi.org/10.2147/OTT.S371042")</f>
        <v>http://dx.doi.org/10.2147/OTT.S371042</v>
      </c>
      <c r="BG510" t="s">
        <v>74</v>
      </c>
      <c r="BH510" t="s">
        <v>74</v>
      </c>
      <c r="BI510">
        <v>9</v>
      </c>
      <c r="BJ510" t="s">
        <v>9829</v>
      </c>
      <c r="BK510" t="s">
        <v>103</v>
      </c>
      <c r="BL510" t="s">
        <v>9829</v>
      </c>
      <c r="BM510" t="s">
        <v>9830</v>
      </c>
      <c r="BN510">
        <v>36411942</v>
      </c>
      <c r="BO510" t="s">
        <v>211</v>
      </c>
      <c r="BP510" t="s">
        <v>74</v>
      </c>
      <c r="BQ510" t="s">
        <v>74</v>
      </c>
      <c r="BR510" t="s">
        <v>106</v>
      </c>
      <c r="BS510" t="s">
        <v>9831</v>
      </c>
      <c r="BT510" t="str">
        <f>HYPERLINK("https%3A%2F%2Fwww.webofscience.com%2Fwos%2Fwoscc%2Ffull-record%2FWOS:000885533400001","View Full Record in Web of Science")</f>
        <v>View Full Record in Web of Science</v>
      </c>
    </row>
    <row r="511" spans="1:72" x14ac:dyDescent="0.15">
      <c r="A511" t="s">
        <v>72</v>
      </c>
      <c r="B511" t="s">
        <v>9832</v>
      </c>
      <c r="C511" t="s">
        <v>74</v>
      </c>
      <c r="D511" t="s">
        <v>74</v>
      </c>
      <c r="E511" t="s">
        <v>74</v>
      </c>
      <c r="F511" t="s">
        <v>9833</v>
      </c>
      <c r="G511" t="s">
        <v>74</v>
      </c>
      <c r="H511" t="s">
        <v>74</v>
      </c>
      <c r="I511" t="s">
        <v>9834</v>
      </c>
      <c r="J511" t="s">
        <v>9835</v>
      </c>
      <c r="K511" t="s">
        <v>74</v>
      </c>
      <c r="L511" t="s">
        <v>74</v>
      </c>
      <c r="M511" t="s">
        <v>78</v>
      </c>
      <c r="N511" t="s">
        <v>79</v>
      </c>
      <c r="O511" t="s">
        <v>74</v>
      </c>
      <c r="P511" t="s">
        <v>74</v>
      </c>
      <c r="Q511" t="s">
        <v>74</v>
      </c>
      <c r="R511" t="s">
        <v>74</v>
      </c>
      <c r="S511" t="s">
        <v>74</v>
      </c>
      <c r="T511" t="s">
        <v>9836</v>
      </c>
      <c r="U511" t="s">
        <v>9837</v>
      </c>
      <c r="V511" t="s">
        <v>9838</v>
      </c>
      <c r="W511" t="s">
        <v>9839</v>
      </c>
      <c r="X511" t="s">
        <v>9840</v>
      </c>
      <c r="Y511" t="s">
        <v>9841</v>
      </c>
      <c r="Z511" t="s">
        <v>9842</v>
      </c>
      <c r="AA511" t="s">
        <v>74</v>
      </c>
      <c r="AB511" t="s">
        <v>9843</v>
      </c>
      <c r="AC511" t="s">
        <v>9844</v>
      </c>
      <c r="AD511" t="s">
        <v>9845</v>
      </c>
      <c r="AE511" t="s">
        <v>9846</v>
      </c>
      <c r="AF511" t="s">
        <v>74</v>
      </c>
      <c r="AG511">
        <v>51</v>
      </c>
      <c r="AH511">
        <v>1</v>
      </c>
      <c r="AI511">
        <v>1</v>
      </c>
      <c r="AJ511">
        <v>3</v>
      </c>
      <c r="AK511">
        <v>7</v>
      </c>
      <c r="AL511" t="s">
        <v>9847</v>
      </c>
      <c r="AM511" t="s">
        <v>9848</v>
      </c>
      <c r="AN511" t="s">
        <v>9849</v>
      </c>
      <c r="AO511" t="s">
        <v>9850</v>
      </c>
      <c r="AP511" t="s">
        <v>9851</v>
      </c>
      <c r="AQ511" t="s">
        <v>74</v>
      </c>
      <c r="AR511" t="s">
        <v>9852</v>
      </c>
      <c r="AS511" t="s">
        <v>9853</v>
      </c>
      <c r="AT511" t="s">
        <v>74</v>
      </c>
      <c r="AU511">
        <v>2022</v>
      </c>
      <c r="AV511">
        <v>112</v>
      </c>
      <c r="AW511" t="s">
        <v>74</v>
      </c>
      <c r="AX511" t="s">
        <v>74</v>
      </c>
      <c r="AY511" t="s">
        <v>74</v>
      </c>
      <c r="AZ511" t="s">
        <v>74</v>
      </c>
      <c r="BA511" t="s">
        <v>74</v>
      </c>
      <c r="BB511" t="s">
        <v>74</v>
      </c>
      <c r="BC511" t="s">
        <v>74</v>
      </c>
      <c r="BD511" t="s">
        <v>9854</v>
      </c>
      <c r="BE511" t="s">
        <v>9855</v>
      </c>
      <c r="BF511" t="str">
        <f>HYPERLINK("http://dx.doi.org/10.1590/1678-4766e2022023","http://dx.doi.org/10.1590/1678-4766e2022023")</f>
        <v>http://dx.doi.org/10.1590/1678-4766e2022023</v>
      </c>
      <c r="BG511" t="s">
        <v>74</v>
      </c>
      <c r="BH511" t="s">
        <v>74</v>
      </c>
      <c r="BI511">
        <v>8</v>
      </c>
      <c r="BJ511" t="s">
        <v>3187</v>
      </c>
      <c r="BK511" t="s">
        <v>103</v>
      </c>
      <c r="BL511" t="s">
        <v>3187</v>
      </c>
      <c r="BM511" t="s">
        <v>9856</v>
      </c>
      <c r="BN511" t="s">
        <v>74</v>
      </c>
      <c r="BO511" t="s">
        <v>445</v>
      </c>
      <c r="BP511" t="s">
        <v>74</v>
      </c>
      <c r="BQ511" t="s">
        <v>74</v>
      </c>
      <c r="BR511" t="s">
        <v>106</v>
      </c>
      <c r="BS511" t="s">
        <v>9857</v>
      </c>
      <c r="BT511" t="str">
        <f>HYPERLINK("https%3A%2F%2Fwww.webofscience.com%2Fwos%2Fwoscc%2Ffull-record%2FWOS:000884279900001","View Full Record in Web of Science")</f>
        <v>View Full Record in Web of Science</v>
      </c>
    </row>
    <row r="512" spans="1:72" x14ac:dyDescent="0.15">
      <c r="A512" t="s">
        <v>72</v>
      </c>
      <c r="B512" t="s">
        <v>9858</v>
      </c>
      <c r="C512" t="s">
        <v>74</v>
      </c>
      <c r="D512" t="s">
        <v>74</v>
      </c>
      <c r="E512" t="s">
        <v>74</v>
      </c>
      <c r="F512" t="s">
        <v>9859</v>
      </c>
      <c r="G512" t="s">
        <v>74</v>
      </c>
      <c r="H512" t="s">
        <v>74</v>
      </c>
      <c r="I512" t="s">
        <v>9860</v>
      </c>
      <c r="J512" t="s">
        <v>9196</v>
      </c>
      <c r="K512" t="s">
        <v>74</v>
      </c>
      <c r="L512" t="s">
        <v>74</v>
      </c>
      <c r="M512" t="s">
        <v>78</v>
      </c>
      <c r="N512" t="s">
        <v>79</v>
      </c>
      <c r="O512" t="s">
        <v>74</v>
      </c>
      <c r="P512" t="s">
        <v>74</v>
      </c>
      <c r="Q512" t="s">
        <v>74</v>
      </c>
      <c r="R512" t="s">
        <v>74</v>
      </c>
      <c r="S512" t="s">
        <v>74</v>
      </c>
      <c r="T512" t="s">
        <v>9861</v>
      </c>
      <c r="U512" t="s">
        <v>9862</v>
      </c>
      <c r="V512" t="s">
        <v>9863</v>
      </c>
      <c r="W512" t="s">
        <v>9864</v>
      </c>
      <c r="X512" t="s">
        <v>9865</v>
      </c>
      <c r="Y512" t="s">
        <v>9866</v>
      </c>
      <c r="Z512" t="s">
        <v>9867</v>
      </c>
      <c r="AA512" t="s">
        <v>9868</v>
      </c>
      <c r="AB512" t="s">
        <v>9869</v>
      </c>
      <c r="AC512" t="s">
        <v>9870</v>
      </c>
      <c r="AD512" t="s">
        <v>9871</v>
      </c>
      <c r="AE512" t="s">
        <v>9872</v>
      </c>
      <c r="AF512" t="s">
        <v>74</v>
      </c>
      <c r="AG512">
        <v>60</v>
      </c>
      <c r="AH512">
        <v>3</v>
      </c>
      <c r="AI512">
        <v>3</v>
      </c>
      <c r="AJ512">
        <v>13</v>
      </c>
      <c r="AK512">
        <v>35</v>
      </c>
      <c r="AL512" t="s">
        <v>1667</v>
      </c>
      <c r="AM512" t="s">
        <v>1668</v>
      </c>
      <c r="AN512" t="s">
        <v>1669</v>
      </c>
      <c r="AO512" t="s">
        <v>9209</v>
      </c>
      <c r="AP512" t="s">
        <v>9210</v>
      </c>
      <c r="AQ512" t="s">
        <v>74</v>
      </c>
      <c r="AR512" t="s">
        <v>9211</v>
      </c>
      <c r="AS512" t="s">
        <v>9212</v>
      </c>
      <c r="AT512" t="s">
        <v>74</v>
      </c>
      <c r="AU512">
        <v>2022</v>
      </c>
      <c r="AV512">
        <v>60</v>
      </c>
      <c r="AW512" t="s">
        <v>74</v>
      </c>
      <c r="AX512" t="s">
        <v>74</v>
      </c>
      <c r="AY512" t="s">
        <v>74</v>
      </c>
      <c r="AZ512" t="s">
        <v>74</v>
      </c>
      <c r="BA512" t="s">
        <v>74</v>
      </c>
      <c r="BB512" t="s">
        <v>74</v>
      </c>
      <c r="BC512" t="s">
        <v>74</v>
      </c>
      <c r="BD512">
        <v>4306421</v>
      </c>
      <c r="BE512" t="s">
        <v>9873</v>
      </c>
      <c r="BF512" t="str">
        <f>HYPERLINK("http://dx.doi.org/10.1109/TGRS.2022.3216218","http://dx.doi.org/10.1109/TGRS.2022.3216218")</f>
        <v>http://dx.doi.org/10.1109/TGRS.2022.3216218</v>
      </c>
      <c r="BG512" t="s">
        <v>74</v>
      </c>
      <c r="BH512" t="s">
        <v>74</v>
      </c>
      <c r="BI512">
        <v>21</v>
      </c>
      <c r="BJ512" t="s">
        <v>9214</v>
      </c>
      <c r="BK512" t="s">
        <v>103</v>
      </c>
      <c r="BL512" t="s">
        <v>9215</v>
      </c>
      <c r="BM512" t="s">
        <v>9874</v>
      </c>
      <c r="BN512" t="s">
        <v>74</v>
      </c>
      <c r="BO512" t="s">
        <v>74</v>
      </c>
      <c r="BP512" t="s">
        <v>74</v>
      </c>
      <c r="BQ512" t="s">
        <v>74</v>
      </c>
      <c r="BR512" t="s">
        <v>106</v>
      </c>
      <c r="BS512" t="s">
        <v>9875</v>
      </c>
      <c r="BT512" t="str">
        <f>HYPERLINK("https%3A%2F%2Fwww.webofscience.com%2Fwos%2Fwoscc%2Ffull-record%2FWOS:000879050800006","View Full Record in Web of Science")</f>
        <v>View Full Record in Web of Science</v>
      </c>
    </row>
    <row r="513" spans="1:72" x14ac:dyDescent="0.15">
      <c r="A513" t="s">
        <v>72</v>
      </c>
      <c r="B513" t="s">
        <v>9876</v>
      </c>
      <c r="C513" t="s">
        <v>74</v>
      </c>
      <c r="D513" t="s">
        <v>74</v>
      </c>
      <c r="E513" t="s">
        <v>74</v>
      </c>
      <c r="F513" t="s">
        <v>9877</v>
      </c>
      <c r="G513" t="s">
        <v>74</v>
      </c>
      <c r="H513" t="s">
        <v>74</v>
      </c>
      <c r="I513" t="s">
        <v>9878</v>
      </c>
      <c r="J513" t="s">
        <v>9363</v>
      </c>
      <c r="K513" t="s">
        <v>74</v>
      </c>
      <c r="L513" t="s">
        <v>74</v>
      </c>
      <c r="M513" t="s">
        <v>8590</v>
      </c>
      <c r="N513" t="s">
        <v>79</v>
      </c>
      <c r="O513" t="s">
        <v>74</v>
      </c>
      <c r="P513" t="s">
        <v>74</v>
      </c>
      <c r="Q513" t="s">
        <v>74</v>
      </c>
      <c r="R513" t="s">
        <v>74</v>
      </c>
      <c r="S513" t="s">
        <v>74</v>
      </c>
      <c r="T513" t="s">
        <v>9879</v>
      </c>
      <c r="U513" t="s">
        <v>9880</v>
      </c>
      <c r="V513" t="s">
        <v>9881</v>
      </c>
      <c r="W513" t="s">
        <v>9882</v>
      </c>
      <c r="X513" t="s">
        <v>9883</v>
      </c>
      <c r="Y513" t="s">
        <v>9884</v>
      </c>
      <c r="Z513" t="s">
        <v>9885</v>
      </c>
      <c r="AA513" t="s">
        <v>74</v>
      </c>
      <c r="AB513" t="s">
        <v>74</v>
      </c>
      <c r="AC513" t="s">
        <v>9886</v>
      </c>
      <c r="AD513" t="s">
        <v>9887</v>
      </c>
      <c r="AE513" t="s">
        <v>9888</v>
      </c>
      <c r="AF513" t="s">
        <v>74</v>
      </c>
      <c r="AG513">
        <v>26</v>
      </c>
      <c r="AH513">
        <v>3</v>
      </c>
      <c r="AI513">
        <v>3</v>
      </c>
      <c r="AJ513">
        <v>0</v>
      </c>
      <c r="AK513">
        <v>4</v>
      </c>
      <c r="AL513" t="s">
        <v>9375</v>
      </c>
      <c r="AM513" t="s">
        <v>9248</v>
      </c>
      <c r="AN513" t="s">
        <v>9376</v>
      </c>
      <c r="AO513" t="s">
        <v>9377</v>
      </c>
      <c r="AP513" t="s">
        <v>9378</v>
      </c>
      <c r="AQ513" t="s">
        <v>74</v>
      </c>
      <c r="AR513" t="s">
        <v>9379</v>
      </c>
      <c r="AS513" t="s">
        <v>9380</v>
      </c>
      <c r="AT513" t="s">
        <v>74</v>
      </c>
      <c r="AU513">
        <v>2022</v>
      </c>
      <c r="AV513">
        <v>62</v>
      </c>
      <c r="AW513">
        <v>3</v>
      </c>
      <c r="AX513" t="s">
        <v>74</v>
      </c>
      <c r="AY513" t="s">
        <v>74</v>
      </c>
      <c r="AZ513" t="s">
        <v>74</v>
      </c>
      <c r="BA513" t="s">
        <v>74</v>
      </c>
      <c r="BB513">
        <v>325</v>
      </c>
      <c r="BC513">
        <v>342</v>
      </c>
      <c r="BD513" t="s">
        <v>74</v>
      </c>
      <c r="BE513" t="s">
        <v>9889</v>
      </c>
      <c r="BF513" t="str">
        <f>HYPERLINK("http://dx.doi.org/10.31857/S2076673422030135","http://dx.doi.org/10.31857/S2076673422030135")</f>
        <v>http://dx.doi.org/10.31857/S2076673422030135</v>
      </c>
      <c r="BG513" t="s">
        <v>74</v>
      </c>
      <c r="BH513" t="s">
        <v>74</v>
      </c>
      <c r="BI513">
        <v>18</v>
      </c>
      <c r="BJ513" t="s">
        <v>151</v>
      </c>
      <c r="BK513" t="s">
        <v>724</v>
      </c>
      <c r="BL513" t="s">
        <v>152</v>
      </c>
      <c r="BM513" t="s">
        <v>9890</v>
      </c>
      <c r="BN513" t="s">
        <v>74</v>
      </c>
      <c r="BO513" t="s">
        <v>445</v>
      </c>
      <c r="BP513" t="s">
        <v>74</v>
      </c>
      <c r="BQ513" t="s">
        <v>74</v>
      </c>
      <c r="BR513" t="s">
        <v>106</v>
      </c>
      <c r="BS513" t="s">
        <v>9891</v>
      </c>
      <c r="BT513" t="str">
        <f>HYPERLINK("https%3A%2F%2Fwww.webofscience.com%2Fwos%2Fwoscc%2Ffull-record%2FWOS:000874728100002","View Full Record in Web of Science")</f>
        <v>View Full Record in Web of Science</v>
      </c>
    </row>
    <row r="514" spans="1:72" x14ac:dyDescent="0.15">
      <c r="A514" t="s">
        <v>72</v>
      </c>
      <c r="B514" t="s">
        <v>9892</v>
      </c>
      <c r="C514" t="s">
        <v>74</v>
      </c>
      <c r="D514" t="s">
        <v>74</v>
      </c>
      <c r="E514" t="s">
        <v>74</v>
      </c>
      <c r="F514" t="s">
        <v>9893</v>
      </c>
      <c r="G514" t="s">
        <v>74</v>
      </c>
      <c r="H514" t="s">
        <v>74</v>
      </c>
      <c r="I514" t="s">
        <v>9894</v>
      </c>
      <c r="J514" t="s">
        <v>9363</v>
      </c>
      <c r="K514" t="s">
        <v>74</v>
      </c>
      <c r="L514" t="s">
        <v>74</v>
      </c>
      <c r="M514" t="s">
        <v>8590</v>
      </c>
      <c r="N514" t="s">
        <v>79</v>
      </c>
      <c r="O514" t="s">
        <v>74</v>
      </c>
      <c r="P514" t="s">
        <v>74</v>
      </c>
      <c r="Q514" t="s">
        <v>74</v>
      </c>
      <c r="R514" t="s">
        <v>74</v>
      </c>
      <c r="S514" t="s">
        <v>74</v>
      </c>
      <c r="T514" t="s">
        <v>9895</v>
      </c>
      <c r="U514" t="s">
        <v>74</v>
      </c>
      <c r="V514" t="s">
        <v>9896</v>
      </c>
      <c r="W514" t="s">
        <v>9897</v>
      </c>
      <c r="X514" t="s">
        <v>9898</v>
      </c>
      <c r="Y514" t="s">
        <v>9899</v>
      </c>
      <c r="Z514" t="s">
        <v>9900</v>
      </c>
      <c r="AA514" t="s">
        <v>74</v>
      </c>
      <c r="AB514" t="s">
        <v>74</v>
      </c>
      <c r="AC514" t="s">
        <v>9227</v>
      </c>
      <c r="AD514" t="s">
        <v>9228</v>
      </c>
      <c r="AE514" t="s">
        <v>9901</v>
      </c>
      <c r="AF514" t="s">
        <v>74</v>
      </c>
      <c r="AG514">
        <v>7</v>
      </c>
      <c r="AH514">
        <v>0</v>
      </c>
      <c r="AI514">
        <v>0</v>
      </c>
      <c r="AJ514">
        <v>0</v>
      </c>
      <c r="AK514">
        <v>0</v>
      </c>
      <c r="AL514" t="s">
        <v>9375</v>
      </c>
      <c r="AM514" t="s">
        <v>9248</v>
      </c>
      <c r="AN514" t="s">
        <v>9376</v>
      </c>
      <c r="AO514" t="s">
        <v>9377</v>
      </c>
      <c r="AP514" t="s">
        <v>9378</v>
      </c>
      <c r="AQ514" t="s">
        <v>74</v>
      </c>
      <c r="AR514" t="s">
        <v>9379</v>
      </c>
      <c r="AS514" t="s">
        <v>9380</v>
      </c>
      <c r="AT514" t="s">
        <v>74</v>
      </c>
      <c r="AU514">
        <v>2022</v>
      </c>
      <c r="AV514">
        <v>62</v>
      </c>
      <c r="AW514">
        <v>3</v>
      </c>
      <c r="AX514" t="s">
        <v>74</v>
      </c>
      <c r="AY514" t="s">
        <v>74</v>
      </c>
      <c r="AZ514" t="s">
        <v>74</v>
      </c>
      <c r="BA514" t="s">
        <v>74</v>
      </c>
      <c r="BB514">
        <v>377</v>
      </c>
      <c r="BC514">
        <v>386</v>
      </c>
      <c r="BD514" t="s">
        <v>74</v>
      </c>
      <c r="BE514" t="s">
        <v>9902</v>
      </c>
      <c r="BF514" t="str">
        <f>HYPERLINK("http://dx.doi.org/10.31857/S2076673422030139","http://dx.doi.org/10.31857/S2076673422030139")</f>
        <v>http://dx.doi.org/10.31857/S2076673422030139</v>
      </c>
      <c r="BG514" t="s">
        <v>74</v>
      </c>
      <c r="BH514" t="s">
        <v>74</v>
      </c>
      <c r="BI514">
        <v>10</v>
      </c>
      <c r="BJ514" t="s">
        <v>151</v>
      </c>
      <c r="BK514" t="s">
        <v>724</v>
      </c>
      <c r="BL514" t="s">
        <v>152</v>
      </c>
      <c r="BM514" t="s">
        <v>9890</v>
      </c>
      <c r="BN514" t="s">
        <v>74</v>
      </c>
      <c r="BO514" t="s">
        <v>74</v>
      </c>
      <c r="BP514" t="s">
        <v>74</v>
      </c>
      <c r="BQ514" t="s">
        <v>74</v>
      </c>
      <c r="BR514" t="s">
        <v>106</v>
      </c>
      <c r="BS514" t="s">
        <v>9903</v>
      </c>
      <c r="BT514" t="str">
        <f>HYPERLINK("https%3A%2F%2Fwww.webofscience.com%2Fwos%2Fwoscc%2Ffull-record%2FWOS:000874728100006","View Full Record in Web of Science")</f>
        <v>View Full Record in Web of Science</v>
      </c>
    </row>
    <row r="515" spans="1:72" x14ac:dyDescent="0.15">
      <c r="A515" t="s">
        <v>72</v>
      </c>
      <c r="B515" t="s">
        <v>9904</v>
      </c>
      <c r="C515" t="s">
        <v>74</v>
      </c>
      <c r="D515" t="s">
        <v>74</v>
      </c>
      <c r="E515" t="s">
        <v>74</v>
      </c>
      <c r="F515" t="s">
        <v>9905</v>
      </c>
      <c r="G515" t="s">
        <v>74</v>
      </c>
      <c r="H515" t="s">
        <v>74</v>
      </c>
      <c r="I515" t="s">
        <v>9906</v>
      </c>
      <c r="J515" t="s">
        <v>9363</v>
      </c>
      <c r="K515" t="s">
        <v>74</v>
      </c>
      <c r="L515" t="s">
        <v>74</v>
      </c>
      <c r="M515" t="s">
        <v>8590</v>
      </c>
      <c r="N515" t="s">
        <v>79</v>
      </c>
      <c r="O515" t="s">
        <v>74</v>
      </c>
      <c r="P515" t="s">
        <v>74</v>
      </c>
      <c r="Q515" t="s">
        <v>74</v>
      </c>
      <c r="R515" t="s">
        <v>74</v>
      </c>
      <c r="S515" t="s">
        <v>74</v>
      </c>
      <c r="T515" t="s">
        <v>9907</v>
      </c>
      <c r="U515" t="s">
        <v>74</v>
      </c>
      <c r="V515" t="s">
        <v>9908</v>
      </c>
      <c r="W515" t="s">
        <v>9909</v>
      </c>
      <c r="X515" t="s">
        <v>9791</v>
      </c>
      <c r="Y515" t="s">
        <v>9910</v>
      </c>
      <c r="Z515" t="s">
        <v>9911</v>
      </c>
      <c r="AA515" t="s">
        <v>74</v>
      </c>
      <c r="AB515" t="s">
        <v>74</v>
      </c>
      <c r="AC515" t="s">
        <v>74</v>
      </c>
      <c r="AD515" t="s">
        <v>74</v>
      </c>
      <c r="AE515" t="s">
        <v>74</v>
      </c>
      <c r="AF515" t="s">
        <v>74</v>
      </c>
      <c r="AG515">
        <v>18</v>
      </c>
      <c r="AH515">
        <v>0</v>
      </c>
      <c r="AI515">
        <v>0</v>
      </c>
      <c r="AJ515">
        <v>1</v>
      </c>
      <c r="AK515">
        <v>1</v>
      </c>
      <c r="AL515" t="s">
        <v>9375</v>
      </c>
      <c r="AM515" t="s">
        <v>9248</v>
      </c>
      <c r="AN515" t="s">
        <v>9376</v>
      </c>
      <c r="AO515" t="s">
        <v>9377</v>
      </c>
      <c r="AP515" t="s">
        <v>9378</v>
      </c>
      <c r="AQ515" t="s">
        <v>74</v>
      </c>
      <c r="AR515" t="s">
        <v>9379</v>
      </c>
      <c r="AS515" t="s">
        <v>9380</v>
      </c>
      <c r="AT515" t="s">
        <v>74</v>
      </c>
      <c r="AU515">
        <v>2022</v>
      </c>
      <c r="AV515">
        <v>62</v>
      </c>
      <c r="AW515">
        <v>3</v>
      </c>
      <c r="AX515" t="s">
        <v>74</v>
      </c>
      <c r="AY515" t="s">
        <v>74</v>
      </c>
      <c r="AZ515" t="s">
        <v>74</v>
      </c>
      <c r="BA515" t="s">
        <v>74</v>
      </c>
      <c r="BB515">
        <v>427</v>
      </c>
      <c r="BC515">
        <v>440</v>
      </c>
      <c r="BD515" t="s">
        <v>74</v>
      </c>
      <c r="BE515" t="s">
        <v>9912</v>
      </c>
      <c r="BF515" t="str">
        <f>HYPERLINK("http://dx.doi.org/10.31857/S2076673422030142","http://dx.doi.org/10.31857/S2076673422030142")</f>
        <v>http://dx.doi.org/10.31857/S2076673422030142</v>
      </c>
      <c r="BG515" t="s">
        <v>74</v>
      </c>
      <c r="BH515" t="s">
        <v>74</v>
      </c>
      <c r="BI515">
        <v>14</v>
      </c>
      <c r="BJ515" t="s">
        <v>151</v>
      </c>
      <c r="BK515" t="s">
        <v>724</v>
      </c>
      <c r="BL515" t="s">
        <v>152</v>
      </c>
      <c r="BM515" t="s">
        <v>9890</v>
      </c>
      <c r="BN515" t="s">
        <v>74</v>
      </c>
      <c r="BO515" t="s">
        <v>445</v>
      </c>
      <c r="BP515" t="s">
        <v>74</v>
      </c>
      <c r="BQ515" t="s">
        <v>74</v>
      </c>
      <c r="BR515" t="s">
        <v>106</v>
      </c>
      <c r="BS515" t="s">
        <v>9913</v>
      </c>
      <c r="BT515" t="str">
        <f>HYPERLINK("https%3A%2F%2Fwww.webofscience.com%2Fwos%2Fwoscc%2Ffull-record%2FWOS:000874728100009","View Full Record in Web of Science")</f>
        <v>View Full Record in Web of Science</v>
      </c>
    </row>
    <row r="516" spans="1:72" x14ac:dyDescent="0.15">
      <c r="A516" t="s">
        <v>72</v>
      </c>
      <c r="B516" t="s">
        <v>9914</v>
      </c>
      <c r="C516" t="s">
        <v>74</v>
      </c>
      <c r="D516" t="s">
        <v>74</v>
      </c>
      <c r="E516" t="s">
        <v>74</v>
      </c>
      <c r="F516" t="s">
        <v>9915</v>
      </c>
      <c r="G516" t="s">
        <v>74</v>
      </c>
      <c r="H516" t="s">
        <v>74</v>
      </c>
      <c r="I516" t="s">
        <v>9916</v>
      </c>
      <c r="J516" t="s">
        <v>9196</v>
      </c>
      <c r="K516" t="s">
        <v>74</v>
      </c>
      <c r="L516" t="s">
        <v>74</v>
      </c>
      <c r="M516" t="s">
        <v>78</v>
      </c>
      <c r="N516" t="s">
        <v>79</v>
      </c>
      <c r="O516" t="s">
        <v>74</v>
      </c>
      <c r="P516" t="s">
        <v>74</v>
      </c>
      <c r="Q516" t="s">
        <v>74</v>
      </c>
      <c r="R516" t="s">
        <v>74</v>
      </c>
      <c r="S516" t="s">
        <v>74</v>
      </c>
      <c r="T516" t="s">
        <v>9917</v>
      </c>
      <c r="U516" t="s">
        <v>9918</v>
      </c>
      <c r="V516" t="s">
        <v>9919</v>
      </c>
      <c r="W516" t="s">
        <v>9920</v>
      </c>
      <c r="X516" t="s">
        <v>9921</v>
      </c>
      <c r="Y516" t="s">
        <v>9922</v>
      </c>
      <c r="Z516" t="s">
        <v>9923</v>
      </c>
      <c r="AA516" t="s">
        <v>9924</v>
      </c>
      <c r="AB516" t="s">
        <v>9925</v>
      </c>
      <c r="AC516" t="s">
        <v>9926</v>
      </c>
      <c r="AD516" t="s">
        <v>9927</v>
      </c>
      <c r="AE516" t="s">
        <v>9928</v>
      </c>
      <c r="AF516" t="s">
        <v>74</v>
      </c>
      <c r="AG516">
        <v>58</v>
      </c>
      <c r="AH516">
        <v>3</v>
      </c>
      <c r="AI516">
        <v>3</v>
      </c>
      <c r="AJ516">
        <v>1</v>
      </c>
      <c r="AK516">
        <v>12</v>
      </c>
      <c r="AL516" t="s">
        <v>1667</v>
      </c>
      <c r="AM516" t="s">
        <v>1668</v>
      </c>
      <c r="AN516" t="s">
        <v>1669</v>
      </c>
      <c r="AO516" t="s">
        <v>9209</v>
      </c>
      <c r="AP516" t="s">
        <v>9210</v>
      </c>
      <c r="AQ516" t="s">
        <v>74</v>
      </c>
      <c r="AR516" t="s">
        <v>9211</v>
      </c>
      <c r="AS516" t="s">
        <v>9212</v>
      </c>
      <c r="AT516" t="s">
        <v>74</v>
      </c>
      <c r="AU516">
        <v>2022</v>
      </c>
      <c r="AV516">
        <v>60</v>
      </c>
      <c r="AW516" t="s">
        <v>74</v>
      </c>
      <c r="AX516" t="s">
        <v>74</v>
      </c>
      <c r="AY516" t="s">
        <v>74</v>
      </c>
      <c r="AZ516" t="s">
        <v>74</v>
      </c>
      <c r="BA516" t="s">
        <v>74</v>
      </c>
      <c r="BB516" t="s">
        <v>74</v>
      </c>
      <c r="BC516" t="s">
        <v>74</v>
      </c>
      <c r="BD516">
        <v>5119014</v>
      </c>
      <c r="BE516" t="s">
        <v>9929</v>
      </c>
      <c r="BF516" t="str">
        <f>HYPERLINK("http://dx.doi.org/10.1109/TGRS.2022.3214147","http://dx.doi.org/10.1109/TGRS.2022.3214147")</f>
        <v>http://dx.doi.org/10.1109/TGRS.2022.3214147</v>
      </c>
      <c r="BG516" t="s">
        <v>74</v>
      </c>
      <c r="BH516" t="s">
        <v>74</v>
      </c>
      <c r="BI516">
        <v>14</v>
      </c>
      <c r="BJ516" t="s">
        <v>9214</v>
      </c>
      <c r="BK516" t="s">
        <v>103</v>
      </c>
      <c r="BL516" t="s">
        <v>9215</v>
      </c>
      <c r="BM516" t="s">
        <v>9930</v>
      </c>
      <c r="BN516" t="s">
        <v>74</v>
      </c>
      <c r="BO516" t="s">
        <v>948</v>
      </c>
      <c r="BP516" t="s">
        <v>74</v>
      </c>
      <c r="BQ516" t="s">
        <v>74</v>
      </c>
      <c r="BR516" t="s">
        <v>106</v>
      </c>
      <c r="BS516" t="s">
        <v>9931</v>
      </c>
      <c r="BT516" t="str">
        <f>HYPERLINK("https%3A%2F%2Fwww.webofscience.com%2Fwos%2Fwoscc%2Ffull-record%2FWOS:000878208400015","View Full Record in Web of Science")</f>
        <v>View Full Record in Web of Science</v>
      </c>
    </row>
    <row r="517" spans="1:72" x14ac:dyDescent="0.15">
      <c r="A517" t="s">
        <v>72</v>
      </c>
      <c r="B517" t="s">
        <v>9932</v>
      </c>
      <c r="C517" t="s">
        <v>74</v>
      </c>
      <c r="D517" t="s">
        <v>74</v>
      </c>
      <c r="E517" t="s">
        <v>74</v>
      </c>
      <c r="F517" t="s">
        <v>9933</v>
      </c>
      <c r="G517" t="s">
        <v>74</v>
      </c>
      <c r="H517" t="s">
        <v>74</v>
      </c>
      <c r="I517" t="s">
        <v>9934</v>
      </c>
      <c r="J517" t="s">
        <v>9363</v>
      </c>
      <c r="K517" t="s">
        <v>74</v>
      </c>
      <c r="L517" t="s">
        <v>74</v>
      </c>
      <c r="M517" t="s">
        <v>8590</v>
      </c>
      <c r="N517" t="s">
        <v>79</v>
      </c>
      <c r="O517" t="s">
        <v>74</v>
      </c>
      <c r="P517" t="s">
        <v>74</v>
      </c>
      <c r="Q517" t="s">
        <v>74</v>
      </c>
      <c r="R517" t="s">
        <v>74</v>
      </c>
      <c r="S517" t="s">
        <v>74</v>
      </c>
      <c r="T517" t="s">
        <v>9935</v>
      </c>
      <c r="U517" t="s">
        <v>9936</v>
      </c>
      <c r="V517" t="s">
        <v>9937</v>
      </c>
      <c r="W517" t="s">
        <v>9938</v>
      </c>
      <c r="X517" t="s">
        <v>9939</v>
      </c>
      <c r="Y517" t="s">
        <v>9940</v>
      </c>
      <c r="Z517" t="s">
        <v>9941</v>
      </c>
      <c r="AA517" t="s">
        <v>9942</v>
      </c>
      <c r="AB517" t="s">
        <v>9943</v>
      </c>
      <c r="AC517" t="s">
        <v>9944</v>
      </c>
      <c r="AD517" t="s">
        <v>9945</v>
      </c>
      <c r="AE517" t="s">
        <v>9946</v>
      </c>
      <c r="AF517" t="s">
        <v>74</v>
      </c>
      <c r="AG517">
        <v>32</v>
      </c>
      <c r="AH517">
        <v>1</v>
      </c>
      <c r="AI517">
        <v>1</v>
      </c>
      <c r="AJ517">
        <v>0</v>
      </c>
      <c r="AK517">
        <v>0</v>
      </c>
      <c r="AL517" t="s">
        <v>9375</v>
      </c>
      <c r="AM517" t="s">
        <v>9248</v>
      </c>
      <c r="AN517" t="s">
        <v>9376</v>
      </c>
      <c r="AO517" t="s">
        <v>9377</v>
      </c>
      <c r="AP517" t="s">
        <v>9378</v>
      </c>
      <c r="AQ517" t="s">
        <v>74</v>
      </c>
      <c r="AR517" t="s">
        <v>9379</v>
      </c>
      <c r="AS517" t="s">
        <v>9380</v>
      </c>
      <c r="AT517" t="s">
        <v>74</v>
      </c>
      <c r="AU517">
        <v>2022</v>
      </c>
      <c r="AV517">
        <v>62</v>
      </c>
      <c r="AW517">
        <v>2</v>
      </c>
      <c r="AX517" t="s">
        <v>74</v>
      </c>
      <c r="AY517" t="s">
        <v>74</v>
      </c>
      <c r="AZ517" t="s">
        <v>74</v>
      </c>
      <c r="BA517" t="s">
        <v>74</v>
      </c>
      <c r="BB517">
        <v>165</v>
      </c>
      <c r="BC517">
        <v>178</v>
      </c>
      <c r="BD517" t="s">
        <v>74</v>
      </c>
      <c r="BE517" t="s">
        <v>9947</v>
      </c>
      <c r="BF517" t="str">
        <f>HYPERLINK("http://dx.doi.org/10.31857/S2076673422020123","http://dx.doi.org/10.31857/S2076673422020123")</f>
        <v>http://dx.doi.org/10.31857/S2076673422020123</v>
      </c>
      <c r="BG517" t="s">
        <v>74</v>
      </c>
      <c r="BH517" t="s">
        <v>74</v>
      </c>
      <c r="BI517">
        <v>14</v>
      </c>
      <c r="BJ517" t="s">
        <v>151</v>
      </c>
      <c r="BK517" t="s">
        <v>724</v>
      </c>
      <c r="BL517" t="s">
        <v>152</v>
      </c>
      <c r="BM517" t="s">
        <v>9948</v>
      </c>
      <c r="BN517" t="s">
        <v>74</v>
      </c>
      <c r="BO517" t="s">
        <v>74</v>
      </c>
      <c r="BP517" t="s">
        <v>74</v>
      </c>
      <c r="BQ517" t="s">
        <v>74</v>
      </c>
      <c r="BR517" t="s">
        <v>106</v>
      </c>
      <c r="BS517" t="s">
        <v>9949</v>
      </c>
      <c r="BT517" t="str">
        <f>HYPERLINK("https%3A%2F%2Fwww.webofscience.com%2Fwos%2Fwoscc%2Ffull-record%2FWOS:000874724800001","View Full Record in Web of Science")</f>
        <v>View Full Record in Web of Science</v>
      </c>
    </row>
    <row r="518" spans="1:72" x14ac:dyDescent="0.15">
      <c r="A518" t="s">
        <v>72</v>
      </c>
      <c r="B518" t="s">
        <v>9950</v>
      </c>
      <c r="C518" t="s">
        <v>74</v>
      </c>
      <c r="D518" t="s">
        <v>74</v>
      </c>
      <c r="E518" t="s">
        <v>74</v>
      </c>
      <c r="F518" t="s">
        <v>9951</v>
      </c>
      <c r="G518" t="s">
        <v>74</v>
      </c>
      <c r="H518" t="s">
        <v>74</v>
      </c>
      <c r="I518" t="s">
        <v>9952</v>
      </c>
      <c r="J518" t="s">
        <v>9363</v>
      </c>
      <c r="K518" t="s">
        <v>74</v>
      </c>
      <c r="L518" t="s">
        <v>74</v>
      </c>
      <c r="M518" t="s">
        <v>8590</v>
      </c>
      <c r="N518" t="s">
        <v>79</v>
      </c>
      <c r="O518" t="s">
        <v>74</v>
      </c>
      <c r="P518" t="s">
        <v>74</v>
      </c>
      <c r="Q518" t="s">
        <v>74</v>
      </c>
      <c r="R518" t="s">
        <v>74</v>
      </c>
      <c r="S518" t="s">
        <v>74</v>
      </c>
      <c r="T518" t="s">
        <v>9953</v>
      </c>
      <c r="U518" t="s">
        <v>9954</v>
      </c>
      <c r="V518" t="s">
        <v>9955</v>
      </c>
      <c r="W518" t="s">
        <v>9956</v>
      </c>
      <c r="X518" t="s">
        <v>9957</v>
      </c>
      <c r="Y518" t="s">
        <v>9958</v>
      </c>
      <c r="Z518" t="s">
        <v>9959</v>
      </c>
      <c r="AA518" t="s">
        <v>74</v>
      </c>
      <c r="AB518" t="s">
        <v>74</v>
      </c>
      <c r="AC518" t="s">
        <v>9960</v>
      </c>
      <c r="AD518" t="s">
        <v>9961</v>
      </c>
      <c r="AE518" t="s">
        <v>9962</v>
      </c>
      <c r="AF518" t="s">
        <v>74</v>
      </c>
      <c r="AG518">
        <v>16</v>
      </c>
      <c r="AH518">
        <v>1</v>
      </c>
      <c r="AI518">
        <v>1</v>
      </c>
      <c r="AJ518">
        <v>0</v>
      </c>
      <c r="AK518">
        <v>4</v>
      </c>
      <c r="AL518" t="s">
        <v>9375</v>
      </c>
      <c r="AM518" t="s">
        <v>9248</v>
      </c>
      <c r="AN518" t="s">
        <v>9376</v>
      </c>
      <c r="AO518" t="s">
        <v>9377</v>
      </c>
      <c r="AP518" t="s">
        <v>9378</v>
      </c>
      <c r="AQ518" t="s">
        <v>74</v>
      </c>
      <c r="AR518" t="s">
        <v>9379</v>
      </c>
      <c r="AS518" t="s">
        <v>9380</v>
      </c>
      <c r="AT518" t="s">
        <v>74</v>
      </c>
      <c r="AU518">
        <v>2022</v>
      </c>
      <c r="AV518">
        <v>62</v>
      </c>
      <c r="AW518">
        <v>2</v>
      </c>
      <c r="AX518" t="s">
        <v>74</v>
      </c>
      <c r="AY518" t="s">
        <v>74</v>
      </c>
      <c r="AZ518" t="s">
        <v>74</v>
      </c>
      <c r="BA518" t="s">
        <v>74</v>
      </c>
      <c r="BB518">
        <v>193</v>
      </c>
      <c r="BC518">
        <v>202</v>
      </c>
      <c r="BD518" t="s">
        <v>74</v>
      </c>
      <c r="BE518" t="s">
        <v>9963</v>
      </c>
      <c r="BF518" t="str">
        <f>HYPERLINK("http://dx.doi.org/10.31857/S2076673422020125","http://dx.doi.org/10.31857/S2076673422020125")</f>
        <v>http://dx.doi.org/10.31857/S2076673422020125</v>
      </c>
      <c r="BG518" t="s">
        <v>74</v>
      </c>
      <c r="BH518" t="s">
        <v>74</v>
      </c>
      <c r="BI518">
        <v>10</v>
      </c>
      <c r="BJ518" t="s">
        <v>151</v>
      </c>
      <c r="BK518" t="s">
        <v>724</v>
      </c>
      <c r="BL518" t="s">
        <v>152</v>
      </c>
      <c r="BM518" t="s">
        <v>9948</v>
      </c>
      <c r="BN518" t="s">
        <v>74</v>
      </c>
      <c r="BO518" t="s">
        <v>74</v>
      </c>
      <c r="BP518" t="s">
        <v>74</v>
      </c>
      <c r="BQ518" t="s">
        <v>74</v>
      </c>
      <c r="BR518" t="s">
        <v>106</v>
      </c>
      <c r="BS518" t="s">
        <v>9964</v>
      </c>
      <c r="BT518" t="str">
        <f>HYPERLINK("https%3A%2F%2Fwww.webofscience.com%2Fwos%2Fwoscc%2Ffull-record%2FWOS:000874724800003","View Full Record in Web of Science")</f>
        <v>View Full Record in Web of Science</v>
      </c>
    </row>
    <row r="519" spans="1:72" x14ac:dyDescent="0.15">
      <c r="A519" t="s">
        <v>72</v>
      </c>
      <c r="B519" t="s">
        <v>9965</v>
      </c>
      <c r="C519" t="s">
        <v>74</v>
      </c>
      <c r="D519" t="s">
        <v>74</v>
      </c>
      <c r="E519" t="s">
        <v>74</v>
      </c>
      <c r="F519" t="s">
        <v>9966</v>
      </c>
      <c r="G519" t="s">
        <v>74</v>
      </c>
      <c r="H519" t="s">
        <v>74</v>
      </c>
      <c r="I519" t="s">
        <v>9967</v>
      </c>
      <c r="J519" t="s">
        <v>9363</v>
      </c>
      <c r="K519" t="s">
        <v>74</v>
      </c>
      <c r="L519" t="s">
        <v>74</v>
      </c>
      <c r="M519" t="s">
        <v>8590</v>
      </c>
      <c r="N519" t="s">
        <v>79</v>
      </c>
      <c r="O519" t="s">
        <v>74</v>
      </c>
      <c r="P519" t="s">
        <v>74</v>
      </c>
      <c r="Q519" t="s">
        <v>74</v>
      </c>
      <c r="R519" t="s">
        <v>74</v>
      </c>
      <c r="S519" t="s">
        <v>74</v>
      </c>
      <c r="T519" t="s">
        <v>9968</v>
      </c>
      <c r="U519" t="s">
        <v>9969</v>
      </c>
      <c r="V519" t="s">
        <v>9970</v>
      </c>
      <c r="W519" t="s">
        <v>9971</v>
      </c>
      <c r="X519" t="s">
        <v>2688</v>
      </c>
      <c r="Y519" t="s">
        <v>9972</v>
      </c>
      <c r="Z519" t="s">
        <v>9973</v>
      </c>
      <c r="AA519" t="s">
        <v>74</v>
      </c>
      <c r="AB519" t="s">
        <v>74</v>
      </c>
      <c r="AC519" t="s">
        <v>74</v>
      </c>
      <c r="AD519" t="s">
        <v>74</v>
      </c>
      <c r="AE519" t="s">
        <v>74</v>
      </c>
      <c r="AF519" t="s">
        <v>74</v>
      </c>
      <c r="AG519">
        <v>25</v>
      </c>
      <c r="AH519">
        <v>1</v>
      </c>
      <c r="AI519">
        <v>1</v>
      </c>
      <c r="AJ519">
        <v>0</v>
      </c>
      <c r="AK519">
        <v>1</v>
      </c>
      <c r="AL519" t="s">
        <v>9375</v>
      </c>
      <c r="AM519" t="s">
        <v>9248</v>
      </c>
      <c r="AN519" t="s">
        <v>9376</v>
      </c>
      <c r="AO519" t="s">
        <v>9377</v>
      </c>
      <c r="AP519" t="s">
        <v>9378</v>
      </c>
      <c r="AQ519" t="s">
        <v>74</v>
      </c>
      <c r="AR519" t="s">
        <v>9379</v>
      </c>
      <c r="AS519" t="s">
        <v>9380</v>
      </c>
      <c r="AT519" t="s">
        <v>74</v>
      </c>
      <c r="AU519">
        <v>2022</v>
      </c>
      <c r="AV519">
        <v>62</v>
      </c>
      <c r="AW519">
        <v>2</v>
      </c>
      <c r="AX519" t="s">
        <v>74</v>
      </c>
      <c r="AY519" t="s">
        <v>74</v>
      </c>
      <c r="AZ519" t="s">
        <v>74</v>
      </c>
      <c r="BA519" t="s">
        <v>74</v>
      </c>
      <c r="BB519">
        <v>275</v>
      </c>
      <c r="BC519">
        <v>286</v>
      </c>
      <c r="BD519" t="s">
        <v>74</v>
      </c>
      <c r="BE519" t="s">
        <v>9974</v>
      </c>
      <c r="BF519" t="str">
        <f>HYPERLINK("http://dx.doi.org/10.31857/S2076673422020132","http://dx.doi.org/10.31857/S2076673422020132")</f>
        <v>http://dx.doi.org/10.31857/S2076673422020132</v>
      </c>
      <c r="BG519" t="s">
        <v>74</v>
      </c>
      <c r="BH519" t="s">
        <v>74</v>
      </c>
      <c r="BI519">
        <v>12</v>
      </c>
      <c r="BJ519" t="s">
        <v>151</v>
      </c>
      <c r="BK519" t="s">
        <v>724</v>
      </c>
      <c r="BL519" t="s">
        <v>152</v>
      </c>
      <c r="BM519" t="s">
        <v>9948</v>
      </c>
      <c r="BN519" t="s">
        <v>74</v>
      </c>
      <c r="BO519" t="s">
        <v>74</v>
      </c>
      <c r="BP519" t="s">
        <v>74</v>
      </c>
      <c r="BQ519" t="s">
        <v>74</v>
      </c>
      <c r="BR519" t="s">
        <v>106</v>
      </c>
      <c r="BS519" t="s">
        <v>9975</v>
      </c>
      <c r="BT519" t="str">
        <f>HYPERLINK("https%3A%2F%2Fwww.webofscience.com%2Fwos%2Fwoscc%2Ffull-record%2FWOS:000874724800010","View Full Record in Web of Science")</f>
        <v>View Full Record in Web of Science</v>
      </c>
    </row>
    <row r="520" spans="1:72" x14ac:dyDescent="0.15">
      <c r="A520" t="s">
        <v>72</v>
      </c>
      <c r="B520" t="s">
        <v>9976</v>
      </c>
      <c r="C520" t="s">
        <v>74</v>
      </c>
      <c r="D520" t="s">
        <v>74</v>
      </c>
      <c r="E520" t="s">
        <v>74</v>
      </c>
      <c r="F520" t="s">
        <v>9977</v>
      </c>
      <c r="G520" t="s">
        <v>74</v>
      </c>
      <c r="H520" t="s">
        <v>74</v>
      </c>
      <c r="I520" t="s">
        <v>9978</v>
      </c>
      <c r="J520" t="s">
        <v>9363</v>
      </c>
      <c r="K520" t="s">
        <v>74</v>
      </c>
      <c r="L520" t="s">
        <v>74</v>
      </c>
      <c r="M520" t="s">
        <v>8590</v>
      </c>
      <c r="N520" t="s">
        <v>79</v>
      </c>
      <c r="O520" t="s">
        <v>74</v>
      </c>
      <c r="P520" t="s">
        <v>74</v>
      </c>
      <c r="Q520" t="s">
        <v>74</v>
      </c>
      <c r="R520" t="s">
        <v>74</v>
      </c>
      <c r="S520" t="s">
        <v>74</v>
      </c>
      <c r="T520" t="s">
        <v>9979</v>
      </c>
      <c r="U520" t="s">
        <v>74</v>
      </c>
      <c r="V520" t="s">
        <v>9980</v>
      </c>
      <c r="W520" t="s">
        <v>9981</v>
      </c>
      <c r="X520" t="s">
        <v>2688</v>
      </c>
      <c r="Y520" t="s">
        <v>9982</v>
      </c>
      <c r="Z520" t="s">
        <v>9983</v>
      </c>
      <c r="AA520" t="s">
        <v>74</v>
      </c>
      <c r="AB520" t="s">
        <v>74</v>
      </c>
      <c r="AC520" t="s">
        <v>74</v>
      </c>
      <c r="AD520" t="s">
        <v>74</v>
      </c>
      <c r="AE520" t="s">
        <v>74</v>
      </c>
      <c r="AF520" t="s">
        <v>74</v>
      </c>
      <c r="AG520">
        <v>5</v>
      </c>
      <c r="AH520">
        <v>0</v>
      </c>
      <c r="AI520">
        <v>0</v>
      </c>
      <c r="AJ520">
        <v>0</v>
      </c>
      <c r="AK520">
        <v>0</v>
      </c>
      <c r="AL520" t="s">
        <v>9375</v>
      </c>
      <c r="AM520" t="s">
        <v>9248</v>
      </c>
      <c r="AN520" t="s">
        <v>9376</v>
      </c>
      <c r="AO520" t="s">
        <v>9377</v>
      </c>
      <c r="AP520" t="s">
        <v>9378</v>
      </c>
      <c r="AQ520" t="s">
        <v>74</v>
      </c>
      <c r="AR520" t="s">
        <v>9379</v>
      </c>
      <c r="AS520" t="s">
        <v>9380</v>
      </c>
      <c r="AT520" t="s">
        <v>74</v>
      </c>
      <c r="AU520">
        <v>2022</v>
      </c>
      <c r="AV520">
        <v>62</v>
      </c>
      <c r="AW520">
        <v>2</v>
      </c>
      <c r="AX520" t="s">
        <v>74</v>
      </c>
      <c r="AY520" t="s">
        <v>74</v>
      </c>
      <c r="AZ520" t="s">
        <v>74</v>
      </c>
      <c r="BA520" t="s">
        <v>74</v>
      </c>
      <c r="BB520">
        <v>305</v>
      </c>
      <c r="BC520">
        <v>320</v>
      </c>
      <c r="BD520" t="s">
        <v>74</v>
      </c>
      <c r="BE520" t="s">
        <v>9984</v>
      </c>
      <c r="BF520" t="str">
        <f>HYPERLINK("http://dx.doi.org/10.31857/S2076673422020134","http://dx.doi.org/10.31857/S2076673422020134")</f>
        <v>http://dx.doi.org/10.31857/S2076673422020134</v>
      </c>
      <c r="BG520" t="s">
        <v>74</v>
      </c>
      <c r="BH520" t="s">
        <v>74</v>
      </c>
      <c r="BI520">
        <v>16</v>
      </c>
      <c r="BJ520" t="s">
        <v>151</v>
      </c>
      <c r="BK520" t="s">
        <v>724</v>
      </c>
      <c r="BL520" t="s">
        <v>152</v>
      </c>
      <c r="BM520" t="s">
        <v>9948</v>
      </c>
      <c r="BN520" t="s">
        <v>74</v>
      </c>
      <c r="BO520" t="s">
        <v>74</v>
      </c>
      <c r="BP520" t="s">
        <v>74</v>
      </c>
      <c r="BQ520" t="s">
        <v>74</v>
      </c>
      <c r="BR520" t="s">
        <v>106</v>
      </c>
      <c r="BS520" t="s">
        <v>9985</v>
      </c>
      <c r="BT520" t="str">
        <f>HYPERLINK("https%3A%2F%2Fwww.webofscience.com%2Fwos%2Fwoscc%2Ffull-record%2FWOS:000874724800012","View Full Record in Web of Science")</f>
        <v>View Full Record in Web of Science</v>
      </c>
    </row>
    <row r="521" spans="1:72" x14ac:dyDescent="0.15">
      <c r="A521" t="s">
        <v>72</v>
      </c>
      <c r="B521" t="s">
        <v>9986</v>
      </c>
      <c r="C521" t="s">
        <v>74</v>
      </c>
      <c r="D521" t="s">
        <v>74</v>
      </c>
      <c r="E521" t="s">
        <v>74</v>
      </c>
      <c r="F521" t="s">
        <v>9987</v>
      </c>
      <c r="G521" t="s">
        <v>74</v>
      </c>
      <c r="H521" t="s">
        <v>74</v>
      </c>
      <c r="I521" t="s">
        <v>9988</v>
      </c>
      <c r="J521" t="s">
        <v>9989</v>
      </c>
      <c r="K521" t="s">
        <v>74</v>
      </c>
      <c r="L521" t="s">
        <v>74</v>
      </c>
      <c r="M521" t="s">
        <v>78</v>
      </c>
      <c r="N521" t="s">
        <v>1113</v>
      </c>
      <c r="O521" t="s">
        <v>74</v>
      </c>
      <c r="P521" t="s">
        <v>74</v>
      </c>
      <c r="Q521" t="s">
        <v>74</v>
      </c>
      <c r="R521" t="s">
        <v>74</v>
      </c>
      <c r="S521" t="s">
        <v>74</v>
      </c>
      <c r="T521" t="s">
        <v>9990</v>
      </c>
      <c r="U521" t="s">
        <v>9991</v>
      </c>
      <c r="V521" t="s">
        <v>9992</v>
      </c>
      <c r="W521" t="s">
        <v>9993</v>
      </c>
      <c r="X521" t="s">
        <v>9994</v>
      </c>
      <c r="Y521" t="s">
        <v>9995</v>
      </c>
      <c r="Z521" t="s">
        <v>9996</v>
      </c>
      <c r="AA521" t="s">
        <v>74</v>
      </c>
      <c r="AB521" t="s">
        <v>74</v>
      </c>
      <c r="AC521" t="s">
        <v>9997</v>
      </c>
      <c r="AD521" t="s">
        <v>9998</v>
      </c>
      <c r="AE521" t="s">
        <v>9999</v>
      </c>
      <c r="AF521" t="s">
        <v>74</v>
      </c>
      <c r="AG521">
        <v>188</v>
      </c>
      <c r="AH521">
        <v>1</v>
      </c>
      <c r="AI521">
        <v>1</v>
      </c>
      <c r="AJ521">
        <v>7</v>
      </c>
      <c r="AK521">
        <v>21</v>
      </c>
      <c r="AL521" t="s">
        <v>10000</v>
      </c>
      <c r="AM521" t="s">
        <v>10001</v>
      </c>
      <c r="AN521" t="s">
        <v>10002</v>
      </c>
      <c r="AO521" t="s">
        <v>10003</v>
      </c>
      <c r="AP521" t="s">
        <v>10004</v>
      </c>
      <c r="AQ521" t="s">
        <v>74</v>
      </c>
      <c r="AR521" t="s">
        <v>10005</v>
      </c>
      <c r="AS521" t="s">
        <v>10006</v>
      </c>
      <c r="AT521" t="s">
        <v>74</v>
      </c>
      <c r="AU521">
        <v>2022</v>
      </c>
      <c r="AV521">
        <v>26</v>
      </c>
      <c r="AW521">
        <v>11</v>
      </c>
      <c r="AX521" t="s">
        <v>74</v>
      </c>
      <c r="AY521" t="s">
        <v>74</v>
      </c>
      <c r="AZ521" t="s">
        <v>74</v>
      </c>
      <c r="BA521" t="s">
        <v>74</v>
      </c>
      <c r="BB521">
        <v>1055</v>
      </c>
      <c r="BC521">
        <v>1087</v>
      </c>
      <c r="BD521" t="s">
        <v>74</v>
      </c>
      <c r="BE521" t="s">
        <v>10007</v>
      </c>
      <c r="BF521" t="str">
        <f>HYPERLINK("http://dx.doi.org/10.2174/1385272826666220620152557","http://dx.doi.org/10.2174/1385272826666220620152557")</f>
        <v>http://dx.doi.org/10.2174/1385272826666220620152557</v>
      </c>
      <c r="BG521" t="s">
        <v>74</v>
      </c>
      <c r="BH521" t="s">
        <v>74</v>
      </c>
      <c r="BI521">
        <v>33</v>
      </c>
      <c r="BJ521" t="s">
        <v>10008</v>
      </c>
      <c r="BK521" t="s">
        <v>103</v>
      </c>
      <c r="BL521" t="s">
        <v>3284</v>
      </c>
      <c r="BM521" t="s">
        <v>10009</v>
      </c>
      <c r="BN521" t="s">
        <v>74</v>
      </c>
      <c r="BO521" t="s">
        <v>74</v>
      </c>
      <c r="BP521" t="s">
        <v>74</v>
      </c>
      <c r="BQ521" t="s">
        <v>74</v>
      </c>
      <c r="BR521" t="s">
        <v>106</v>
      </c>
      <c r="BS521" t="s">
        <v>10010</v>
      </c>
      <c r="BT521" t="str">
        <f>HYPERLINK("https%3A%2F%2Fwww.webofscience.com%2Fwos%2Fwoscc%2Ffull-record%2FWOS:000874482300003","View Full Record in Web of Science")</f>
        <v>View Full Record in Web of Science</v>
      </c>
    </row>
    <row r="522" spans="1:72" x14ac:dyDescent="0.15">
      <c r="A522" t="s">
        <v>72</v>
      </c>
      <c r="B522" t="s">
        <v>10011</v>
      </c>
      <c r="C522" t="s">
        <v>74</v>
      </c>
      <c r="D522" t="s">
        <v>74</v>
      </c>
      <c r="E522" t="s">
        <v>74</v>
      </c>
      <c r="F522" t="s">
        <v>10012</v>
      </c>
      <c r="G522" t="s">
        <v>74</v>
      </c>
      <c r="H522" t="s">
        <v>74</v>
      </c>
      <c r="I522" t="s">
        <v>10013</v>
      </c>
      <c r="J522" t="s">
        <v>8773</v>
      </c>
      <c r="K522" t="s">
        <v>74</v>
      </c>
      <c r="L522" t="s">
        <v>74</v>
      </c>
      <c r="M522" t="s">
        <v>78</v>
      </c>
      <c r="N522" t="s">
        <v>79</v>
      </c>
      <c r="O522" t="s">
        <v>74</v>
      </c>
      <c r="P522" t="s">
        <v>74</v>
      </c>
      <c r="Q522" t="s">
        <v>74</v>
      </c>
      <c r="R522" t="s">
        <v>74</v>
      </c>
      <c r="S522" t="s">
        <v>74</v>
      </c>
      <c r="T522" t="s">
        <v>10014</v>
      </c>
      <c r="U522" t="s">
        <v>10015</v>
      </c>
      <c r="V522" t="s">
        <v>10016</v>
      </c>
      <c r="W522" t="s">
        <v>10017</v>
      </c>
      <c r="X522" t="s">
        <v>10018</v>
      </c>
      <c r="Y522" t="s">
        <v>10019</v>
      </c>
      <c r="Z522" t="s">
        <v>10020</v>
      </c>
      <c r="AA522" t="s">
        <v>10021</v>
      </c>
      <c r="AB522" t="s">
        <v>10022</v>
      </c>
      <c r="AC522" t="s">
        <v>10023</v>
      </c>
      <c r="AD522" t="s">
        <v>74</v>
      </c>
      <c r="AE522" t="s">
        <v>10024</v>
      </c>
      <c r="AF522" t="s">
        <v>74</v>
      </c>
      <c r="AG522">
        <v>42</v>
      </c>
      <c r="AH522">
        <v>2</v>
      </c>
      <c r="AI522">
        <v>2</v>
      </c>
      <c r="AJ522">
        <v>4</v>
      </c>
      <c r="AK522">
        <v>9</v>
      </c>
      <c r="AL522" t="s">
        <v>8786</v>
      </c>
      <c r="AM522" t="s">
        <v>436</v>
      </c>
      <c r="AN522" t="s">
        <v>8787</v>
      </c>
      <c r="AO522" t="s">
        <v>8788</v>
      </c>
      <c r="AP522" t="s">
        <v>8789</v>
      </c>
      <c r="AQ522" t="s">
        <v>74</v>
      </c>
      <c r="AR522" t="s">
        <v>8790</v>
      </c>
      <c r="AS522" t="s">
        <v>8791</v>
      </c>
      <c r="AT522" t="s">
        <v>74</v>
      </c>
      <c r="AU522">
        <v>2022</v>
      </c>
      <c r="AV522">
        <v>72</v>
      </c>
      <c r="AW522">
        <v>10</v>
      </c>
      <c r="AX522" t="s">
        <v>74</v>
      </c>
      <c r="AY522" t="s">
        <v>74</v>
      </c>
      <c r="AZ522" t="s">
        <v>74</v>
      </c>
      <c r="BA522" t="s">
        <v>74</v>
      </c>
      <c r="BB522" t="s">
        <v>74</v>
      </c>
      <c r="BC522" t="s">
        <v>74</v>
      </c>
      <c r="BD522">
        <v>5530</v>
      </c>
      <c r="BE522" t="s">
        <v>10025</v>
      </c>
      <c r="BF522" t="str">
        <f>HYPERLINK("http://dx.doi.org/10.1099/ijsem.0.005530","http://dx.doi.org/10.1099/ijsem.0.005530")</f>
        <v>http://dx.doi.org/10.1099/ijsem.0.005530</v>
      </c>
      <c r="BG522" t="s">
        <v>74</v>
      </c>
      <c r="BH522" t="s">
        <v>74</v>
      </c>
      <c r="BI522">
        <v>10</v>
      </c>
      <c r="BJ522" t="s">
        <v>747</v>
      </c>
      <c r="BK522" t="s">
        <v>103</v>
      </c>
      <c r="BL522" t="s">
        <v>747</v>
      </c>
      <c r="BM522" t="s">
        <v>10026</v>
      </c>
      <c r="BN522">
        <v>36201346</v>
      </c>
      <c r="BO522" t="s">
        <v>74</v>
      </c>
      <c r="BP522" t="s">
        <v>74</v>
      </c>
      <c r="BQ522" t="s">
        <v>74</v>
      </c>
      <c r="BR522" t="s">
        <v>106</v>
      </c>
      <c r="BS522" t="s">
        <v>10027</v>
      </c>
      <c r="BT522" t="str">
        <f>HYPERLINK("https%3A%2F%2Fwww.webofscience.com%2Fwos%2Fwoscc%2Ffull-record%2FWOS:000876079600007","View Full Record in Web of Science")</f>
        <v>View Full Record in Web of Science</v>
      </c>
    </row>
    <row r="523" spans="1:72" x14ac:dyDescent="0.15">
      <c r="A523" t="s">
        <v>7844</v>
      </c>
      <c r="B523" t="s">
        <v>10028</v>
      </c>
      <c r="C523" t="s">
        <v>74</v>
      </c>
      <c r="D523" t="s">
        <v>10029</v>
      </c>
      <c r="E523" t="s">
        <v>74</v>
      </c>
      <c r="F523" t="s">
        <v>10030</v>
      </c>
      <c r="G523" t="s">
        <v>74</v>
      </c>
      <c r="H523" t="s">
        <v>74</v>
      </c>
      <c r="I523" t="s">
        <v>10031</v>
      </c>
      <c r="J523" t="s">
        <v>10032</v>
      </c>
      <c r="K523" t="s">
        <v>10033</v>
      </c>
      <c r="L523" t="s">
        <v>74</v>
      </c>
      <c r="M523" t="s">
        <v>78</v>
      </c>
      <c r="N523" t="s">
        <v>7851</v>
      </c>
      <c r="O523" t="s">
        <v>10034</v>
      </c>
      <c r="P523" t="s">
        <v>8617</v>
      </c>
      <c r="Q523" t="s">
        <v>10035</v>
      </c>
      <c r="R523" t="s">
        <v>74</v>
      </c>
      <c r="S523" t="s">
        <v>74</v>
      </c>
      <c r="T523" t="s">
        <v>10036</v>
      </c>
      <c r="U523" t="s">
        <v>10037</v>
      </c>
      <c r="V523" t="s">
        <v>10038</v>
      </c>
      <c r="W523" t="s">
        <v>10039</v>
      </c>
      <c r="X523" t="s">
        <v>10040</v>
      </c>
      <c r="Y523" t="s">
        <v>10041</v>
      </c>
      <c r="Z523" t="s">
        <v>10042</v>
      </c>
      <c r="AA523" t="s">
        <v>10043</v>
      </c>
      <c r="AB523" t="s">
        <v>10044</v>
      </c>
      <c r="AC523" t="s">
        <v>10045</v>
      </c>
      <c r="AD523" t="s">
        <v>10046</v>
      </c>
      <c r="AE523" t="s">
        <v>10047</v>
      </c>
      <c r="AF523" t="s">
        <v>74</v>
      </c>
      <c r="AG523">
        <v>29</v>
      </c>
      <c r="AH523">
        <v>3</v>
      </c>
      <c r="AI523">
        <v>3</v>
      </c>
      <c r="AJ523">
        <v>0</v>
      </c>
      <c r="AK523">
        <v>1</v>
      </c>
      <c r="AL523" t="s">
        <v>10048</v>
      </c>
      <c r="AM523" t="s">
        <v>10049</v>
      </c>
      <c r="AN523" t="s">
        <v>10050</v>
      </c>
      <c r="AO523" t="s">
        <v>10051</v>
      </c>
      <c r="AP523" t="s">
        <v>10052</v>
      </c>
      <c r="AQ523" t="s">
        <v>10053</v>
      </c>
      <c r="AR523" t="s">
        <v>10054</v>
      </c>
      <c r="AS523" t="s">
        <v>74</v>
      </c>
      <c r="AT523" t="s">
        <v>74</v>
      </c>
      <c r="AU523">
        <v>2022</v>
      </c>
      <c r="AV523">
        <v>12190</v>
      </c>
      <c r="AW523" t="s">
        <v>74</v>
      </c>
      <c r="AX523" t="s">
        <v>74</v>
      </c>
      <c r="AY523" t="s">
        <v>74</v>
      </c>
      <c r="AZ523" t="s">
        <v>74</v>
      </c>
      <c r="BA523" t="s">
        <v>74</v>
      </c>
      <c r="BB523" t="s">
        <v>74</v>
      </c>
      <c r="BC523" t="s">
        <v>74</v>
      </c>
      <c r="BD523" t="s">
        <v>10055</v>
      </c>
      <c r="BE523" t="s">
        <v>10056</v>
      </c>
      <c r="BF523" t="str">
        <f>HYPERLINK("http://dx.doi.org/10.1117/12.2620212","http://dx.doi.org/10.1117/12.2620212")</f>
        <v>http://dx.doi.org/10.1117/12.2620212</v>
      </c>
      <c r="BG523" t="s">
        <v>74</v>
      </c>
      <c r="BH523" t="s">
        <v>74</v>
      </c>
      <c r="BI523">
        <v>20</v>
      </c>
      <c r="BJ523" t="s">
        <v>10057</v>
      </c>
      <c r="BK523" t="s">
        <v>7868</v>
      </c>
      <c r="BL523" t="s">
        <v>10057</v>
      </c>
      <c r="BM523" t="s">
        <v>10058</v>
      </c>
      <c r="BN523" t="s">
        <v>74</v>
      </c>
      <c r="BO523" t="s">
        <v>796</v>
      </c>
      <c r="BP523" t="s">
        <v>74</v>
      </c>
      <c r="BQ523" t="s">
        <v>74</v>
      </c>
      <c r="BR523" t="s">
        <v>106</v>
      </c>
      <c r="BS523" t="s">
        <v>10059</v>
      </c>
      <c r="BT523" t="str">
        <f>HYPERLINK("https%3A%2F%2Fwww.webofscience.com%2Fwos%2Fwoscc%2Ffull-record%2FWOS:000864182000068","View Full Record in Web of Science")</f>
        <v>View Full Record in Web of Science</v>
      </c>
    </row>
    <row r="524" spans="1:72" x14ac:dyDescent="0.15">
      <c r="A524" t="s">
        <v>7844</v>
      </c>
      <c r="B524" t="s">
        <v>10060</v>
      </c>
      <c r="C524" t="s">
        <v>74</v>
      </c>
      <c r="D524" t="s">
        <v>10029</v>
      </c>
      <c r="E524" t="s">
        <v>74</v>
      </c>
      <c r="F524" t="s">
        <v>10061</v>
      </c>
      <c r="G524" t="s">
        <v>74</v>
      </c>
      <c r="H524" t="s">
        <v>74</v>
      </c>
      <c r="I524" t="s">
        <v>10062</v>
      </c>
      <c r="J524" t="s">
        <v>10032</v>
      </c>
      <c r="K524" t="s">
        <v>10033</v>
      </c>
      <c r="L524" t="s">
        <v>74</v>
      </c>
      <c r="M524" t="s">
        <v>78</v>
      </c>
      <c r="N524" t="s">
        <v>7851</v>
      </c>
      <c r="O524" t="s">
        <v>10034</v>
      </c>
      <c r="P524" t="s">
        <v>8617</v>
      </c>
      <c r="Q524" t="s">
        <v>10035</v>
      </c>
      <c r="R524" t="s">
        <v>74</v>
      </c>
      <c r="S524" t="s">
        <v>74</v>
      </c>
      <c r="T524" t="s">
        <v>10063</v>
      </c>
      <c r="U524" t="s">
        <v>74</v>
      </c>
      <c r="V524" t="s">
        <v>10064</v>
      </c>
      <c r="W524" t="s">
        <v>10065</v>
      </c>
      <c r="X524" t="s">
        <v>10040</v>
      </c>
      <c r="Y524" t="s">
        <v>10066</v>
      </c>
      <c r="Z524" t="s">
        <v>10067</v>
      </c>
      <c r="AA524" t="s">
        <v>10068</v>
      </c>
      <c r="AB524" t="s">
        <v>10069</v>
      </c>
      <c r="AC524" t="s">
        <v>10070</v>
      </c>
      <c r="AD524" t="s">
        <v>10071</v>
      </c>
      <c r="AE524" t="s">
        <v>10072</v>
      </c>
      <c r="AF524" t="s">
        <v>74</v>
      </c>
      <c r="AG524">
        <v>12</v>
      </c>
      <c r="AH524">
        <v>0</v>
      </c>
      <c r="AI524">
        <v>0</v>
      </c>
      <c r="AJ524">
        <v>0</v>
      </c>
      <c r="AK524">
        <v>1</v>
      </c>
      <c r="AL524" t="s">
        <v>10048</v>
      </c>
      <c r="AM524" t="s">
        <v>10049</v>
      </c>
      <c r="AN524" t="s">
        <v>10050</v>
      </c>
      <c r="AO524" t="s">
        <v>10051</v>
      </c>
      <c r="AP524" t="s">
        <v>10052</v>
      </c>
      <c r="AQ524" t="s">
        <v>10053</v>
      </c>
      <c r="AR524" t="s">
        <v>10054</v>
      </c>
      <c r="AS524" t="s">
        <v>74</v>
      </c>
      <c r="AT524" t="s">
        <v>74</v>
      </c>
      <c r="AU524">
        <v>2022</v>
      </c>
      <c r="AV524">
        <v>12190</v>
      </c>
      <c r="AW524" t="s">
        <v>74</v>
      </c>
      <c r="AX524" t="s">
        <v>74</v>
      </c>
      <c r="AY524" t="s">
        <v>74</v>
      </c>
      <c r="AZ524" t="s">
        <v>74</v>
      </c>
      <c r="BA524" t="s">
        <v>74</v>
      </c>
      <c r="BB524" t="s">
        <v>74</v>
      </c>
      <c r="BC524" t="s">
        <v>74</v>
      </c>
      <c r="BD524" t="s">
        <v>10073</v>
      </c>
      <c r="BE524" t="s">
        <v>10074</v>
      </c>
      <c r="BF524" t="str">
        <f>HYPERLINK("http://dx.doi.org/10.1117/12.2629490","http://dx.doi.org/10.1117/12.2629490")</f>
        <v>http://dx.doi.org/10.1117/12.2629490</v>
      </c>
      <c r="BG524" t="s">
        <v>74</v>
      </c>
      <c r="BH524" t="s">
        <v>74</v>
      </c>
      <c r="BI524">
        <v>9</v>
      </c>
      <c r="BJ524" t="s">
        <v>10057</v>
      </c>
      <c r="BK524" t="s">
        <v>7868</v>
      </c>
      <c r="BL524" t="s">
        <v>10057</v>
      </c>
      <c r="BM524" t="s">
        <v>10058</v>
      </c>
      <c r="BN524" t="s">
        <v>74</v>
      </c>
      <c r="BO524" t="s">
        <v>796</v>
      </c>
      <c r="BP524" t="s">
        <v>74</v>
      </c>
      <c r="BQ524" t="s">
        <v>74</v>
      </c>
      <c r="BR524" t="s">
        <v>106</v>
      </c>
      <c r="BS524" t="s">
        <v>10075</v>
      </c>
      <c r="BT524" t="str">
        <f>HYPERLINK("https%3A%2F%2Fwww.webofscience.com%2Fwos%2Fwoscc%2Ffull-record%2FWOS:000864182000066","View Full Record in Web of Science")</f>
        <v>View Full Record in Web of Science</v>
      </c>
    </row>
    <row r="525" spans="1:72" x14ac:dyDescent="0.15">
      <c r="A525" t="s">
        <v>7844</v>
      </c>
      <c r="B525" t="s">
        <v>10076</v>
      </c>
      <c r="C525" t="s">
        <v>74</v>
      </c>
      <c r="D525" t="s">
        <v>10029</v>
      </c>
      <c r="E525" t="s">
        <v>74</v>
      </c>
      <c r="F525" t="s">
        <v>10077</v>
      </c>
      <c r="G525" t="s">
        <v>74</v>
      </c>
      <c r="H525" t="s">
        <v>74</v>
      </c>
      <c r="I525" t="s">
        <v>10078</v>
      </c>
      <c r="J525" t="s">
        <v>10032</v>
      </c>
      <c r="K525" t="s">
        <v>10033</v>
      </c>
      <c r="L525" t="s">
        <v>74</v>
      </c>
      <c r="M525" t="s">
        <v>78</v>
      </c>
      <c r="N525" t="s">
        <v>7851</v>
      </c>
      <c r="O525" t="s">
        <v>10034</v>
      </c>
      <c r="P525" t="s">
        <v>8617</v>
      </c>
      <c r="Q525" t="s">
        <v>10035</v>
      </c>
      <c r="R525" t="s">
        <v>74</v>
      </c>
      <c r="S525" t="s">
        <v>74</v>
      </c>
      <c r="T525" t="s">
        <v>10079</v>
      </c>
      <c r="U525" t="s">
        <v>10080</v>
      </c>
      <c r="V525" t="s">
        <v>10081</v>
      </c>
      <c r="W525" t="s">
        <v>10082</v>
      </c>
      <c r="X525" t="s">
        <v>10083</v>
      </c>
      <c r="Y525" t="s">
        <v>10084</v>
      </c>
      <c r="Z525" t="s">
        <v>10085</v>
      </c>
      <c r="AA525" t="s">
        <v>10086</v>
      </c>
      <c r="AB525" t="s">
        <v>10087</v>
      </c>
      <c r="AC525" t="s">
        <v>10088</v>
      </c>
      <c r="AD525" t="s">
        <v>10089</v>
      </c>
      <c r="AE525" t="s">
        <v>10090</v>
      </c>
      <c r="AF525" t="s">
        <v>74</v>
      </c>
      <c r="AG525">
        <v>32</v>
      </c>
      <c r="AH525">
        <v>0</v>
      </c>
      <c r="AI525">
        <v>0</v>
      </c>
      <c r="AJ525">
        <v>0</v>
      </c>
      <c r="AK525">
        <v>0</v>
      </c>
      <c r="AL525" t="s">
        <v>10048</v>
      </c>
      <c r="AM525" t="s">
        <v>10049</v>
      </c>
      <c r="AN525" t="s">
        <v>10050</v>
      </c>
      <c r="AO525" t="s">
        <v>10051</v>
      </c>
      <c r="AP525" t="s">
        <v>10052</v>
      </c>
      <c r="AQ525" t="s">
        <v>10053</v>
      </c>
      <c r="AR525" t="s">
        <v>10054</v>
      </c>
      <c r="AS525" t="s">
        <v>74</v>
      </c>
      <c r="AT525" t="s">
        <v>74</v>
      </c>
      <c r="AU525">
        <v>2022</v>
      </c>
      <c r="AV525">
        <v>12190</v>
      </c>
      <c r="AW525" t="s">
        <v>74</v>
      </c>
      <c r="AX525" t="s">
        <v>74</v>
      </c>
      <c r="AY525" t="s">
        <v>74</v>
      </c>
      <c r="AZ525" t="s">
        <v>74</v>
      </c>
      <c r="BA525" t="s">
        <v>74</v>
      </c>
      <c r="BB525" t="s">
        <v>74</v>
      </c>
      <c r="BC525" t="s">
        <v>74</v>
      </c>
      <c r="BD525">
        <v>1219008</v>
      </c>
      <c r="BE525" t="s">
        <v>10091</v>
      </c>
      <c r="BF525" t="str">
        <f>HYPERLINK("http://dx.doi.org/10.1117/12.2630644","http://dx.doi.org/10.1117/12.2630644")</f>
        <v>http://dx.doi.org/10.1117/12.2630644</v>
      </c>
      <c r="BG525" t="s">
        <v>74</v>
      </c>
      <c r="BH525" t="s">
        <v>74</v>
      </c>
      <c r="BI525">
        <v>12</v>
      </c>
      <c r="BJ525" t="s">
        <v>10057</v>
      </c>
      <c r="BK525" t="s">
        <v>7868</v>
      </c>
      <c r="BL525" t="s">
        <v>10057</v>
      </c>
      <c r="BM525" t="s">
        <v>10058</v>
      </c>
      <c r="BN525" t="s">
        <v>74</v>
      </c>
      <c r="BO525" t="s">
        <v>74</v>
      </c>
      <c r="BP525" t="s">
        <v>74</v>
      </c>
      <c r="BQ525" t="s">
        <v>74</v>
      </c>
      <c r="BR525" t="s">
        <v>106</v>
      </c>
      <c r="BS525" t="s">
        <v>10092</v>
      </c>
      <c r="BT525" t="str">
        <f>HYPERLINK("https%3A%2F%2Fwww.webofscience.com%2Fwos%2Fwoscc%2Ffull-record%2FWOS:000864182000007","View Full Record in Web of Science")</f>
        <v>View Full Record in Web of Science</v>
      </c>
    </row>
    <row r="526" spans="1:72" x14ac:dyDescent="0.15">
      <c r="A526" t="s">
        <v>7844</v>
      </c>
      <c r="B526" t="s">
        <v>10093</v>
      </c>
      <c r="C526" t="s">
        <v>74</v>
      </c>
      <c r="D526" t="s">
        <v>10029</v>
      </c>
      <c r="E526" t="s">
        <v>74</v>
      </c>
      <c r="F526" t="s">
        <v>10094</v>
      </c>
      <c r="G526" t="s">
        <v>74</v>
      </c>
      <c r="H526" t="s">
        <v>74</v>
      </c>
      <c r="I526" t="s">
        <v>10095</v>
      </c>
      <c r="J526" t="s">
        <v>10032</v>
      </c>
      <c r="K526" t="s">
        <v>10033</v>
      </c>
      <c r="L526" t="s">
        <v>74</v>
      </c>
      <c r="M526" t="s">
        <v>78</v>
      </c>
      <c r="N526" t="s">
        <v>7851</v>
      </c>
      <c r="O526" t="s">
        <v>10034</v>
      </c>
      <c r="P526" t="s">
        <v>8617</v>
      </c>
      <c r="Q526" t="s">
        <v>10035</v>
      </c>
      <c r="R526" t="s">
        <v>74</v>
      </c>
      <c r="S526" t="s">
        <v>74</v>
      </c>
      <c r="T526" t="s">
        <v>10096</v>
      </c>
      <c r="U526" t="s">
        <v>74</v>
      </c>
      <c r="V526" t="s">
        <v>10097</v>
      </c>
      <c r="W526" t="s">
        <v>10098</v>
      </c>
      <c r="X526" t="s">
        <v>10099</v>
      </c>
      <c r="Y526" t="s">
        <v>10100</v>
      </c>
      <c r="Z526" t="s">
        <v>10101</v>
      </c>
      <c r="AA526" t="s">
        <v>10102</v>
      </c>
      <c r="AB526" t="s">
        <v>10103</v>
      </c>
      <c r="AC526" t="s">
        <v>10104</v>
      </c>
      <c r="AD526" t="s">
        <v>10105</v>
      </c>
      <c r="AE526" t="s">
        <v>10072</v>
      </c>
      <c r="AF526" t="s">
        <v>74</v>
      </c>
      <c r="AG526">
        <v>12</v>
      </c>
      <c r="AH526">
        <v>0</v>
      </c>
      <c r="AI526">
        <v>1</v>
      </c>
      <c r="AJ526">
        <v>0</v>
      </c>
      <c r="AK526">
        <v>0</v>
      </c>
      <c r="AL526" t="s">
        <v>10048</v>
      </c>
      <c r="AM526" t="s">
        <v>10049</v>
      </c>
      <c r="AN526" t="s">
        <v>10050</v>
      </c>
      <c r="AO526" t="s">
        <v>10051</v>
      </c>
      <c r="AP526" t="s">
        <v>10052</v>
      </c>
      <c r="AQ526" t="s">
        <v>10053</v>
      </c>
      <c r="AR526" t="s">
        <v>10054</v>
      </c>
      <c r="AS526" t="s">
        <v>74</v>
      </c>
      <c r="AT526" t="s">
        <v>74</v>
      </c>
      <c r="AU526">
        <v>2022</v>
      </c>
      <c r="AV526">
        <v>12190</v>
      </c>
      <c r="AW526" t="s">
        <v>74</v>
      </c>
      <c r="AX526" t="s">
        <v>74</v>
      </c>
      <c r="AY526" t="s">
        <v>74</v>
      </c>
      <c r="AZ526" t="s">
        <v>74</v>
      </c>
      <c r="BA526" t="s">
        <v>74</v>
      </c>
      <c r="BB526" t="s">
        <v>74</v>
      </c>
      <c r="BC526" t="s">
        <v>74</v>
      </c>
      <c r="BD526">
        <v>1219014</v>
      </c>
      <c r="BE526" t="s">
        <v>10106</v>
      </c>
      <c r="BF526" t="str">
        <f>HYPERLINK("http://dx.doi.org/10.1117/12.2628058","http://dx.doi.org/10.1117/12.2628058")</f>
        <v>http://dx.doi.org/10.1117/12.2628058</v>
      </c>
      <c r="BG526" t="s">
        <v>74</v>
      </c>
      <c r="BH526" t="s">
        <v>74</v>
      </c>
      <c r="BI526">
        <v>7</v>
      </c>
      <c r="BJ526" t="s">
        <v>10057</v>
      </c>
      <c r="BK526" t="s">
        <v>7868</v>
      </c>
      <c r="BL526" t="s">
        <v>10057</v>
      </c>
      <c r="BM526" t="s">
        <v>10058</v>
      </c>
      <c r="BN526" t="s">
        <v>74</v>
      </c>
      <c r="BO526" t="s">
        <v>796</v>
      </c>
      <c r="BP526" t="s">
        <v>74</v>
      </c>
      <c r="BQ526" t="s">
        <v>74</v>
      </c>
      <c r="BR526" t="s">
        <v>106</v>
      </c>
      <c r="BS526" t="s">
        <v>10107</v>
      </c>
      <c r="BT526" t="str">
        <f>HYPERLINK("https%3A%2F%2Fwww.webofscience.com%2Fwos%2Fwoscc%2Ffull-record%2FWOS:000864182000039","View Full Record in Web of Science")</f>
        <v>View Full Record in Web of Science</v>
      </c>
    </row>
    <row r="527" spans="1:72" x14ac:dyDescent="0.15">
      <c r="A527" t="s">
        <v>72</v>
      </c>
      <c r="B527" t="s">
        <v>10108</v>
      </c>
      <c r="C527" t="s">
        <v>74</v>
      </c>
      <c r="D527" t="s">
        <v>74</v>
      </c>
      <c r="E527" t="s">
        <v>74</v>
      </c>
      <c r="F527" t="s">
        <v>10109</v>
      </c>
      <c r="G527" t="s">
        <v>74</v>
      </c>
      <c r="H527" t="s">
        <v>74</v>
      </c>
      <c r="I527" t="s">
        <v>10110</v>
      </c>
      <c r="J527" t="s">
        <v>10111</v>
      </c>
      <c r="K527" t="s">
        <v>74</v>
      </c>
      <c r="L527" t="s">
        <v>74</v>
      </c>
      <c r="M527" t="s">
        <v>78</v>
      </c>
      <c r="N527" t="s">
        <v>79</v>
      </c>
      <c r="O527" t="s">
        <v>74</v>
      </c>
      <c r="P527" t="s">
        <v>74</v>
      </c>
      <c r="Q527" t="s">
        <v>74</v>
      </c>
      <c r="R527" t="s">
        <v>74</v>
      </c>
      <c r="S527" t="s">
        <v>74</v>
      </c>
      <c r="T527" t="s">
        <v>10112</v>
      </c>
      <c r="U527" t="s">
        <v>10113</v>
      </c>
      <c r="V527" t="s">
        <v>10114</v>
      </c>
      <c r="W527" t="s">
        <v>10115</v>
      </c>
      <c r="X527" t="s">
        <v>10116</v>
      </c>
      <c r="Y527" t="s">
        <v>10117</v>
      </c>
      <c r="Z527" t="s">
        <v>10118</v>
      </c>
      <c r="AA527" t="s">
        <v>10119</v>
      </c>
      <c r="AB527" t="s">
        <v>10120</v>
      </c>
      <c r="AC527" t="s">
        <v>10121</v>
      </c>
      <c r="AD527" t="s">
        <v>10121</v>
      </c>
      <c r="AE527" t="s">
        <v>10122</v>
      </c>
      <c r="AF527" t="s">
        <v>74</v>
      </c>
      <c r="AG527">
        <v>69</v>
      </c>
      <c r="AH527">
        <v>1</v>
      </c>
      <c r="AI527">
        <v>1</v>
      </c>
      <c r="AJ527">
        <v>3</v>
      </c>
      <c r="AK527">
        <v>12</v>
      </c>
      <c r="AL527" t="s">
        <v>10123</v>
      </c>
      <c r="AM527" t="s">
        <v>10124</v>
      </c>
      <c r="AN527" t="s">
        <v>10125</v>
      </c>
      <c r="AO527" t="s">
        <v>10126</v>
      </c>
      <c r="AP527" t="s">
        <v>74</v>
      </c>
      <c r="AQ527" t="s">
        <v>74</v>
      </c>
      <c r="AR527" t="s">
        <v>10127</v>
      </c>
      <c r="AS527" t="s">
        <v>10128</v>
      </c>
      <c r="AT527" t="s">
        <v>74</v>
      </c>
      <c r="AU527">
        <v>2022</v>
      </c>
      <c r="AV527">
        <v>49</v>
      </c>
      <c r="AW527" t="s">
        <v>74</v>
      </c>
      <c r="AX527" t="s">
        <v>74</v>
      </c>
      <c r="AY527" t="s">
        <v>74</v>
      </c>
      <c r="AZ527" t="s">
        <v>74</v>
      </c>
      <c r="BA527" t="s">
        <v>74</v>
      </c>
      <c r="BB527" t="s">
        <v>74</v>
      </c>
      <c r="BC527" t="s">
        <v>74</v>
      </c>
      <c r="BD527">
        <v>8315</v>
      </c>
      <c r="BE527" t="s">
        <v>10129</v>
      </c>
      <c r="BF527" t="str">
        <f>HYPERLINK("http://dx.doi.org/10.34194/geusb.v49.8315","http://dx.doi.org/10.34194/geusb.v49.8315")</f>
        <v>http://dx.doi.org/10.34194/geusb.v49.8315</v>
      </c>
      <c r="BG527" t="s">
        <v>74</v>
      </c>
      <c r="BH527" t="s">
        <v>74</v>
      </c>
      <c r="BI527">
        <v>16</v>
      </c>
      <c r="BJ527" t="s">
        <v>152</v>
      </c>
      <c r="BK527" t="s">
        <v>103</v>
      </c>
      <c r="BL527" t="s">
        <v>152</v>
      </c>
      <c r="BM527" t="s">
        <v>10130</v>
      </c>
      <c r="BN527" t="s">
        <v>74</v>
      </c>
      <c r="BO527" t="s">
        <v>154</v>
      </c>
      <c r="BP527" t="s">
        <v>74</v>
      </c>
      <c r="BQ527" t="s">
        <v>74</v>
      </c>
      <c r="BR527" t="s">
        <v>106</v>
      </c>
      <c r="BS527" t="s">
        <v>10131</v>
      </c>
      <c r="BT527" t="str">
        <f>HYPERLINK("https%3A%2F%2Fwww.webofscience.com%2Fwos%2Fwoscc%2Ffull-record%2FWOS:000874651600001","View Full Record in Web of Science")</f>
        <v>View Full Record in Web of Science</v>
      </c>
    </row>
    <row r="528" spans="1:72" x14ac:dyDescent="0.15">
      <c r="A528" t="s">
        <v>72</v>
      </c>
      <c r="B528" t="s">
        <v>10132</v>
      </c>
      <c r="C528" t="s">
        <v>74</v>
      </c>
      <c r="D528" t="s">
        <v>74</v>
      </c>
      <c r="E528" t="s">
        <v>74</v>
      </c>
      <c r="F528" t="s">
        <v>10133</v>
      </c>
      <c r="G528" t="s">
        <v>74</v>
      </c>
      <c r="H528" t="s">
        <v>74</v>
      </c>
      <c r="I528" t="s">
        <v>10134</v>
      </c>
      <c r="J528" t="s">
        <v>8541</v>
      </c>
      <c r="K528" t="s">
        <v>74</v>
      </c>
      <c r="L528" t="s">
        <v>74</v>
      </c>
      <c r="M528" t="s">
        <v>78</v>
      </c>
      <c r="N528" t="s">
        <v>79</v>
      </c>
      <c r="O528" t="s">
        <v>74</v>
      </c>
      <c r="P528" t="s">
        <v>74</v>
      </c>
      <c r="Q528" t="s">
        <v>74</v>
      </c>
      <c r="R528" t="s">
        <v>74</v>
      </c>
      <c r="S528" t="s">
        <v>74</v>
      </c>
      <c r="T528" t="s">
        <v>10135</v>
      </c>
      <c r="U528" t="s">
        <v>10136</v>
      </c>
      <c r="V528" t="s">
        <v>10137</v>
      </c>
      <c r="W528" t="s">
        <v>10138</v>
      </c>
      <c r="X528" t="s">
        <v>7034</v>
      </c>
      <c r="Y528" t="s">
        <v>10139</v>
      </c>
      <c r="Z528" t="s">
        <v>10140</v>
      </c>
      <c r="AA528" t="s">
        <v>10141</v>
      </c>
      <c r="AB528" t="s">
        <v>10142</v>
      </c>
      <c r="AC528" t="s">
        <v>10143</v>
      </c>
      <c r="AD528" t="s">
        <v>10144</v>
      </c>
      <c r="AE528" t="s">
        <v>10145</v>
      </c>
      <c r="AF528" t="s">
        <v>74</v>
      </c>
      <c r="AG528">
        <v>107</v>
      </c>
      <c r="AH528">
        <v>1</v>
      </c>
      <c r="AI528">
        <v>1</v>
      </c>
      <c r="AJ528">
        <v>1</v>
      </c>
      <c r="AK528">
        <v>2</v>
      </c>
      <c r="AL528" t="s">
        <v>8552</v>
      </c>
      <c r="AM528" t="s">
        <v>8553</v>
      </c>
      <c r="AN528" t="s">
        <v>8554</v>
      </c>
      <c r="AO528" t="s">
        <v>74</v>
      </c>
      <c r="AP528" t="s">
        <v>8555</v>
      </c>
      <c r="AQ528" t="s">
        <v>74</v>
      </c>
      <c r="AR528" t="s">
        <v>8556</v>
      </c>
      <c r="AS528" t="s">
        <v>8557</v>
      </c>
      <c r="AT528" t="s">
        <v>74</v>
      </c>
      <c r="AU528">
        <v>2022</v>
      </c>
      <c r="AV528">
        <v>70</v>
      </c>
      <c r="AW528" t="s">
        <v>74</v>
      </c>
      <c r="AX528" t="s">
        <v>74</v>
      </c>
      <c r="AY528">
        <v>2</v>
      </c>
      <c r="AZ528" t="s">
        <v>74</v>
      </c>
      <c r="BA528" t="s">
        <v>74</v>
      </c>
      <c r="BB528" t="s">
        <v>74</v>
      </c>
      <c r="BC528" t="s">
        <v>74</v>
      </c>
      <c r="BD528" t="s">
        <v>10146</v>
      </c>
      <c r="BE528" t="s">
        <v>10147</v>
      </c>
      <c r="BF528" t="str">
        <f>HYPERLINK("http://dx.doi.org/10.1590/2675-2824070.21109rfds","http://dx.doi.org/10.1590/2675-2824070.21109rfds")</f>
        <v>http://dx.doi.org/10.1590/2675-2824070.21109rfds</v>
      </c>
      <c r="BG528" t="s">
        <v>74</v>
      </c>
      <c r="BH528" t="s">
        <v>74</v>
      </c>
      <c r="BI528">
        <v>17</v>
      </c>
      <c r="BJ528" t="s">
        <v>772</v>
      </c>
      <c r="BK528" t="s">
        <v>103</v>
      </c>
      <c r="BL528" t="s">
        <v>772</v>
      </c>
      <c r="BM528" t="s">
        <v>10148</v>
      </c>
      <c r="BN528" t="s">
        <v>74</v>
      </c>
      <c r="BO528" t="s">
        <v>154</v>
      </c>
      <c r="BP528" t="s">
        <v>74</v>
      </c>
      <c r="BQ528" t="s">
        <v>74</v>
      </c>
      <c r="BR528" t="s">
        <v>106</v>
      </c>
      <c r="BS528" t="s">
        <v>10149</v>
      </c>
      <c r="BT528" t="str">
        <f>HYPERLINK("https%3A%2F%2Fwww.webofscience.com%2Fwos%2Fwoscc%2Ffull-record%2FWOS:000871290300001","View Full Record in Web of Science")</f>
        <v>View Full Record in Web of Science</v>
      </c>
    </row>
    <row r="529" spans="1:72" x14ac:dyDescent="0.15">
      <c r="A529" t="s">
        <v>72</v>
      </c>
      <c r="B529" t="s">
        <v>10150</v>
      </c>
      <c r="C529" t="s">
        <v>74</v>
      </c>
      <c r="D529" t="s">
        <v>74</v>
      </c>
      <c r="E529" t="s">
        <v>74</v>
      </c>
      <c r="F529" t="s">
        <v>10151</v>
      </c>
      <c r="G529" t="s">
        <v>74</v>
      </c>
      <c r="H529" t="s">
        <v>74</v>
      </c>
      <c r="I529" t="s">
        <v>10152</v>
      </c>
      <c r="J529" t="s">
        <v>10153</v>
      </c>
      <c r="K529" t="s">
        <v>74</v>
      </c>
      <c r="L529" t="s">
        <v>74</v>
      </c>
      <c r="M529" t="s">
        <v>78</v>
      </c>
      <c r="N529" t="s">
        <v>79</v>
      </c>
      <c r="O529" t="s">
        <v>74</v>
      </c>
      <c r="P529" t="s">
        <v>74</v>
      </c>
      <c r="Q529" t="s">
        <v>74</v>
      </c>
      <c r="R529" t="s">
        <v>74</v>
      </c>
      <c r="S529" t="s">
        <v>74</v>
      </c>
      <c r="T529" t="s">
        <v>10154</v>
      </c>
      <c r="U529" t="s">
        <v>10155</v>
      </c>
      <c r="V529" t="s">
        <v>10156</v>
      </c>
      <c r="W529" t="s">
        <v>10157</v>
      </c>
      <c r="X529" t="s">
        <v>10158</v>
      </c>
      <c r="Y529" t="s">
        <v>10159</v>
      </c>
      <c r="Z529" t="s">
        <v>10160</v>
      </c>
      <c r="AA529" t="s">
        <v>10161</v>
      </c>
      <c r="AB529" t="s">
        <v>10162</v>
      </c>
      <c r="AC529" t="s">
        <v>10163</v>
      </c>
      <c r="AD529" t="s">
        <v>10164</v>
      </c>
      <c r="AE529" t="s">
        <v>10165</v>
      </c>
      <c r="AF529" t="s">
        <v>74</v>
      </c>
      <c r="AG529">
        <v>39</v>
      </c>
      <c r="AH529">
        <v>2</v>
      </c>
      <c r="AI529">
        <v>2</v>
      </c>
      <c r="AJ529">
        <v>2</v>
      </c>
      <c r="AK529">
        <v>5</v>
      </c>
      <c r="AL529" t="s">
        <v>10166</v>
      </c>
      <c r="AM529" t="s">
        <v>4639</v>
      </c>
      <c r="AN529" t="s">
        <v>10167</v>
      </c>
      <c r="AO529" t="s">
        <v>10168</v>
      </c>
      <c r="AP529" t="s">
        <v>10169</v>
      </c>
      <c r="AQ529" t="s">
        <v>74</v>
      </c>
      <c r="AR529" t="s">
        <v>10170</v>
      </c>
      <c r="AS529" t="s">
        <v>10171</v>
      </c>
      <c r="AT529" t="s">
        <v>74</v>
      </c>
      <c r="AU529">
        <v>2022</v>
      </c>
      <c r="AV529">
        <v>40</v>
      </c>
      <c r="AW529" t="s">
        <v>74</v>
      </c>
      <c r="AX529" t="s">
        <v>74</v>
      </c>
      <c r="AY529" t="s">
        <v>74</v>
      </c>
      <c r="AZ529" t="s">
        <v>74</v>
      </c>
      <c r="BA529" t="s">
        <v>74</v>
      </c>
      <c r="BB529">
        <v>1</v>
      </c>
      <c r="BC529">
        <v>17</v>
      </c>
      <c r="BD529" t="s">
        <v>74</v>
      </c>
      <c r="BE529" t="s">
        <v>10172</v>
      </c>
      <c r="BF529" t="str">
        <f>HYPERLINK("http://dx.doi.org/10.5331/bgr.21R02","http://dx.doi.org/10.5331/bgr.21R02")</f>
        <v>http://dx.doi.org/10.5331/bgr.21R02</v>
      </c>
      <c r="BG529" t="s">
        <v>74</v>
      </c>
      <c r="BH529" t="s">
        <v>74</v>
      </c>
      <c r="BI529">
        <v>17</v>
      </c>
      <c r="BJ529" t="s">
        <v>8448</v>
      </c>
      <c r="BK529" t="s">
        <v>724</v>
      </c>
      <c r="BL529" t="s">
        <v>8449</v>
      </c>
      <c r="BM529" t="s">
        <v>10173</v>
      </c>
      <c r="BN529" t="s">
        <v>74</v>
      </c>
      <c r="BO529" t="s">
        <v>445</v>
      </c>
      <c r="BP529" t="s">
        <v>74</v>
      </c>
      <c r="BQ529" t="s">
        <v>74</v>
      </c>
      <c r="BR529" t="s">
        <v>106</v>
      </c>
      <c r="BS529" t="s">
        <v>10174</v>
      </c>
      <c r="BT529" t="str">
        <f>HYPERLINK("https%3A%2F%2Fwww.webofscience.com%2Fwos%2Fwoscc%2Ffull-record%2FWOS:000861835400001","View Full Record in Web of Science")</f>
        <v>View Full Record in Web of Science</v>
      </c>
    </row>
    <row r="530" spans="1:72" x14ac:dyDescent="0.15">
      <c r="A530" t="s">
        <v>72</v>
      </c>
      <c r="B530" t="s">
        <v>10175</v>
      </c>
      <c r="C530" t="s">
        <v>74</v>
      </c>
      <c r="D530" t="s">
        <v>74</v>
      </c>
      <c r="E530" t="s">
        <v>74</v>
      </c>
      <c r="F530" t="s">
        <v>10176</v>
      </c>
      <c r="G530" t="s">
        <v>74</v>
      </c>
      <c r="H530" t="s">
        <v>74</v>
      </c>
      <c r="I530" t="s">
        <v>10177</v>
      </c>
      <c r="J530" t="s">
        <v>9196</v>
      </c>
      <c r="K530" t="s">
        <v>74</v>
      </c>
      <c r="L530" t="s">
        <v>74</v>
      </c>
      <c r="M530" t="s">
        <v>78</v>
      </c>
      <c r="N530" t="s">
        <v>79</v>
      </c>
      <c r="O530" t="s">
        <v>74</v>
      </c>
      <c r="P530" t="s">
        <v>74</v>
      </c>
      <c r="Q530" t="s">
        <v>74</v>
      </c>
      <c r="R530" t="s">
        <v>74</v>
      </c>
      <c r="S530" t="s">
        <v>74</v>
      </c>
      <c r="T530" t="s">
        <v>10178</v>
      </c>
      <c r="U530" t="s">
        <v>10179</v>
      </c>
      <c r="V530" t="s">
        <v>10180</v>
      </c>
      <c r="W530" t="s">
        <v>10181</v>
      </c>
      <c r="X530" t="s">
        <v>10182</v>
      </c>
      <c r="Y530" t="s">
        <v>10183</v>
      </c>
      <c r="Z530" t="s">
        <v>10184</v>
      </c>
      <c r="AA530" t="s">
        <v>10185</v>
      </c>
      <c r="AB530" t="s">
        <v>10186</v>
      </c>
      <c r="AC530" t="s">
        <v>10187</v>
      </c>
      <c r="AD530" t="s">
        <v>10188</v>
      </c>
      <c r="AE530" t="s">
        <v>10189</v>
      </c>
      <c r="AF530" t="s">
        <v>74</v>
      </c>
      <c r="AG530">
        <v>63</v>
      </c>
      <c r="AH530">
        <v>0</v>
      </c>
      <c r="AI530">
        <v>0</v>
      </c>
      <c r="AJ530">
        <v>2</v>
      </c>
      <c r="AK530">
        <v>13</v>
      </c>
      <c r="AL530" t="s">
        <v>1667</v>
      </c>
      <c r="AM530" t="s">
        <v>1668</v>
      </c>
      <c r="AN530" t="s">
        <v>1669</v>
      </c>
      <c r="AO530" t="s">
        <v>9209</v>
      </c>
      <c r="AP530" t="s">
        <v>9210</v>
      </c>
      <c r="AQ530" t="s">
        <v>74</v>
      </c>
      <c r="AR530" t="s">
        <v>9211</v>
      </c>
      <c r="AS530" t="s">
        <v>9212</v>
      </c>
      <c r="AT530" t="s">
        <v>74</v>
      </c>
      <c r="AU530">
        <v>2022</v>
      </c>
      <c r="AV530">
        <v>60</v>
      </c>
      <c r="AW530" t="s">
        <v>74</v>
      </c>
      <c r="AX530" t="s">
        <v>74</v>
      </c>
      <c r="AY530" t="s">
        <v>74</v>
      </c>
      <c r="AZ530" t="s">
        <v>74</v>
      </c>
      <c r="BA530" t="s">
        <v>74</v>
      </c>
      <c r="BB530" t="s">
        <v>74</v>
      </c>
      <c r="BC530" t="s">
        <v>74</v>
      </c>
      <c r="BD530">
        <v>4306213</v>
      </c>
      <c r="BE530" t="s">
        <v>10190</v>
      </c>
      <c r="BF530" t="str">
        <f>HYPERLINK("http://dx.doi.org/10.1109/TGRS.2022.3209543","http://dx.doi.org/10.1109/TGRS.2022.3209543")</f>
        <v>http://dx.doi.org/10.1109/TGRS.2022.3209543</v>
      </c>
      <c r="BG530" t="s">
        <v>74</v>
      </c>
      <c r="BH530" t="s">
        <v>74</v>
      </c>
      <c r="BI530">
        <v>13</v>
      </c>
      <c r="BJ530" t="s">
        <v>9214</v>
      </c>
      <c r="BK530" t="s">
        <v>103</v>
      </c>
      <c r="BL530" t="s">
        <v>9215</v>
      </c>
      <c r="BM530" t="s">
        <v>10191</v>
      </c>
      <c r="BN530" t="s">
        <v>74</v>
      </c>
      <c r="BO530" t="s">
        <v>948</v>
      </c>
      <c r="BP530" t="s">
        <v>74</v>
      </c>
      <c r="BQ530" t="s">
        <v>74</v>
      </c>
      <c r="BR530" t="s">
        <v>106</v>
      </c>
      <c r="BS530" t="s">
        <v>10192</v>
      </c>
      <c r="BT530" t="str">
        <f>HYPERLINK("https%3A%2F%2Fwww.webofscience.com%2Fwos%2Fwoscc%2Ffull-record%2FWOS:000870339900003","View Full Record in Web of Science")</f>
        <v>View Full Record in Web of Science</v>
      </c>
    </row>
    <row r="531" spans="1:72" x14ac:dyDescent="0.15">
      <c r="A531" t="s">
        <v>72</v>
      </c>
      <c r="B531" t="s">
        <v>10193</v>
      </c>
      <c r="C531" t="s">
        <v>74</v>
      </c>
      <c r="D531" t="s">
        <v>74</v>
      </c>
      <c r="E531" t="s">
        <v>74</v>
      </c>
      <c r="F531" t="s">
        <v>10194</v>
      </c>
      <c r="G531" t="s">
        <v>74</v>
      </c>
      <c r="H531" t="s">
        <v>74</v>
      </c>
      <c r="I531" t="s">
        <v>10195</v>
      </c>
      <c r="J531" t="s">
        <v>10196</v>
      </c>
      <c r="K531" t="s">
        <v>74</v>
      </c>
      <c r="L531" t="s">
        <v>74</v>
      </c>
      <c r="M531" t="s">
        <v>78</v>
      </c>
      <c r="N531" t="s">
        <v>79</v>
      </c>
      <c r="O531" t="s">
        <v>74</v>
      </c>
      <c r="P531" t="s">
        <v>74</v>
      </c>
      <c r="Q531" t="s">
        <v>74</v>
      </c>
      <c r="R531" t="s">
        <v>74</v>
      </c>
      <c r="S531" t="s">
        <v>74</v>
      </c>
      <c r="T531" t="s">
        <v>10197</v>
      </c>
      <c r="U531" t="s">
        <v>74</v>
      </c>
      <c r="V531" t="s">
        <v>10198</v>
      </c>
      <c r="W531" t="s">
        <v>10199</v>
      </c>
      <c r="X531" t="s">
        <v>10200</v>
      </c>
      <c r="Y531" t="s">
        <v>10201</v>
      </c>
      <c r="Z531" t="s">
        <v>10202</v>
      </c>
      <c r="AA531" t="s">
        <v>74</v>
      </c>
      <c r="AB531" t="s">
        <v>74</v>
      </c>
      <c r="AC531" t="s">
        <v>74</v>
      </c>
      <c r="AD531" t="s">
        <v>74</v>
      </c>
      <c r="AE531" t="s">
        <v>74</v>
      </c>
      <c r="AF531" t="s">
        <v>74</v>
      </c>
      <c r="AG531">
        <v>11</v>
      </c>
      <c r="AH531">
        <v>2</v>
      </c>
      <c r="AI531">
        <v>2</v>
      </c>
      <c r="AJ531">
        <v>1</v>
      </c>
      <c r="AK531">
        <v>1</v>
      </c>
      <c r="AL531" t="s">
        <v>10203</v>
      </c>
      <c r="AM531" t="s">
        <v>10204</v>
      </c>
      <c r="AN531" t="s">
        <v>10205</v>
      </c>
      <c r="AO531" t="s">
        <v>10206</v>
      </c>
      <c r="AP531" t="s">
        <v>10207</v>
      </c>
      <c r="AQ531" t="s">
        <v>74</v>
      </c>
      <c r="AR531" t="s">
        <v>10208</v>
      </c>
      <c r="AS531" t="s">
        <v>10209</v>
      </c>
      <c r="AT531" t="s">
        <v>74</v>
      </c>
      <c r="AU531">
        <v>2022</v>
      </c>
      <c r="AV531">
        <v>73</v>
      </c>
      <c r="AW531">
        <v>3</v>
      </c>
      <c r="AX531" t="s">
        <v>74</v>
      </c>
      <c r="AY531" t="s">
        <v>74</v>
      </c>
      <c r="AZ531" t="s">
        <v>74</v>
      </c>
      <c r="BA531" t="s">
        <v>74</v>
      </c>
      <c r="BB531">
        <v>119</v>
      </c>
      <c r="BC531">
        <v>124</v>
      </c>
      <c r="BD531" t="s">
        <v>74</v>
      </c>
      <c r="BE531" t="s">
        <v>10210</v>
      </c>
      <c r="BF531" t="str">
        <f>HYPERLINK("http://dx.doi.org/10.5603/IMH.2022.0024","http://dx.doi.org/10.5603/IMH.2022.0024")</f>
        <v>http://dx.doi.org/10.5603/IMH.2022.0024</v>
      </c>
      <c r="BG531" t="s">
        <v>74</v>
      </c>
      <c r="BH531" t="s">
        <v>74</v>
      </c>
      <c r="BI531">
        <v>6</v>
      </c>
      <c r="BJ531" t="s">
        <v>10211</v>
      </c>
      <c r="BK531" t="s">
        <v>724</v>
      </c>
      <c r="BL531" t="s">
        <v>10211</v>
      </c>
      <c r="BM531" t="s">
        <v>10212</v>
      </c>
      <c r="BN531">
        <v>36217973</v>
      </c>
      <c r="BO531" t="s">
        <v>211</v>
      </c>
      <c r="BP531" t="s">
        <v>74</v>
      </c>
      <c r="BQ531" t="s">
        <v>74</v>
      </c>
      <c r="BR531" t="s">
        <v>106</v>
      </c>
      <c r="BS531" t="s">
        <v>10213</v>
      </c>
      <c r="BT531" t="str">
        <f>HYPERLINK("https%3A%2F%2Fwww.webofscience.com%2Fwos%2Fwoscc%2Ffull-record%2FWOS:000871034300001","View Full Record in Web of Science")</f>
        <v>View Full Record in Web of Science</v>
      </c>
    </row>
    <row r="532" spans="1:72" x14ac:dyDescent="0.15">
      <c r="A532" t="s">
        <v>7844</v>
      </c>
      <c r="B532" t="s">
        <v>10214</v>
      </c>
      <c r="C532" t="s">
        <v>74</v>
      </c>
      <c r="D532" t="s">
        <v>10215</v>
      </c>
      <c r="E532" t="s">
        <v>74</v>
      </c>
      <c r="F532" t="s">
        <v>10216</v>
      </c>
      <c r="G532" t="s">
        <v>74</v>
      </c>
      <c r="H532" t="s">
        <v>74</v>
      </c>
      <c r="I532" t="s">
        <v>10217</v>
      </c>
      <c r="J532" t="s">
        <v>10218</v>
      </c>
      <c r="K532" t="s">
        <v>10219</v>
      </c>
      <c r="L532" t="s">
        <v>74</v>
      </c>
      <c r="M532" t="s">
        <v>78</v>
      </c>
      <c r="N532" t="s">
        <v>7851</v>
      </c>
      <c r="O532" t="s">
        <v>10220</v>
      </c>
      <c r="P532" t="s">
        <v>10221</v>
      </c>
      <c r="Q532" t="s">
        <v>10222</v>
      </c>
      <c r="R532" t="s">
        <v>74</v>
      </c>
      <c r="S532" t="s">
        <v>74</v>
      </c>
      <c r="T532" t="s">
        <v>10223</v>
      </c>
      <c r="U532" t="s">
        <v>10224</v>
      </c>
      <c r="V532" t="s">
        <v>10225</v>
      </c>
      <c r="W532" t="s">
        <v>10226</v>
      </c>
      <c r="X532" t="s">
        <v>10227</v>
      </c>
      <c r="Y532" t="s">
        <v>10228</v>
      </c>
      <c r="Z532" t="s">
        <v>10229</v>
      </c>
      <c r="AA532" t="s">
        <v>74</v>
      </c>
      <c r="AB532" t="s">
        <v>74</v>
      </c>
      <c r="AC532" t="s">
        <v>10230</v>
      </c>
      <c r="AD532" t="s">
        <v>10231</v>
      </c>
      <c r="AE532" t="s">
        <v>10232</v>
      </c>
      <c r="AF532" t="s">
        <v>74</v>
      </c>
      <c r="AG532">
        <v>24</v>
      </c>
      <c r="AH532">
        <v>0</v>
      </c>
      <c r="AI532">
        <v>0</v>
      </c>
      <c r="AJ532">
        <v>5</v>
      </c>
      <c r="AK532">
        <v>14</v>
      </c>
      <c r="AL532" t="s">
        <v>120</v>
      </c>
      <c r="AM532" t="s">
        <v>121</v>
      </c>
      <c r="AN532" t="s">
        <v>10233</v>
      </c>
      <c r="AO532" t="s">
        <v>10234</v>
      </c>
      <c r="AP532" t="s">
        <v>10235</v>
      </c>
      <c r="AQ532" t="s">
        <v>74</v>
      </c>
      <c r="AR532" t="s">
        <v>10236</v>
      </c>
      <c r="AS532" t="s">
        <v>74</v>
      </c>
      <c r="AT532" t="s">
        <v>74</v>
      </c>
      <c r="AU532">
        <v>2022</v>
      </c>
      <c r="AV532" t="s">
        <v>10237</v>
      </c>
      <c r="AW532" t="s">
        <v>74</v>
      </c>
      <c r="AX532" t="s">
        <v>74</v>
      </c>
      <c r="AY532" t="s">
        <v>74</v>
      </c>
      <c r="AZ532" t="s">
        <v>74</v>
      </c>
      <c r="BA532" t="s">
        <v>74</v>
      </c>
      <c r="BB532">
        <v>41</v>
      </c>
      <c r="BC532">
        <v>48</v>
      </c>
      <c r="BD532" t="s">
        <v>74</v>
      </c>
      <c r="BE532" t="s">
        <v>10238</v>
      </c>
      <c r="BF532" t="str">
        <f>HYPERLINK("http://dx.doi.org/10.5194/isprs-annals-V-1-2022-41-2022","http://dx.doi.org/10.5194/isprs-annals-V-1-2022-41-2022")</f>
        <v>http://dx.doi.org/10.5194/isprs-annals-V-1-2022-41-2022</v>
      </c>
      <c r="BG532" t="s">
        <v>74</v>
      </c>
      <c r="BH532" t="s">
        <v>74</v>
      </c>
      <c r="BI532">
        <v>8</v>
      </c>
      <c r="BJ532" t="s">
        <v>10239</v>
      </c>
      <c r="BK532" t="s">
        <v>7868</v>
      </c>
      <c r="BL532" t="s">
        <v>10240</v>
      </c>
      <c r="BM532" t="s">
        <v>10241</v>
      </c>
      <c r="BN532" t="s">
        <v>74</v>
      </c>
      <c r="BO532" t="s">
        <v>445</v>
      </c>
      <c r="BP532" t="s">
        <v>74</v>
      </c>
      <c r="BQ532" t="s">
        <v>74</v>
      </c>
      <c r="BR532" t="s">
        <v>106</v>
      </c>
      <c r="BS532" t="s">
        <v>10242</v>
      </c>
      <c r="BT532" t="str">
        <f>HYPERLINK("https%3A%2F%2Fwww.webofscience.com%2Fwos%2Fwoscc%2Ffull-record%2FWOS:000867698700005","View Full Record in Web of Science")</f>
        <v>View Full Record in Web of Science</v>
      </c>
    </row>
    <row r="533" spans="1:72" x14ac:dyDescent="0.15">
      <c r="A533" t="s">
        <v>8094</v>
      </c>
      <c r="B533" t="s">
        <v>10243</v>
      </c>
      <c r="C533" t="s">
        <v>74</v>
      </c>
      <c r="D533" t="s">
        <v>10244</v>
      </c>
      <c r="E533" t="s">
        <v>74</v>
      </c>
      <c r="F533" t="s">
        <v>10245</v>
      </c>
      <c r="G533" t="s">
        <v>74</v>
      </c>
      <c r="H533" t="s">
        <v>74</v>
      </c>
      <c r="I533" t="s">
        <v>10246</v>
      </c>
      <c r="J533" t="s">
        <v>10247</v>
      </c>
      <c r="K533" t="s">
        <v>10248</v>
      </c>
      <c r="L533" t="s">
        <v>74</v>
      </c>
      <c r="M533" t="s">
        <v>78</v>
      </c>
      <c r="N533" t="s">
        <v>8115</v>
      </c>
      <c r="O533" t="s">
        <v>74</v>
      </c>
      <c r="P533" t="s">
        <v>74</v>
      </c>
      <c r="Q533" t="s">
        <v>74</v>
      </c>
      <c r="R533" t="s">
        <v>74</v>
      </c>
      <c r="S533" t="s">
        <v>74</v>
      </c>
      <c r="T533" t="s">
        <v>74</v>
      </c>
      <c r="U533" t="s">
        <v>10249</v>
      </c>
      <c r="V533" t="s">
        <v>74</v>
      </c>
      <c r="W533" t="s">
        <v>10250</v>
      </c>
      <c r="X533" t="s">
        <v>10251</v>
      </c>
      <c r="Y533" t="s">
        <v>10252</v>
      </c>
      <c r="Z533" t="s">
        <v>74</v>
      </c>
      <c r="AA533" t="s">
        <v>74</v>
      </c>
      <c r="AB533" t="s">
        <v>74</v>
      </c>
      <c r="AC533" t="s">
        <v>74</v>
      </c>
      <c r="AD533" t="s">
        <v>74</v>
      </c>
      <c r="AE533" t="s">
        <v>74</v>
      </c>
      <c r="AF533" t="s">
        <v>74</v>
      </c>
      <c r="AG533">
        <v>125</v>
      </c>
      <c r="AH533">
        <v>1</v>
      </c>
      <c r="AI533">
        <v>1</v>
      </c>
      <c r="AJ533">
        <v>0</v>
      </c>
      <c r="AK533">
        <v>1</v>
      </c>
      <c r="AL533" t="s">
        <v>10253</v>
      </c>
      <c r="AM533" t="s">
        <v>4588</v>
      </c>
      <c r="AN533" t="s">
        <v>10254</v>
      </c>
      <c r="AO533" t="s">
        <v>74</v>
      </c>
      <c r="AP533" t="s">
        <v>74</v>
      </c>
      <c r="AQ533" t="s">
        <v>10255</v>
      </c>
      <c r="AR533" t="s">
        <v>10256</v>
      </c>
      <c r="AS533" t="s">
        <v>74</v>
      </c>
      <c r="AT533" t="s">
        <v>74</v>
      </c>
      <c r="AU533">
        <v>2022</v>
      </c>
      <c r="AV533" t="s">
        <v>74</v>
      </c>
      <c r="AW533" t="s">
        <v>74</v>
      </c>
      <c r="AX533" t="s">
        <v>74</v>
      </c>
      <c r="AY533" t="s">
        <v>74</v>
      </c>
      <c r="AZ533" t="s">
        <v>74</v>
      </c>
      <c r="BA533" t="s">
        <v>74</v>
      </c>
      <c r="BB533">
        <v>275</v>
      </c>
      <c r="BC533">
        <v>305</v>
      </c>
      <c r="BD533" t="s">
        <v>74</v>
      </c>
      <c r="BE533" t="s">
        <v>10257</v>
      </c>
      <c r="BF533" t="str">
        <f>HYPERLINK("http://dx.doi.org/10.4324/9780429264429-15","http://dx.doi.org/10.4324/9780429264429-15")</f>
        <v>http://dx.doi.org/10.4324/9780429264429-15</v>
      </c>
      <c r="BG533" t="s">
        <v>10258</v>
      </c>
      <c r="BH533" t="s">
        <v>74</v>
      </c>
      <c r="BI533">
        <v>31</v>
      </c>
      <c r="BJ533" t="s">
        <v>10259</v>
      </c>
      <c r="BK533" t="s">
        <v>8106</v>
      </c>
      <c r="BL533" t="s">
        <v>10260</v>
      </c>
      <c r="BM533" t="s">
        <v>10261</v>
      </c>
      <c r="BN533" t="s">
        <v>74</v>
      </c>
      <c r="BO533" t="s">
        <v>74</v>
      </c>
      <c r="BP533" t="s">
        <v>74</v>
      </c>
      <c r="BQ533" t="s">
        <v>74</v>
      </c>
      <c r="BR533" t="s">
        <v>106</v>
      </c>
      <c r="BS533" t="s">
        <v>10262</v>
      </c>
      <c r="BT533" t="str">
        <f>HYPERLINK("https%3A%2F%2Fwww.webofscience.com%2Fwos%2Fwoscc%2Ffull-record%2FWOS:000864365200012","View Full Record in Web of Science")</f>
        <v>View Full Record in Web of Science</v>
      </c>
    </row>
    <row r="534" spans="1:72" x14ac:dyDescent="0.15">
      <c r="A534" t="s">
        <v>72</v>
      </c>
      <c r="B534" t="s">
        <v>10263</v>
      </c>
      <c r="C534" t="s">
        <v>74</v>
      </c>
      <c r="D534" t="s">
        <v>74</v>
      </c>
      <c r="E534" t="s">
        <v>74</v>
      </c>
      <c r="F534" t="s">
        <v>10264</v>
      </c>
      <c r="G534" t="s">
        <v>74</v>
      </c>
      <c r="H534" t="s">
        <v>74</v>
      </c>
      <c r="I534" t="s">
        <v>10265</v>
      </c>
      <c r="J534" t="s">
        <v>9025</v>
      </c>
      <c r="K534" t="s">
        <v>74</v>
      </c>
      <c r="L534" t="s">
        <v>74</v>
      </c>
      <c r="M534" t="s">
        <v>78</v>
      </c>
      <c r="N534" t="s">
        <v>79</v>
      </c>
      <c r="O534" t="s">
        <v>74</v>
      </c>
      <c r="P534" t="s">
        <v>74</v>
      </c>
      <c r="Q534" t="s">
        <v>74</v>
      </c>
      <c r="R534" t="s">
        <v>74</v>
      </c>
      <c r="S534" t="s">
        <v>74</v>
      </c>
      <c r="T534" t="s">
        <v>10266</v>
      </c>
      <c r="U534" t="s">
        <v>10267</v>
      </c>
      <c r="V534" t="s">
        <v>10268</v>
      </c>
      <c r="W534" t="s">
        <v>10269</v>
      </c>
      <c r="X534" t="s">
        <v>10270</v>
      </c>
      <c r="Y534" t="s">
        <v>10271</v>
      </c>
      <c r="Z534" t="s">
        <v>10272</v>
      </c>
      <c r="AA534" t="s">
        <v>74</v>
      </c>
      <c r="AB534" t="s">
        <v>74</v>
      </c>
      <c r="AC534" t="s">
        <v>10273</v>
      </c>
      <c r="AD534" t="s">
        <v>10274</v>
      </c>
      <c r="AE534" t="s">
        <v>10275</v>
      </c>
      <c r="AF534" t="s">
        <v>74</v>
      </c>
      <c r="AG534">
        <v>71</v>
      </c>
      <c r="AH534">
        <v>1</v>
      </c>
      <c r="AI534">
        <v>1</v>
      </c>
      <c r="AJ534">
        <v>9</v>
      </c>
      <c r="AK534">
        <v>32</v>
      </c>
      <c r="AL534" t="s">
        <v>9032</v>
      </c>
      <c r="AM534" t="s">
        <v>9033</v>
      </c>
      <c r="AN534" t="s">
        <v>9034</v>
      </c>
      <c r="AO534" t="s">
        <v>9035</v>
      </c>
      <c r="AP534" t="s">
        <v>74</v>
      </c>
      <c r="AQ534" t="s">
        <v>74</v>
      </c>
      <c r="AR534" t="s">
        <v>9036</v>
      </c>
      <c r="AS534" t="s">
        <v>9037</v>
      </c>
      <c r="AT534" t="s">
        <v>74</v>
      </c>
      <c r="AU534">
        <v>2022</v>
      </c>
      <c r="AV534">
        <v>48</v>
      </c>
      <c r="AW534">
        <v>5</v>
      </c>
      <c r="AX534" t="s">
        <v>74</v>
      </c>
      <c r="AY534" t="s">
        <v>74</v>
      </c>
      <c r="AZ534" t="s">
        <v>74</v>
      </c>
      <c r="BA534" t="s">
        <v>74</v>
      </c>
      <c r="BB534">
        <v>436</v>
      </c>
      <c r="BC534">
        <v>448</v>
      </c>
      <c r="BD534" t="s">
        <v>74</v>
      </c>
      <c r="BE534" t="s">
        <v>10276</v>
      </c>
      <c r="BF534" t="str">
        <f>HYPERLINK("http://dx.doi.org/10.1578/AM.48.5.2022.436","http://dx.doi.org/10.1578/AM.48.5.2022.436")</f>
        <v>http://dx.doi.org/10.1578/AM.48.5.2022.436</v>
      </c>
      <c r="BG534" t="s">
        <v>74</v>
      </c>
      <c r="BH534" t="s">
        <v>74</v>
      </c>
      <c r="BI534">
        <v>13</v>
      </c>
      <c r="BJ534" t="s">
        <v>9039</v>
      </c>
      <c r="BK534" t="s">
        <v>103</v>
      </c>
      <c r="BL534" t="s">
        <v>9039</v>
      </c>
      <c r="BM534" t="s">
        <v>10277</v>
      </c>
      <c r="BN534" t="s">
        <v>74</v>
      </c>
      <c r="BO534" t="s">
        <v>74</v>
      </c>
      <c r="BP534" t="s">
        <v>74</v>
      </c>
      <c r="BQ534" t="s">
        <v>74</v>
      </c>
      <c r="BR534" t="s">
        <v>106</v>
      </c>
      <c r="BS534" t="s">
        <v>10278</v>
      </c>
      <c r="BT534" t="str">
        <f>HYPERLINK("https%3A%2F%2Fwww.webofscience.com%2Fwos%2Fwoscc%2Ffull-record%2FWOS:000860537300005","View Full Record in Web of Science")</f>
        <v>View Full Record in Web of Science</v>
      </c>
    </row>
    <row r="535" spans="1:72" x14ac:dyDescent="0.15">
      <c r="A535" t="s">
        <v>7844</v>
      </c>
      <c r="B535" t="s">
        <v>10279</v>
      </c>
      <c r="C535" t="s">
        <v>74</v>
      </c>
      <c r="D535" t="s">
        <v>10280</v>
      </c>
      <c r="E535" t="s">
        <v>74</v>
      </c>
      <c r="F535" t="s">
        <v>10281</v>
      </c>
      <c r="G535" t="s">
        <v>74</v>
      </c>
      <c r="H535" t="s">
        <v>74</v>
      </c>
      <c r="I535" t="s">
        <v>10282</v>
      </c>
      <c r="J535" t="s">
        <v>10283</v>
      </c>
      <c r="K535" t="s">
        <v>10033</v>
      </c>
      <c r="L535" t="s">
        <v>74</v>
      </c>
      <c r="M535" t="s">
        <v>78</v>
      </c>
      <c r="N535" t="s">
        <v>7851</v>
      </c>
      <c r="O535" t="s">
        <v>10284</v>
      </c>
      <c r="P535" t="s">
        <v>8617</v>
      </c>
      <c r="Q535" t="s">
        <v>10035</v>
      </c>
      <c r="R535" t="s">
        <v>74</v>
      </c>
      <c r="S535" t="s">
        <v>74</v>
      </c>
      <c r="T535" t="s">
        <v>10285</v>
      </c>
      <c r="U535" t="s">
        <v>74</v>
      </c>
      <c r="V535" t="s">
        <v>10286</v>
      </c>
      <c r="W535" t="s">
        <v>10287</v>
      </c>
      <c r="X535" t="s">
        <v>10288</v>
      </c>
      <c r="Y535" t="s">
        <v>10289</v>
      </c>
      <c r="Z535" t="s">
        <v>10290</v>
      </c>
      <c r="AA535" t="s">
        <v>10291</v>
      </c>
      <c r="AB535" t="s">
        <v>10292</v>
      </c>
      <c r="AC535" t="s">
        <v>10293</v>
      </c>
      <c r="AD535" t="s">
        <v>10294</v>
      </c>
      <c r="AE535" t="s">
        <v>10295</v>
      </c>
      <c r="AF535" t="s">
        <v>74</v>
      </c>
      <c r="AG535">
        <v>44</v>
      </c>
      <c r="AH535">
        <v>3</v>
      </c>
      <c r="AI535">
        <v>3</v>
      </c>
      <c r="AJ535">
        <v>0</v>
      </c>
      <c r="AK535">
        <v>0</v>
      </c>
      <c r="AL535" t="s">
        <v>10048</v>
      </c>
      <c r="AM535" t="s">
        <v>10049</v>
      </c>
      <c r="AN535" t="s">
        <v>10050</v>
      </c>
      <c r="AO535" t="s">
        <v>10051</v>
      </c>
      <c r="AP535" t="s">
        <v>10052</v>
      </c>
      <c r="AQ535" t="s">
        <v>10296</v>
      </c>
      <c r="AR535" t="s">
        <v>10054</v>
      </c>
      <c r="AS535" t="s">
        <v>74</v>
      </c>
      <c r="AT535" t="s">
        <v>74</v>
      </c>
      <c r="AU535">
        <v>2022</v>
      </c>
      <c r="AV535">
        <v>12186</v>
      </c>
      <c r="AW535" t="s">
        <v>74</v>
      </c>
      <c r="AX535" t="s">
        <v>74</v>
      </c>
      <c r="AY535" t="s">
        <v>74</v>
      </c>
      <c r="AZ535" t="s">
        <v>74</v>
      </c>
      <c r="BA535" t="s">
        <v>74</v>
      </c>
      <c r="BB535" t="s">
        <v>74</v>
      </c>
      <c r="BC535" t="s">
        <v>74</v>
      </c>
      <c r="BD535" t="s">
        <v>10297</v>
      </c>
      <c r="BE535" t="s">
        <v>10298</v>
      </c>
      <c r="BF535" t="str">
        <f>HYPERLINK("http://dx.doi.org/10.1117/12.2629920","http://dx.doi.org/10.1117/12.2629920")</f>
        <v>http://dx.doi.org/10.1117/12.2629920</v>
      </c>
      <c r="BG535" t="s">
        <v>74</v>
      </c>
      <c r="BH535" t="s">
        <v>74</v>
      </c>
      <c r="BI535">
        <v>20</v>
      </c>
      <c r="BJ535" t="s">
        <v>10299</v>
      </c>
      <c r="BK535" t="s">
        <v>7868</v>
      </c>
      <c r="BL535" t="s">
        <v>10300</v>
      </c>
      <c r="BM535" t="s">
        <v>10301</v>
      </c>
      <c r="BN535" t="s">
        <v>74</v>
      </c>
      <c r="BO535" t="s">
        <v>796</v>
      </c>
      <c r="BP535" t="s">
        <v>74</v>
      </c>
      <c r="BQ535" t="s">
        <v>74</v>
      </c>
      <c r="BR535" t="s">
        <v>106</v>
      </c>
      <c r="BS535" t="s">
        <v>10302</v>
      </c>
      <c r="BT535" t="str">
        <f>HYPERLINK("https%3A%2F%2Fwww.webofscience.com%2Fwos%2Fwoscc%2Ffull-record%2FWOS:000865467900039","View Full Record in Web of Science")</f>
        <v>View Full Record in Web of Science</v>
      </c>
    </row>
    <row r="536" spans="1:72" x14ac:dyDescent="0.15">
      <c r="A536" t="s">
        <v>7844</v>
      </c>
      <c r="B536" t="s">
        <v>10303</v>
      </c>
      <c r="C536" t="s">
        <v>74</v>
      </c>
      <c r="D536" t="s">
        <v>10304</v>
      </c>
      <c r="E536" t="s">
        <v>74</v>
      </c>
      <c r="F536" t="s">
        <v>10305</v>
      </c>
      <c r="G536" t="s">
        <v>74</v>
      </c>
      <c r="H536" t="s">
        <v>74</v>
      </c>
      <c r="I536" t="s">
        <v>10306</v>
      </c>
      <c r="J536" t="s">
        <v>10307</v>
      </c>
      <c r="K536" t="s">
        <v>10308</v>
      </c>
      <c r="L536" t="s">
        <v>74</v>
      </c>
      <c r="M536" t="s">
        <v>78</v>
      </c>
      <c r="N536" t="s">
        <v>7851</v>
      </c>
      <c r="O536" t="s">
        <v>10220</v>
      </c>
      <c r="P536" t="s">
        <v>10221</v>
      </c>
      <c r="Q536" t="s">
        <v>10222</v>
      </c>
      <c r="R536" t="s">
        <v>74</v>
      </c>
      <c r="S536" t="s">
        <v>74</v>
      </c>
      <c r="T536" t="s">
        <v>10309</v>
      </c>
      <c r="U536" t="s">
        <v>8057</v>
      </c>
      <c r="V536" t="s">
        <v>10310</v>
      </c>
      <c r="W536" t="s">
        <v>10311</v>
      </c>
      <c r="X536" t="s">
        <v>10312</v>
      </c>
      <c r="Y536" t="s">
        <v>10313</v>
      </c>
      <c r="Z536" t="s">
        <v>10314</v>
      </c>
      <c r="AA536" t="s">
        <v>10315</v>
      </c>
      <c r="AB536" t="s">
        <v>10316</v>
      </c>
      <c r="AC536" t="s">
        <v>10317</v>
      </c>
      <c r="AD536" t="s">
        <v>10318</v>
      </c>
      <c r="AE536" t="s">
        <v>10319</v>
      </c>
      <c r="AF536" t="s">
        <v>74</v>
      </c>
      <c r="AG536">
        <v>28</v>
      </c>
      <c r="AH536">
        <v>2</v>
      </c>
      <c r="AI536">
        <v>2</v>
      </c>
      <c r="AJ536">
        <v>2</v>
      </c>
      <c r="AK536">
        <v>2</v>
      </c>
      <c r="AL536" t="s">
        <v>120</v>
      </c>
      <c r="AM536" t="s">
        <v>121</v>
      </c>
      <c r="AN536" t="s">
        <v>10233</v>
      </c>
      <c r="AO536" t="s">
        <v>10320</v>
      </c>
      <c r="AP536" t="s">
        <v>10321</v>
      </c>
      <c r="AQ536" t="s">
        <v>74</v>
      </c>
      <c r="AR536" t="s">
        <v>10322</v>
      </c>
      <c r="AS536" t="s">
        <v>74</v>
      </c>
      <c r="AT536" t="s">
        <v>74</v>
      </c>
      <c r="AU536">
        <v>2022</v>
      </c>
      <c r="AV536" t="s">
        <v>10323</v>
      </c>
      <c r="AW536" t="s">
        <v>74</v>
      </c>
      <c r="AX536" t="s">
        <v>74</v>
      </c>
      <c r="AY536" t="s">
        <v>74</v>
      </c>
      <c r="AZ536" t="s">
        <v>74</v>
      </c>
      <c r="BA536" t="s">
        <v>74</v>
      </c>
      <c r="BB536">
        <v>935</v>
      </c>
      <c r="BC536">
        <v>943</v>
      </c>
      <c r="BD536" t="s">
        <v>74</v>
      </c>
      <c r="BE536" t="s">
        <v>10324</v>
      </c>
      <c r="BF536" t="str">
        <f>HYPERLINK("http://dx.doi.org/10.5194/isprs-archives-XLIII-B2-2022-935-2022","http://dx.doi.org/10.5194/isprs-archives-XLIII-B2-2022-935-2022")</f>
        <v>http://dx.doi.org/10.5194/isprs-archives-XLIII-B2-2022-935-2022</v>
      </c>
      <c r="BG536" t="s">
        <v>74</v>
      </c>
      <c r="BH536" t="s">
        <v>74</v>
      </c>
      <c r="BI536">
        <v>9</v>
      </c>
      <c r="BJ536" t="s">
        <v>10239</v>
      </c>
      <c r="BK536" t="s">
        <v>7868</v>
      </c>
      <c r="BL536" t="s">
        <v>10240</v>
      </c>
      <c r="BM536" t="s">
        <v>10325</v>
      </c>
      <c r="BN536" t="s">
        <v>74</v>
      </c>
      <c r="BO536" t="s">
        <v>154</v>
      </c>
      <c r="BP536" t="s">
        <v>74</v>
      </c>
      <c r="BQ536" t="s">
        <v>74</v>
      </c>
      <c r="BR536" t="s">
        <v>106</v>
      </c>
      <c r="BS536" t="s">
        <v>10326</v>
      </c>
      <c r="BT536" t="str">
        <f>HYPERLINK("https%3A%2F%2Fwww.webofscience.com%2Fwos%2Fwoscc%2Ffull-record%2FWOS:000855635300126","View Full Record in Web of Science")</f>
        <v>View Full Record in Web of Science</v>
      </c>
    </row>
    <row r="537" spans="1:72" x14ac:dyDescent="0.15">
      <c r="A537" t="s">
        <v>72</v>
      </c>
      <c r="B537" t="s">
        <v>10327</v>
      </c>
      <c r="C537" t="s">
        <v>74</v>
      </c>
      <c r="D537" t="s">
        <v>74</v>
      </c>
      <c r="E537" t="s">
        <v>74</v>
      </c>
      <c r="F537" t="s">
        <v>10328</v>
      </c>
      <c r="G537" t="s">
        <v>74</v>
      </c>
      <c r="H537" t="s">
        <v>74</v>
      </c>
      <c r="I537" t="s">
        <v>10329</v>
      </c>
      <c r="J537" t="s">
        <v>10330</v>
      </c>
      <c r="K537" t="s">
        <v>74</v>
      </c>
      <c r="L537" t="s">
        <v>74</v>
      </c>
      <c r="M537" t="s">
        <v>78</v>
      </c>
      <c r="N537" t="s">
        <v>79</v>
      </c>
      <c r="O537" t="s">
        <v>74</v>
      </c>
      <c r="P537" t="s">
        <v>74</v>
      </c>
      <c r="Q537" t="s">
        <v>74</v>
      </c>
      <c r="R537" t="s">
        <v>74</v>
      </c>
      <c r="S537" t="s">
        <v>74</v>
      </c>
      <c r="T537" t="s">
        <v>10331</v>
      </c>
      <c r="U537" t="s">
        <v>74</v>
      </c>
      <c r="V537" t="s">
        <v>10332</v>
      </c>
      <c r="W537" t="s">
        <v>10333</v>
      </c>
      <c r="X537" t="s">
        <v>10334</v>
      </c>
      <c r="Y537" t="s">
        <v>10335</v>
      </c>
      <c r="Z537" t="s">
        <v>10336</v>
      </c>
      <c r="AA537" t="s">
        <v>9664</v>
      </c>
      <c r="AB537" t="s">
        <v>10337</v>
      </c>
      <c r="AC537" t="s">
        <v>74</v>
      </c>
      <c r="AD537" t="s">
        <v>74</v>
      </c>
      <c r="AE537" t="s">
        <v>74</v>
      </c>
      <c r="AF537" t="s">
        <v>74</v>
      </c>
      <c r="AG537">
        <v>10</v>
      </c>
      <c r="AH537">
        <v>0</v>
      </c>
      <c r="AI537">
        <v>0</v>
      </c>
      <c r="AJ537">
        <v>0</v>
      </c>
      <c r="AK537">
        <v>1</v>
      </c>
      <c r="AL537" t="s">
        <v>10338</v>
      </c>
      <c r="AM537" t="s">
        <v>9667</v>
      </c>
      <c r="AN537" t="s">
        <v>10339</v>
      </c>
      <c r="AO537" t="s">
        <v>10340</v>
      </c>
      <c r="AP537" t="s">
        <v>10341</v>
      </c>
      <c r="AQ537" t="s">
        <v>74</v>
      </c>
      <c r="AR537" t="s">
        <v>10342</v>
      </c>
      <c r="AS537" t="s">
        <v>10343</v>
      </c>
      <c r="AT537" t="s">
        <v>74</v>
      </c>
      <c r="AU537">
        <v>2022</v>
      </c>
      <c r="AV537">
        <v>44</v>
      </c>
      <c r="AW537">
        <v>3</v>
      </c>
      <c r="AX537" t="s">
        <v>74</v>
      </c>
      <c r="AY537" t="s">
        <v>74</v>
      </c>
      <c r="AZ537" t="s">
        <v>74</v>
      </c>
      <c r="BA537" t="s">
        <v>74</v>
      </c>
      <c r="BB537">
        <v>67</v>
      </c>
      <c r="BC537">
        <v>82</v>
      </c>
      <c r="BD537" t="s">
        <v>74</v>
      </c>
      <c r="BE537" t="s">
        <v>10344</v>
      </c>
      <c r="BF537" t="str">
        <f>HYPERLINK("http://dx.doi.org/10.15407/mineraljournal.44.03.067","http://dx.doi.org/10.15407/mineraljournal.44.03.067")</f>
        <v>http://dx.doi.org/10.15407/mineraljournal.44.03.067</v>
      </c>
      <c r="BG537" t="s">
        <v>74</v>
      </c>
      <c r="BH537" t="s">
        <v>74</v>
      </c>
      <c r="BI537">
        <v>16</v>
      </c>
      <c r="BJ537" t="s">
        <v>10345</v>
      </c>
      <c r="BK537" t="s">
        <v>724</v>
      </c>
      <c r="BL537" t="s">
        <v>10345</v>
      </c>
      <c r="BM537" t="s">
        <v>10346</v>
      </c>
      <c r="BN537" t="s">
        <v>74</v>
      </c>
      <c r="BO537" t="s">
        <v>74</v>
      </c>
      <c r="BP537" t="s">
        <v>74</v>
      </c>
      <c r="BQ537" t="s">
        <v>74</v>
      </c>
      <c r="BR537" t="s">
        <v>106</v>
      </c>
      <c r="BS537" t="s">
        <v>10347</v>
      </c>
      <c r="BT537" t="str">
        <f>HYPERLINK("https%3A%2F%2Fwww.webofscience.com%2Fwos%2Fwoscc%2Ffull-record%2FWOS:000869914900001","View Full Record in Web of Science")</f>
        <v>View Full Record in Web of Science</v>
      </c>
    </row>
    <row r="538" spans="1:72" x14ac:dyDescent="0.15">
      <c r="A538" t="s">
        <v>7844</v>
      </c>
      <c r="B538" t="s">
        <v>10348</v>
      </c>
      <c r="C538" t="s">
        <v>74</v>
      </c>
      <c r="D538" t="s">
        <v>74</v>
      </c>
      <c r="E538" t="s">
        <v>8395</v>
      </c>
      <c r="F538" t="s">
        <v>10349</v>
      </c>
      <c r="G538" t="s">
        <v>74</v>
      </c>
      <c r="H538" t="s">
        <v>74</v>
      </c>
      <c r="I538" t="s">
        <v>10350</v>
      </c>
      <c r="J538" t="s">
        <v>10351</v>
      </c>
      <c r="K538" t="s">
        <v>10352</v>
      </c>
      <c r="L538" t="s">
        <v>74</v>
      </c>
      <c r="M538" t="s">
        <v>78</v>
      </c>
      <c r="N538" t="s">
        <v>7851</v>
      </c>
      <c r="O538" t="s">
        <v>10353</v>
      </c>
      <c r="P538" t="s">
        <v>10354</v>
      </c>
      <c r="Q538" t="s">
        <v>10355</v>
      </c>
      <c r="R538" t="s">
        <v>74</v>
      </c>
      <c r="S538" t="s">
        <v>74</v>
      </c>
      <c r="T538" t="s">
        <v>10356</v>
      </c>
      <c r="U538" t="s">
        <v>74</v>
      </c>
      <c r="V538" t="s">
        <v>10357</v>
      </c>
      <c r="W538" t="s">
        <v>10358</v>
      </c>
      <c r="X538" t="s">
        <v>10359</v>
      </c>
      <c r="Y538" t="s">
        <v>10360</v>
      </c>
      <c r="Z538" t="s">
        <v>10361</v>
      </c>
      <c r="AA538" t="s">
        <v>10362</v>
      </c>
      <c r="AB538" t="s">
        <v>74</v>
      </c>
      <c r="AC538" t="s">
        <v>10363</v>
      </c>
      <c r="AD538" t="s">
        <v>10364</v>
      </c>
      <c r="AE538" t="s">
        <v>10365</v>
      </c>
      <c r="AF538" t="s">
        <v>74</v>
      </c>
      <c r="AG538">
        <v>15</v>
      </c>
      <c r="AH538">
        <v>0</v>
      </c>
      <c r="AI538">
        <v>0</v>
      </c>
      <c r="AJ538">
        <v>1</v>
      </c>
      <c r="AK538">
        <v>1</v>
      </c>
      <c r="AL538" t="s">
        <v>8395</v>
      </c>
      <c r="AM538" t="s">
        <v>506</v>
      </c>
      <c r="AN538" t="s">
        <v>8396</v>
      </c>
      <c r="AO538" t="s">
        <v>10366</v>
      </c>
      <c r="AP538" t="s">
        <v>10367</v>
      </c>
      <c r="AQ538" t="s">
        <v>10368</v>
      </c>
      <c r="AR538" t="s">
        <v>10369</v>
      </c>
      <c r="AS538" t="s">
        <v>74</v>
      </c>
      <c r="AT538" t="s">
        <v>74</v>
      </c>
      <c r="AU538">
        <v>2022</v>
      </c>
      <c r="AV538" t="s">
        <v>74</v>
      </c>
      <c r="AW538" t="s">
        <v>74</v>
      </c>
      <c r="AX538" t="s">
        <v>74</v>
      </c>
      <c r="AY538" t="s">
        <v>74</v>
      </c>
      <c r="AZ538" t="s">
        <v>74</v>
      </c>
      <c r="BA538" t="s">
        <v>74</v>
      </c>
      <c r="BB538">
        <v>218</v>
      </c>
      <c r="BC538">
        <v>221</v>
      </c>
      <c r="BD538" t="s">
        <v>74</v>
      </c>
      <c r="BE538" t="s">
        <v>10370</v>
      </c>
      <c r="BF538" t="str">
        <f>HYPERLINK("http://dx.doi.org/10.1109/IMS37962.2022.9865374","http://dx.doi.org/10.1109/IMS37962.2022.9865374")</f>
        <v>http://dx.doi.org/10.1109/IMS37962.2022.9865374</v>
      </c>
      <c r="BG538" t="s">
        <v>74</v>
      </c>
      <c r="BH538" t="s">
        <v>74</v>
      </c>
      <c r="BI538">
        <v>4</v>
      </c>
      <c r="BJ538" t="s">
        <v>10371</v>
      </c>
      <c r="BK538" t="s">
        <v>7868</v>
      </c>
      <c r="BL538" t="s">
        <v>10372</v>
      </c>
      <c r="BM538" t="s">
        <v>10373</v>
      </c>
      <c r="BN538" t="s">
        <v>74</v>
      </c>
      <c r="BO538" t="s">
        <v>796</v>
      </c>
      <c r="BP538" t="s">
        <v>74</v>
      </c>
      <c r="BQ538" t="s">
        <v>74</v>
      </c>
      <c r="BR538" t="s">
        <v>106</v>
      </c>
      <c r="BS538" t="s">
        <v>10374</v>
      </c>
      <c r="BT538" t="str">
        <f>HYPERLINK("https%3A%2F%2Fwww.webofscience.com%2Fwos%2Fwoscc%2Ffull-record%2FWOS:000862782300057","View Full Record in Web of Science")</f>
        <v>View Full Record in Web of Science</v>
      </c>
    </row>
    <row r="539" spans="1:72" x14ac:dyDescent="0.15">
      <c r="A539" t="s">
        <v>72</v>
      </c>
      <c r="B539" t="s">
        <v>10375</v>
      </c>
      <c r="C539" t="s">
        <v>74</v>
      </c>
      <c r="D539" t="s">
        <v>74</v>
      </c>
      <c r="E539" t="s">
        <v>74</v>
      </c>
      <c r="F539" t="s">
        <v>10376</v>
      </c>
      <c r="G539" t="s">
        <v>74</v>
      </c>
      <c r="H539" t="s">
        <v>74</v>
      </c>
      <c r="I539" t="s">
        <v>10377</v>
      </c>
      <c r="J539" t="s">
        <v>9196</v>
      </c>
      <c r="K539" t="s">
        <v>74</v>
      </c>
      <c r="L539" t="s">
        <v>74</v>
      </c>
      <c r="M539" t="s">
        <v>78</v>
      </c>
      <c r="N539" t="s">
        <v>79</v>
      </c>
      <c r="O539" t="s">
        <v>74</v>
      </c>
      <c r="P539" t="s">
        <v>74</v>
      </c>
      <c r="Q539" t="s">
        <v>74</v>
      </c>
      <c r="R539" t="s">
        <v>74</v>
      </c>
      <c r="S539" t="s">
        <v>74</v>
      </c>
      <c r="T539" t="s">
        <v>10378</v>
      </c>
      <c r="U539" t="s">
        <v>10379</v>
      </c>
      <c r="V539" t="s">
        <v>10380</v>
      </c>
      <c r="W539" t="s">
        <v>10381</v>
      </c>
      <c r="X539" t="s">
        <v>10382</v>
      </c>
      <c r="Y539" t="s">
        <v>10383</v>
      </c>
      <c r="Z539" t="s">
        <v>10384</v>
      </c>
      <c r="AA539" t="s">
        <v>10385</v>
      </c>
      <c r="AB539" t="s">
        <v>10386</v>
      </c>
      <c r="AC539" t="s">
        <v>10387</v>
      </c>
      <c r="AD539" t="s">
        <v>10388</v>
      </c>
      <c r="AE539" t="s">
        <v>10389</v>
      </c>
      <c r="AF539" t="s">
        <v>74</v>
      </c>
      <c r="AG539">
        <v>58</v>
      </c>
      <c r="AH539">
        <v>5</v>
      </c>
      <c r="AI539">
        <v>5</v>
      </c>
      <c r="AJ539">
        <v>4</v>
      </c>
      <c r="AK539">
        <v>9</v>
      </c>
      <c r="AL539" t="s">
        <v>1667</v>
      </c>
      <c r="AM539" t="s">
        <v>1668</v>
      </c>
      <c r="AN539" t="s">
        <v>1669</v>
      </c>
      <c r="AO539" t="s">
        <v>9209</v>
      </c>
      <c r="AP539" t="s">
        <v>9210</v>
      </c>
      <c r="AQ539" t="s">
        <v>74</v>
      </c>
      <c r="AR539" t="s">
        <v>9211</v>
      </c>
      <c r="AS539" t="s">
        <v>9212</v>
      </c>
      <c r="AT539" t="s">
        <v>74</v>
      </c>
      <c r="AU539">
        <v>2022</v>
      </c>
      <c r="AV539">
        <v>60</v>
      </c>
      <c r="AW539" t="s">
        <v>74</v>
      </c>
      <c r="AX539" t="s">
        <v>74</v>
      </c>
      <c r="AY539" t="s">
        <v>74</v>
      </c>
      <c r="AZ539" t="s">
        <v>74</v>
      </c>
      <c r="BA539" t="s">
        <v>74</v>
      </c>
      <c r="BB539" t="s">
        <v>74</v>
      </c>
      <c r="BC539" t="s">
        <v>74</v>
      </c>
      <c r="BD539">
        <v>4306112</v>
      </c>
      <c r="BE539" t="s">
        <v>10390</v>
      </c>
      <c r="BF539" t="str">
        <f>HYPERLINK("http://dx.doi.org/10.1109/TGRS.2022.3208454","http://dx.doi.org/10.1109/TGRS.2022.3208454")</f>
        <v>http://dx.doi.org/10.1109/TGRS.2022.3208454</v>
      </c>
      <c r="BG539" t="s">
        <v>74</v>
      </c>
      <c r="BH539" t="s">
        <v>74</v>
      </c>
      <c r="BI539">
        <v>12</v>
      </c>
      <c r="BJ539" t="s">
        <v>9214</v>
      </c>
      <c r="BK539" t="s">
        <v>103</v>
      </c>
      <c r="BL539" t="s">
        <v>9215</v>
      </c>
      <c r="BM539" t="s">
        <v>10391</v>
      </c>
      <c r="BN539" t="s">
        <v>74</v>
      </c>
      <c r="BO539" t="s">
        <v>74</v>
      </c>
      <c r="BP539" t="s">
        <v>74</v>
      </c>
      <c r="BQ539" t="s">
        <v>74</v>
      </c>
      <c r="BR539" t="s">
        <v>106</v>
      </c>
      <c r="BS539" t="s">
        <v>10392</v>
      </c>
      <c r="BT539" t="str">
        <f>HYPERLINK("https%3A%2F%2Fwww.webofscience.com%2Fwos%2Fwoscc%2Ffull-record%2FWOS:000865095100011","View Full Record in Web of Science")</f>
        <v>View Full Record in Web of Science</v>
      </c>
    </row>
    <row r="540" spans="1:72" x14ac:dyDescent="0.15">
      <c r="A540" t="s">
        <v>7844</v>
      </c>
      <c r="B540" t="s">
        <v>10393</v>
      </c>
      <c r="C540" t="s">
        <v>74</v>
      </c>
      <c r="D540" t="s">
        <v>74</v>
      </c>
      <c r="E540" t="s">
        <v>8395</v>
      </c>
      <c r="F540" t="s">
        <v>10394</v>
      </c>
      <c r="G540" t="s">
        <v>74</v>
      </c>
      <c r="H540" t="s">
        <v>74</v>
      </c>
      <c r="I540" t="s">
        <v>10395</v>
      </c>
      <c r="J540" t="s">
        <v>10396</v>
      </c>
      <c r="K540" t="s">
        <v>10397</v>
      </c>
      <c r="L540" t="s">
        <v>74</v>
      </c>
      <c r="M540" t="s">
        <v>78</v>
      </c>
      <c r="N540" t="s">
        <v>7851</v>
      </c>
      <c r="O540" t="s">
        <v>10398</v>
      </c>
      <c r="P540" t="s">
        <v>10399</v>
      </c>
      <c r="Q540" t="s">
        <v>10400</v>
      </c>
      <c r="R540" t="s">
        <v>74</v>
      </c>
      <c r="S540" t="s">
        <v>74</v>
      </c>
      <c r="T540" t="s">
        <v>74</v>
      </c>
      <c r="U540" t="s">
        <v>74</v>
      </c>
      <c r="V540" t="s">
        <v>10401</v>
      </c>
      <c r="W540" t="s">
        <v>10402</v>
      </c>
      <c r="X540" t="s">
        <v>74</v>
      </c>
      <c r="Y540" t="s">
        <v>10403</v>
      </c>
      <c r="Z540" t="s">
        <v>10404</v>
      </c>
      <c r="AA540" t="s">
        <v>74</v>
      </c>
      <c r="AB540" t="s">
        <v>74</v>
      </c>
      <c r="AC540" t="s">
        <v>10405</v>
      </c>
      <c r="AD540" t="s">
        <v>10405</v>
      </c>
      <c r="AE540" t="s">
        <v>10406</v>
      </c>
      <c r="AF540" t="s">
        <v>74</v>
      </c>
      <c r="AG540">
        <v>1</v>
      </c>
      <c r="AH540">
        <v>0</v>
      </c>
      <c r="AI540">
        <v>0</v>
      </c>
      <c r="AJ540">
        <v>0</v>
      </c>
      <c r="AK540">
        <v>2</v>
      </c>
      <c r="AL540" t="s">
        <v>8395</v>
      </c>
      <c r="AM540" t="s">
        <v>506</v>
      </c>
      <c r="AN540" t="s">
        <v>8396</v>
      </c>
      <c r="AO540" t="s">
        <v>10407</v>
      </c>
      <c r="AP540" t="s">
        <v>74</v>
      </c>
      <c r="AQ540" t="s">
        <v>10408</v>
      </c>
      <c r="AR540" t="s">
        <v>10409</v>
      </c>
      <c r="AS540" t="s">
        <v>74</v>
      </c>
      <c r="AT540" t="s">
        <v>74</v>
      </c>
      <c r="AU540">
        <v>2022</v>
      </c>
      <c r="AV540" t="s">
        <v>74</v>
      </c>
      <c r="AW540" t="s">
        <v>74</v>
      </c>
      <c r="AX540" t="s">
        <v>74</v>
      </c>
      <c r="AY540" t="s">
        <v>74</v>
      </c>
      <c r="AZ540" t="s">
        <v>74</v>
      </c>
      <c r="BA540" t="s">
        <v>74</v>
      </c>
      <c r="BB540" t="s">
        <v>74</v>
      </c>
      <c r="BC540" t="s">
        <v>74</v>
      </c>
      <c r="BD540" t="s">
        <v>74</v>
      </c>
      <c r="BE540" t="s">
        <v>10410</v>
      </c>
      <c r="BF540" t="str">
        <f>HYPERLINK("http://dx.doi.org/10.1109/AERO53065.2022.9843294","http://dx.doi.org/10.1109/AERO53065.2022.9843294")</f>
        <v>http://dx.doi.org/10.1109/AERO53065.2022.9843294</v>
      </c>
      <c r="BG540" t="s">
        <v>74</v>
      </c>
      <c r="BH540" t="s">
        <v>74</v>
      </c>
      <c r="BI540">
        <v>14</v>
      </c>
      <c r="BJ540" t="s">
        <v>10411</v>
      </c>
      <c r="BK540" t="s">
        <v>7868</v>
      </c>
      <c r="BL540" t="s">
        <v>4397</v>
      </c>
      <c r="BM540" t="s">
        <v>10412</v>
      </c>
      <c r="BN540" t="s">
        <v>74</v>
      </c>
      <c r="BO540" t="s">
        <v>74</v>
      </c>
      <c r="BP540" t="s">
        <v>74</v>
      </c>
      <c r="BQ540" t="s">
        <v>74</v>
      </c>
      <c r="BR540" t="s">
        <v>106</v>
      </c>
      <c r="BS540" t="s">
        <v>10413</v>
      </c>
      <c r="BT540" t="str">
        <f>HYPERLINK("https%3A%2F%2Fwww.webofscience.com%2Fwos%2Fwoscc%2Ffull-record%2FWOS:000855669500081","View Full Record in Web of Science")</f>
        <v>View Full Record in Web of Science</v>
      </c>
    </row>
    <row r="541" spans="1:72" x14ac:dyDescent="0.15">
      <c r="A541" t="s">
        <v>72</v>
      </c>
      <c r="B541" t="s">
        <v>10414</v>
      </c>
      <c r="C541" t="s">
        <v>74</v>
      </c>
      <c r="D541" t="s">
        <v>74</v>
      </c>
      <c r="E541" t="s">
        <v>74</v>
      </c>
      <c r="F541" t="s">
        <v>10415</v>
      </c>
      <c r="G541" t="s">
        <v>74</v>
      </c>
      <c r="H541" t="s">
        <v>74</v>
      </c>
      <c r="I541" t="s">
        <v>10416</v>
      </c>
      <c r="J541" t="s">
        <v>8930</v>
      </c>
      <c r="K541" t="s">
        <v>74</v>
      </c>
      <c r="L541" t="s">
        <v>74</v>
      </c>
      <c r="M541" t="s">
        <v>78</v>
      </c>
      <c r="N541" t="s">
        <v>79</v>
      </c>
      <c r="O541" t="s">
        <v>74</v>
      </c>
      <c r="P541" t="s">
        <v>74</v>
      </c>
      <c r="Q541" t="s">
        <v>74</v>
      </c>
      <c r="R541" t="s">
        <v>74</v>
      </c>
      <c r="S541" t="s">
        <v>74</v>
      </c>
      <c r="T541" t="s">
        <v>10417</v>
      </c>
      <c r="U541" t="s">
        <v>10418</v>
      </c>
      <c r="V541" t="s">
        <v>10419</v>
      </c>
      <c r="W541" t="s">
        <v>10420</v>
      </c>
      <c r="X541" t="s">
        <v>10421</v>
      </c>
      <c r="Y541" t="s">
        <v>10422</v>
      </c>
      <c r="Z541" t="s">
        <v>10423</v>
      </c>
      <c r="AA541" t="s">
        <v>10424</v>
      </c>
      <c r="AB541" t="s">
        <v>10425</v>
      </c>
      <c r="AC541" t="s">
        <v>74</v>
      </c>
      <c r="AD541" t="s">
        <v>74</v>
      </c>
      <c r="AE541" t="s">
        <v>74</v>
      </c>
      <c r="AF541" t="s">
        <v>74</v>
      </c>
      <c r="AG541">
        <v>40</v>
      </c>
      <c r="AH541">
        <v>0</v>
      </c>
      <c r="AI541">
        <v>0</v>
      </c>
      <c r="AJ541">
        <v>2</v>
      </c>
      <c r="AK541">
        <v>8</v>
      </c>
      <c r="AL541" t="s">
        <v>8943</v>
      </c>
      <c r="AM541" t="s">
        <v>8944</v>
      </c>
      <c r="AN541" t="s">
        <v>8945</v>
      </c>
      <c r="AO541" t="s">
        <v>8946</v>
      </c>
      <c r="AP541" t="s">
        <v>8947</v>
      </c>
      <c r="AQ541" t="s">
        <v>74</v>
      </c>
      <c r="AR541" t="s">
        <v>8948</v>
      </c>
      <c r="AS541" t="s">
        <v>8949</v>
      </c>
      <c r="AT541" t="s">
        <v>74</v>
      </c>
      <c r="AU541">
        <v>2022</v>
      </c>
      <c r="AV541">
        <v>12</v>
      </c>
      <c r="AW541">
        <v>1</v>
      </c>
      <c r="AX541" t="s">
        <v>74</v>
      </c>
      <c r="AY541" t="s">
        <v>74</v>
      </c>
      <c r="AZ541" t="s">
        <v>74</v>
      </c>
      <c r="BA541" t="s">
        <v>74</v>
      </c>
      <c r="BB541">
        <v>1</v>
      </c>
      <c r="BC541">
        <v>14</v>
      </c>
      <c r="BD541" t="s">
        <v>74</v>
      </c>
      <c r="BE541" t="s">
        <v>10426</v>
      </c>
      <c r="BF541" t="str">
        <f>HYPERLINK("http://dx.doi.org/10.5817/CPR2022-1-1","http://dx.doi.org/10.5817/CPR2022-1-1")</f>
        <v>http://dx.doi.org/10.5817/CPR2022-1-1</v>
      </c>
      <c r="BG541" t="s">
        <v>74</v>
      </c>
      <c r="BH541" t="s">
        <v>74</v>
      </c>
      <c r="BI541">
        <v>14</v>
      </c>
      <c r="BJ541" t="s">
        <v>416</v>
      </c>
      <c r="BK541" t="s">
        <v>724</v>
      </c>
      <c r="BL541" t="s">
        <v>417</v>
      </c>
      <c r="BM541" t="s">
        <v>10427</v>
      </c>
      <c r="BN541" t="s">
        <v>74</v>
      </c>
      <c r="BO541" t="s">
        <v>445</v>
      </c>
      <c r="BP541" t="s">
        <v>74</v>
      </c>
      <c r="BQ541" t="s">
        <v>74</v>
      </c>
      <c r="BR541" t="s">
        <v>106</v>
      </c>
      <c r="BS541" t="s">
        <v>10428</v>
      </c>
      <c r="BT541" t="str">
        <f>HYPERLINK("https%3A%2F%2Fwww.webofscience.com%2Fwos%2Fwoscc%2Ffull-record%2FWOS:000862170100001","View Full Record in Web of Science")</f>
        <v>View Full Record in Web of Science</v>
      </c>
    </row>
    <row r="542" spans="1:72" x14ac:dyDescent="0.15">
      <c r="A542" t="s">
        <v>72</v>
      </c>
      <c r="B542" t="s">
        <v>10429</v>
      </c>
      <c r="C542" t="s">
        <v>74</v>
      </c>
      <c r="D542" t="s">
        <v>74</v>
      </c>
      <c r="E542" t="s">
        <v>74</v>
      </c>
      <c r="F542" t="s">
        <v>10430</v>
      </c>
      <c r="G542" t="s">
        <v>74</v>
      </c>
      <c r="H542" t="s">
        <v>74</v>
      </c>
      <c r="I542" t="s">
        <v>10431</v>
      </c>
      <c r="J542" t="s">
        <v>8930</v>
      </c>
      <c r="K542" t="s">
        <v>74</v>
      </c>
      <c r="L542" t="s">
        <v>74</v>
      </c>
      <c r="M542" t="s">
        <v>78</v>
      </c>
      <c r="N542" t="s">
        <v>79</v>
      </c>
      <c r="O542" t="s">
        <v>74</v>
      </c>
      <c r="P542" t="s">
        <v>74</v>
      </c>
      <c r="Q542" t="s">
        <v>74</v>
      </c>
      <c r="R542" t="s">
        <v>74</v>
      </c>
      <c r="S542" t="s">
        <v>74</v>
      </c>
      <c r="T542" t="s">
        <v>10432</v>
      </c>
      <c r="U542" t="s">
        <v>10433</v>
      </c>
      <c r="V542" t="s">
        <v>10434</v>
      </c>
      <c r="W542" t="s">
        <v>10435</v>
      </c>
      <c r="X542" t="s">
        <v>10436</v>
      </c>
      <c r="Y542" t="s">
        <v>10437</v>
      </c>
      <c r="Z542" t="s">
        <v>10438</v>
      </c>
      <c r="AA542" t="s">
        <v>10439</v>
      </c>
      <c r="AB542" t="s">
        <v>10440</v>
      </c>
      <c r="AC542" t="s">
        <v>10441</v>
      </c>
      <c r="AD542" t="s">
        <v>10442</v>
      </c>
      <c r="AE542" t="s">
        <v>10443</v>
      </c>
      <c r="AF542" t="s">
        <v>74</v>
      </c>
      <c r="AG542">
        <v>41</v>
      </c>
      <c r="AH542">
        <v>1</v>
      </c>
      <c r="AI542">
        <v>1</v>
      </c>
      <c r="AJ542">
        <v>0</v>
      </c>
      <c r="AK542">
        <v>5</v>
      </c>
      <c r="AL542" t="s">
        <v>8943</v>
      </c>
      <c r="AM542" t="s">
        <v>8944</v>
      </c>
      <c r="AN542" t="s">
        <v>8945</v>
      </c>
      <c r="AO542" t="s">
        <v>8946</v>
      </c>
      <c r="AP542" t="s">
        <v>8947</v>
      </c>
      <c r="AQ542" t="s">
        <v>74</v>
      </c>
      <c r="AR542" t="s">
        <v>8948</v>
      </c>
      <c r="AS542" t="s">
        <v>8949</v>
      </c>
      <c r="AT542" t="s">
        <v>74</v>
      </c>
      <c r="AU542">
        <v>2022</v>
      </c>
      <c r="AV542">
        <v>12</v>
      </c>
      <c r="AW542">
        <v>1</v>
      </c>
      <c r="AX542" t="s">
        <v>74</v>
      </c>
      <c r="AY542" t="s">
        <v>74</v>
      </c>
      <c r="AZ542" t="s">
        <v>74</v>
      </c>
      <c r="BA542" t="s">
        <v>74</v>
      </c>
      <c r="BB542">
        <v>15</v>
      </c>
      <c r="BC542">
        <v>30</v>
      </c>
      <c r="BD542" t="s">
        <v>74</v>
      </c>
      <c r="BE542" t="s">
        <v>10444</v>
      </c>
      <c r="BF542" t="str">
        <f>HYPERLINK("http://dx.doi.org/10.5817/CPR2022-1-2","http://dx.doi.org/10.5817/CPR2022-1-2")</f>
        <v>http://dx.doi.org/10.5817/CPR2022-1-2</v>
      </c>
      <c r="BG542" t="s">
        <v>74</v>
      </c>
      <c r="BH542" t="s">
        <v>74</v>
      </c>
      <c r="BI542">
        <v>16</v>
      </c>
      <c r="BJ542" t="s">
        <v>416</v>
      </c>
      <c r="BK542" t="s">
        <v>724</v>
      </c>
      <c r="BL542" t="s">
        <v>417</v>
      </c>
      <c r="BM542" t="s">
        <v>10427</v>
      </c>
      <c r="BN542" t="s">
        <v>74</v>
      </c>
      <c r="BO542" t="s">
        <v>445</v>
      </c>
      <c r="BP542" t="s">
        <v>74</v>
      </c>
      <c r="BQ542" t="s">
        <v>74</v>
      </c>
      <c r="BR542" t="s">
        <v>106</v>
      </c>
      <c r="BS542" t="s">
        <v>10445</v>
      </c>
      <c r="BT542" t="str">
        <f>HYPERLINK("https%3A%2F%2Fwww.webofscience.com%2Fwos%2Fwoscc%2Ffull-record%2FWOS:000862170100002","View Full Record in Web of Science")</f>
        <v>View Full Record in Web of Science</v>
      </c>
    </row>
    <row r="543" spans="1:72" x14ac:dyDescent="0.15">
      <c r="A543" t="s">
        <v>72</v>
      </c>
      <c r="B543" t="s">
        <v>10446</v>
      </c>
      <c r="C543" t="s">
        <v>74</v>
      </c>
      <c r="D543" t="s">
        <v>74</v>
      </c>
      <c r="E543" t="s">
        <v>74</v>
      </c>
      <c r="F543" t="s">
        <v>10447</v>
      </c>
      <c r="G543" t="s">
        <v>74</v>
      </c>
      <c r="H543" t="s">
        <v>74</v>
      </c>
      <c r="I543" t="s">
        <v>10448</v>
      </c>
      <c r="J543" t="s">
        <v>8930</v>
      </c>
      <c r="K543" t="s">
        <v>74</v>
      </c>
      <c r="L543" t="s">
        <v>74</v>
      </c>
      <c r="M543" t="s">
        <v>78</v>
      </c>
      <c r="N543" t="s">
        <v>79</v>
      </c>
      <c r="O543" t="s">
        <v>74</v>
      </c>
      <c r="P543" t="s">
        <v>74</v>
      </c>
      <c r="Q543" t="s">
        <v>74</v>
      </c>
      <c r="R543" t="s">
        <v>74</v>
      </c>
      <c r="S543" t="s">
        <v>74</v>
      </c>
      <c r="T543" t="s">
        <v>10449</v>
      </c>
      <c r="U543" t="s">
        <v>10450</v>
      </c>
      <c r="V543" t="s">
        <v>10451</v>
      </c>
      <c r="W543" t="s">
        <v>10452</v>
      </c>
      <c r="X543" t="s">
        <v>10453</v>
      </c>
      <c r="Y543" t="s">
        <v>10454</v>
      </c>
      <c r="Z543" t="s">
        <v>10455</v>
      </c>
      <c r="AA543" t="s">
        <v>10456</v>
      </c>
      <c r="AB543" t="s">
        <v>10457</v>
      </c>
      <c r="AC543" t="s">
        <v>74</v>
      </c>
      <c r="AD543" t="s">
        <v>74</v>
      </c>
      <c r="AE543" t="s">
        <v>74</v>
      </c>
      <c r="AF543" t="s">
        <v>74</v>
      </c>
      <c r="AG543">
        <v>43</v>
      </c>
      <c r="AH543">
        <v>4</v>
      </c>
      <c r="AI543">
        <v>4</v>
      </c>
      <c r="AJ543">
        <v>3</v>
      </c>
      <c r="AK543">
        <v>7</v>
      </c>
      <c r="AL543" t="s">
        <v>8943</v>
      </c>
      <c r="AM543" t="s">
        <v>8944</v>
      </c>
      <c r="AN543" t="s">
        <v>8945</v>
      </c>
      <c r="AO543" t="s">
        <v>8946</v>
      </c>
      <c r="AP543" t="s">
        <v>8947</v>
      </c>
      <c r="AQ543" t="s">
        <v>74</v>
      </c>
      <c r="AR543" t="s">
        <v>8948</v>
      </c>
      <c r="AS543" t="s">
        <v>8949</v>
      </c>
      <c r="AT543" t="s">
        <v>74</v>
      </c>
      <c r="AU543">
        <v>2022</v>
      </c>
      <c r="AV543">
        <v>12</v>
      </c>
      <c r="AW543">
        <v>1</v>
      </c>
      <c r="AX543" t="s">
        <v>74</v>
      </c>
      <c r="AY543" t="s">
        <v>74</v>
      </c>
      <c r="AZ543" t="s">
        <v>74</v>
      </c>
      <c r="BA543" t="s">
        <v>74</v>
      </c>
      <c r="BB543">
        <v>31</v>
      </c>
      <c r="BC543">
        <v>43</v>
      </c>
      <c r="BD543" t="s">
        <v>74</v>
      </c>
      <c r="BE543" t="s">
        <v>10458</v>
      </c>
      <c r="BF543" t="str">
        <f>HYPERLINK("http://dx.doi.org/10.5817/CPR2022-1-3","http://dx.doi.org/10.5817/CPR2022-1-3")</f>
        <v>http://dx.doi.org/10.5817/CPR2022-1-3</v>
      </c>
      <c r="BG543" t="s">
        <v>74</v>
      </c>
      <c r="BH543" t="s">
        <v>74</v>
      </c>
      <c r="BI543">
        <v>13</v>
      </c>
      <c r="BJ543" t="s">
        <v>416</v>
      </c>
      <c r="BK543" t="s">
        <v>724</v>
      </c>
      <c r="BL543" t="s">
        <v>417</v>
      </c>
      <c r="BM543" t="s">
        <v>10427</v>
      </c>
      <c r="BN543" t="s">
        <v>74</v>
      </c>
      <c r="BO543" t="s">
        <v>445</v>
      </c>
      <c r="BP543" t="s">
        <v>74</v>
      </c>
      <c r="BQ543" t="s">
        <v>74</v>
      </c>
      <c r="BR543" t="s">
        <v>106</v>
      </c>
      <c r="BS543" t="s">
        <v>10459</v>
      </c>
      <c r="BT543" t="str">
        <f>HYPERLINK("https%3A%2F%2Fwww.webofscience.com%2Fwos%2Fwoscc%2Ffull-record%2FWOS:000862170100003","View Full Record in Web of Science")</f>
        <v>View Full Record in Web of Science</v>
      </c>
    </row>
    <row r="544" spans="1:72" x14ac:dyDescent="0.15">
      <c r="A544" t="s">
        <v>72</v>
      </c>
      <c r="B544" t="s">
        <v>10460</v>
      </c>
      <c r="C544" t="s">
        <v>74</v>
      </c>
      <c r="D544" t="s">
        <v>74</v>
      </c>
      <c r="E544" t="s">
        <v>74</v>
      </c>
      <c r="F544" t="s">
        <v>10461</v>
      </c>
      <c r="G544" t="s">
        <v>74</v>
      </c>
      <c r="H544" t="s">
        <v>74</v>
      </c>
      <c r="I544" t="s">
        <v>10462</v>
      </c>
      <c r="J544" t="s">
        <v>8930</v>
      </c>
      <c r="K544" t="s">
        <v>74</v>
      </c>
      <c r="L544" t="s">
        <v>74</v>
      </c>
      <c r="M544" t="s">
        <v>78</v>
      </c>
      <c r="N544" t="s">
        <v>79</v>
      </c>
      <c r="O544" t="s">
        <v>74</v>
      </c>
      <c r="P544" t="s">
        <v>74</v>
      </c>
      <c r="Q544" t="s">
        <v>74</v>
      </c>
      <c r="R544" t="s">
        <v>74</v>
      </c>
      <c r="S544" t="s">
        <v>74</v>
      </c>
      <c r="T544" t="s">
        <v>10463</v>
      </c>
      <c r="U544" t="s">
        <v>10464</v>
      </c>
      <c r="V544" t="s">
        <v>10465</v>
      </c>
      <c r="W544" t="s">
        <v>10466</v>
      </c>
      <c r="X544" t="s">
        <v>10467</v>
      </c>
      <c r="Y544" t="s">
        <v>10468</v>
      </c>
      <c r="Z544" t="s">
        <v>10469</v>
      </c>
      <c r="AA544" t="s">
        <v>10470</v>
      </c>
      <c r="AB544" t="s">
        <v>74</v>
      </c>
      <c r="AC544" t="s">
        <v>74</v>
      </c>
      <c r="AD544" t="s">
        <v>74</v>
      </c>
      <c r="AE544" t="s">
        <v>74</v>
      </c>
      <c r="AF544" t="s">
        <v>74</v>
      </c>
      <c r="AG544">
        <v>41</v>
      </c>
      <c r="AH544">
        <v>0</v>
      </c>
      <c r="AI544">
        <v>0</v>
      </c>
      <c r="AJ544">
        <v>1</v>
      </c>
      <c r="AK544">
        <v>2</v>
      </c>
      <c r="AL544" t="s">
        <v>8943</v>
      </c>
      <c r="AM544" t="s">
        <v>8944</v>
      </c>
      <c r="AN544" t="s">
        <v>8945</v>
      </c>
      <c r="AO544" t="s">
        <v>8946</v>
      </c>
      <c r="AP544" t="s">
        <v>8947</v>
      </c>
      <c r="AQ544" t="s">
        <v>74</v>
      </c>
      <c r="AR544" t="s">
        <v>8948</v>
      </c>
      <c r="AS544" t="s">
        <v>8949</v>
      </c>
      <c r="AT544" t="s">
        <v>74</v>
      </c>
      <c r="AU544">
        <v>2022</v>
      </c>
      <c r="AV544">
        <v>12</v>
      </c>
      <c r="AW544">
        <v>1</v>
      </c>
      <c r="AX544" t="s">
        <v>74</v>
      </c>
      <c r="AY544" t="s">
        <v>74</v>
      </c>
      <c r="AZ544" t="s">
        <v>74</v>
      </c>
      <c r="BA544" t="s">
        <v>74</v>
      </c>
      <c r="BB544">
        <v>44</v>
      </c>
      <c r="BC544">
        <v>59</v>
      </c>
      <c r="BD544" t="s">
        <v>74</v>
      </c>
      <c r="BE544" t="s">
        <v>10471</v>
      </c>
      <c r="BF544" t="str">
        <f>HYPERLINK("http://dx.doi.org/10.5817/CPR2022-1-4","http://dx.doi.org/10.5817/CPR2022-1-4")</f>
        <v>http://dx.doi.org/10.5817/CPR2022-1-4</v>
      </c>
      <c r="BG544" t="s">
        <v>74</v>
      </c>
      <c r="BH544" t="s">
        <v>74</v>
      </c>
      <c r="BI544">
        <v>16</v>
      </c>
      <c r="BJ544" t="s">
        <v>416</v>
      </c>
      <c r="BK544" t="s">
        <v>724</v>
      </c>
      <c r="BL544" t="s">
        <v>417</v>
      </c>
      <c r="BM544" t="s">
        <v>10427</v>
      </c>
      <c r="BN544" t="s">
        <v>74</v>
      </c>
      <c r="BO544" t="s">
        <v>445</v>
      </c>
      <c r="BP544" t="s">
        <v>74</v>
      </c>
      <c r="BQ544" t="s">
        <v>74</v>
      </c>
      <c r="BR544" t="s">
        <v>106</v>
      </c>
      <c r="BS544" t="s">
        <v>10472</v>
      </c>
      <c r="BT544" t="str">
        <f>HYPERLINK("https%3A%2F%2Fwww.webofscience.com%2Fwos%2Fwoscc%2Ffull-record%2FWOS:000862170100004","View Full Record in Web of Science")</f>
        <v>View Full Record in Web of Science</v>
      </c>
    </row>
    <row r="545" spans="1:72" x14ac:dyDescent="0.15">
      <c r="A545" t="s">
        <v>72</v>
      </c>
      <c r="B545" t="s">
        <v>10473</v>
      </c>
      <c r="C545" t="s">
        <v>74</v>
      </c>
      <c r="D545" t="s">
        <v>74</v>
      </c>
      <c r="E545" t="s">
        <v>74</v>
      </c>
      <c r="F545" t="s">
        <v>10474</v>
      </c>
      <c r="G545" t="s">
        <v>74</v>
      </c>
      <c r="H545" t="s">
        <v>74</v>
      </c>
      <c r="I545" t="s">
        <v>10475</v>
      </c>
      <c r="J545" t="s">
        <v>8930</v>
      </c>
      <c r="K545" t="s">
        <v>74</v>
      </c>
      <c r="L545" t="s">
        <v>74</v>
      </c>
      <c r="M545" t="s">
        <v>78</v>
      </c>
      <c r="N545" t="s">
        <v>79</v>
      </c>
      <c r="O545" t="s">
        <v>74</v>
      </c>
      <c r="P545" t="s">
        <v>74</v>
      </c>
      <c r="Q545" t="s">
        <v>74</v>
      </c>
      <c r="R545" t="s">
        <v>74</v>
      </c>
      <c r="S545" t="s">
        <v>74</v>
      </c>
      <c r="T545" t="s">
        <v>10476</v>
      </c>
      <c r="U545" t="s">
        <v>10477</v>
      </c>
      <c r="V545" t="s">
        <v>10478</v>
      </c>
      <c r="W545" t="s">
        <v>10479</v>
      </c>
      <c r="X545" t="s">
        <v>10480</v>
      </c>
      <c r="Y545" t="s">
        <v>10481</v>
      </c>
      <c r="Z545" t="s">
        <v>10482</v>
      </c>
      <c r="AA545" t="s">
        <v>10483</v>
      </c>
      <c r="AB545" t="s">
        <v>74</v>
      </c>
      <c r="AC545" t="s">
        <v>10484</v>
      </c>
      <c r="AD545" t="s">
        <v>10484</v>
      </c>
      <c r="AE545" t="s">
        <v>10485</v>
      </c>
      <c r="AF545" t="s">
        <v>74</v>
      </c>
      <c r="AG545">
        <v>34</v>
      </c>
      <c r="AH545">
        <v>0</v>
      </c>
      <c r="AI545">
        <v>0</v>
      </c>
      <c r="AJ545">
        <v>2</v>
      </c>
      <c r="AK545">
        <v>4</v>
      </c>
      <c r="AL545" t="s">
        <v>8943</v>
      </c>
      <c r="AM545" t="s">
        <v>8944</v>
      </c>
      <c r="AN545" t="s">
        <v>8945</v>
      </c>
      <c r="AO545" t="s">
        <v>8946</v>
      </c>
      <c r="AP545" t="s">
        <v>8947</v>
      </c>
      <c r="AQ545" t="s">
        <v>74</v>
      </c>
      <c r="AR545" t="s">
        <v>8948</v>
      </c>
      <c r="AS545" t="s">
        <v>8949</v>
      </c>
      <c r="AT545" t="s">
        <v>74</v>
      </c>
      <c r="AU545">
        <v>2022</v>
      </c>
      <c r="AV545">
        <v>12</v>
      </c>
      <c r="AW545">
        <v>1</v>
      </c>
      <c r="AX545" t="s">
        <v>74</v>
      </c>
      <c r="AY545" t="s">
        <v>74</v>
      </c>
      <c r="AZ545" t="s">
        <v>74</v>
      </c>
      <c r="BA545" t="s">
        <v>74</v>
      </c>
      <c r="BB545">
        <v>60</v>
      </c>
      <c r="BC545">
        <v>77</v>
      </c>
      <c r="BD545" t="s">
        <v>74</v>
      </c>
      <c r="BE545" t="s">
        <v>10486</v>
      </c>
      <c r="BF545" t="str">
        <f>HYPERLINK("http://dx.doi.org/10.5817/CPR2022-1-5","http://dx.doi.org/10.5817/CPR2022-1-5")</f>
        <v>http://dx.doi.org/10.5817/CPR2022-1-5</v>
      </c>
      <c r="BG545" t="s">
        <v>74</v>
      </c>
      <c r="BH545" t="s">
        <v>74</v>
      </c>
      <c r="BI545">
        <v>18</v>
      </c>
      <c r="BJ545" t="s">
        <v>416</v>
      </c>
      <c r="BK545" t="s">
        <v>724</v>
      </c>
      <c r="BL545" t="s">
        <v>417</v>
      </c>
      <c r="BM545" t="s">
        <v>10427</v>
      </c>
      <c r="BN545" t="s">
        <v>74</v>
      </c>
      <c r="BO545" t="s">
        <v>445</v>
      </c>
      <c r="BP545" t="s">
        <v>74</v>
      </c>
      <c r="BQ545" t="s">
        <v>74</v>
      </c>
      <c r="BR545" t="s">
        <v>106</v>
      </c>
      <c r="BS545" t="s">
        <v>10487</v>
      </c>
      <c r="BT545" t="str">
        <f>HYPERLINK("https%3A%2F%2Fwww.webofscience.com%2Fwos%2Fwoscc%2Ffull-record%2FWOS:000862170100005","View Full Record in Web of Science")</f>
        <v>View Full Record in Web of Science</v>
      </c>
    </row>
    <row r="546" spans="1:72" x14ac:dyDescent="0.15">
      <c r="A546" t="s">
        <v>72</v>
      </c>
      <c r="B546" t="s">
        <v>10488</v>
      </c>
      <c r="C546" t="s">
        <v>74</v>
      </c>
      <c r="D546" t="s">
        <v>74</v>
      </c>
      <c r="E546" t="s">
        <v>74</v>
      </c>
      <c r="F546" t="s">
        <v>10489</v>
      </c>
      <c r="G546" t="s">
        <v>74</v>
      </c>
      <c r="H546" t="s">
        <v>74</v>
      </c>
      <c r="I546" t="s">
        <v>10490</v>
      </c>
      <c r="J546" t="s">
        <v>8930</v>
      </c>
      <c r="K546" t="s">
        <v>74</v>
      </c>
      <c r="L546" t="s">
        <v>74</v>
      </c>
      <c r="M546" t="s">
        <v>78</v>
      </c>
      <c r="N546" t="s">
        <v>79</v>
      </c>
      <c r="O546" t="s">
        <v>74</v>
      </c>
      <c r="P546" t="s">
        <v>74</v>
      </c>
      <c r="Q546" t="s">
        <v>74</v>
      </c>
      <c r="R546" t="s">
        <v>74</v>
      </c>
      <c r="S546" t="s">
        <v>74</v>
      </c>
      <c r="T546" t="s">
        <v>10491</v>
      </c>
      <c r="U546" t="s">
        <v>10492</v>
      </c>
      <c r="V546" t="s">
        <v>10493</v>
      </c>
      <c r="W546" t="s">
        <v>10494</v>
      </c>
      <c r="X546" t="s">
        <v>10495</v>
      </c>
      <c r="Y546" t="s">
        <v>10496</v>
      </c>
      <c r="Z546" t="s">
        <v>10497</v>
      </c>
      <c r="AA546" t="s">
        <v>10498</v>
      </c>
      <c r="AB546" t="s">
        <v>9163</v>
      </c>
      <c r="AC546" t="s">
        <v>10499</v>
      </c>
      <c r="AD546" t="s">
        <v>10500</v>
      </c>
      <c r="AE546" t="s">
        <v>10501</v>
      </c>
      <c r="AF546" t="s">
        <v>74</v>
      </c>
      <c r="AG546">
        <v>47</v>
      </c>
      <c r="AH546">
        <v>3</v>
      </c>
      <c r="AI546">
        <v>3</v>
      </c>
      <c r="AJ546">
        <v>3</v>
      </c>
      <c r="AK546">
        <v>8</v>
      </c>
      <c r="AL546" t="s">
        <v>8943</v>
      </c>
      <c r="AM546" t="s">
        <v>8944</v>
      </c>
      <c r="AN546" t="s">
        <v>8945</v>
      </c>
      <c r="AO546" t="s">
        <v>8946</v>
      </c>
      <c r="AP546" t="s">
        <v>8947</v>
      </c>
      <c r="AQ546" t="s">
        <v>74</v>
      </c>
      <c r="AR546" t="s">
        <v>8948</v>
      </c>
      <c r="AS546" t="s">
        <v>8949</v>
      </c>
      <c r="AT546" t="s">
        <v>74</v>
      </c>
      <c r="AU546">
        <v>2022</v>
      </c>
      <c r="AV546">
        <v>12</v>
      </c>
      <c r="AW546">
        <v>1</v>
      </c>
      <c r="AX546" t="s">
        <v>74</v>
      </c>
      <c r="AY546" t="s">
        <v>74</v>
      </c>
      <c r="AZ546" t="s">
        <v>74</v>
      </c>
      <c r="BA546" t="s">
        <v>74</v>
      </c>
      <c r="BB546">
        <v>89</v>
      </c>
      <c r="BC546">
        <v>102</v>
      </c>
      <c r="BD546" t="s">
        <v>74</v>
      </c>
      <c r="BE546" t="s">
        <v>10502</v>
      </c>
      <c r="BF546" t="str">
        <f>HYPERLINK("http://dx.doi.org/10.5817/CPR2022-1-7","http://dx.doi.org/10.5817/CPR2022-1-7")</f>
        <v>http://dx.doi.org/10.5817/CPR2022-1-7</v>
      </c>
      <c r="BG546" t="s">
        <v>74</v>
      </c>
      <c r="BH546" t="s">
        <v>74</v>
      </c>
      <c r="BI546">
        <v>14</v>
      </c>
      <c r="BJ546" t="s">
        <v>416</v>
      </c>
      <c r="BK546" t="s">
        <v>724</v>
      </c>
      <c r="BL546" t="s">
        <v>417</v>
      </c>
      <c r="BM546" t="s">
        <v>10427</v>
      </c>
      <c r="BN546" t="s">
        <v>74</v>
      </c>
      <c r="BO546" t="s">
        <v>445</v>
      </c>
      <c r="BP546" t="s">
        <v>74</v>
      </c>
      <c r="BQ546" t="s">
        <v>74</v>
      </c>
      <c r="BR546" t="s">
        <v>106</v>
      </c>
      <c r="BS546" t="s">
        <v>10503</v>
      </c>
      <c r="BT546" t="str">
        <f>HYPERLINK("https%3A%2F%2Fwww.webofscience.com%2Fwos%2Fwoscc%2Ffull-record%2FWOS:000862170100007","View Full Record in Web of Science")</f>
        <v>View Full Record in Web of Science</v>
      </c>
    </row>
    <row r="547" spans="1:72" x14ac:dyDescent="0.15">
      <c r="A547" t="s">
        <v>72</v>
      </c>
      <c r="B547" t="s">
        <v>10504</v>
      </c>
      <c r="C547" t="s">
        <v>74</v>
      </c>
      <c r="D547" t="s">
        <v>74</v>
      </c>
      <c r="E547" t="s">
        <v>74</v>
      </c>
      <c r="F547" t="s">
        <v>10505</v>
      </c>
      <c r="G547" t="s">
        <v>74</v>
      </c>
      <c r="H547" t="s">
        <v>74</v>
      </c>
      <c r="I547" t="s">
        <v>10506</v>
      </c>
      <c r="J547" t="s">
        <v>8930</v>
      </c>
      <c r="K547" t="s">
        <v>74</v>
      </c>
      <c r="L547" t="s">
        <v>74</v>
      </c>
      <c r="M547" t="s">
        <v>78</v>
      </c>
      <c r="N547" t="s">
        <v>79</v>
      </c>
      <c r="O547" t="s">
        <v>74</v>
      </c>
      <c r="P547" t="s">
        <v>74</v>
      </c>
      <c r="Q547" t="s">
        <v>74</v>
      </c>
      <c r="R547" t="s">
        <v>74</v>
      </c>
      <c r="S547" t="s">
        <v>74</v>
      </c>
      <c r="T547" t="s">
        <v>10507</v>
      </c>
      <c r="U547" t="s">
        <v>10508</v>
      </c>
      <c r="V547" t="s">
        <v>10509</v>
      </c>
      <c r="W547" t="s">
        <v>10510</v>
      </c>
      <c r="X547" t="s">
        <v>10436</v>
      </c>
      <c r="Y547" t="s">
        <v>10511</v>
      </c>
      <c r="Z547" t="s">
        <v>10512</v>
      </c>
      <c r="AA547" t="s">
        <v>10513</v>
      </c>
      <c r="AB547" t="s">
        <v>74</v>
      </c>
      <c r="AC547" t="s">
        <v>10514</v>
      </c>
      <c r="AD547" t="s">
        <v>10515</v>
      </c>
      <c r="AE547" t="s">
        <v>10516</v>
      </c>
      <c r="AF547" t="s">
        <v>74</v>
      </c>
      <c r="AG547">
        <v>41</v>
      </c>
      <c r="AH547">
        <v>4</v>
      </c>
      <c r="AI547">
        <v>4</v>
      </c>
      <c r="AJ547">
        <v>1</v>
      </c>
      <c r="AK547">
        <v>6</v>
      </c>
      <c r="AL547" t="s">
        <v>8943</v>
      </c>
      <c r="AM547" t="s">
        <v>8944</v>
      </c>
      <c r="AN547" t="s">
        <v>8945</v>
      </c>
      <c r="AO547" t="s">
        <v>8946</v>
      </c>
      <c r="AP547" t="s">
        <v>8947</v>
      </c>
      <c r="AQ547" t="s">
        <v>74</v>
      </c>
      <c r="AR547" t="s">
        <v>8948</v>
      </c>
      <c r="AS547" t="s">
        <v>8949</v>
      </c>
      <c r="AT547" t="s">
        <v>74</v>
      </c>
      <c r="AU547">
        <v>2022</v>
      </c>
      <c r="AV547">
        <v>12</v>
      </c>
      <c r="AW547">
        <v>1</v>
      </c>
      <c r="AX547" t="s">
        <v>74</v>
      </c>
      <c r="AY547" t="s">
        <v>74</v>
      </c>
      <c r="AZ547" t="s">
        <v>74</v>
      </c>
      <c r="BA547" t="s">
        <v>74</v>
      </c>
      <c r="BB547">
        <v>131</v>
      </c>
      <c r="BC547">
        <v>142</v>
      </c>
      <c r="BD547" t="s">
        <v>74</v>
      </c>
      <c r="BE547" t="s">
        <v>10517</v>
      </c>
      <c r="BF547" t="str">
        <f>HYPERLINK("http://dx.doi.org/10.5817/CPR2022-1-10","http://dx.doi.org/10.5817/CPR2022-1-10")</f>
        <v>http://dx.doi.org/10.5817/CPR2022-1-10</v>
      </c>
      <c r="BG547" t="s">
        <v>74</v>
      </c>
      <c r="BH547" t="s">
        <v>74</v>
      </c>
      <c r="BI547">
        <v>12</v>
      </c>
      <c r="BJ547" t="s">
        <v>416</v>
      </c>
      <c r="BK547" t="s">
        <v>724</v>
      </c>
      <c r="BL547" t="s">
        <v>417</v>
      </c>
      <c r="BM547" t="s">
        <v>10427</v>
      </c>
      <c r="BN547" t="s">
        <v>74</v>
      </c>
      <c r="BO547" t="s">
        <v>445</v>
      </c>
      <c r="BP547" t="s">
        <v>74</v>
      </c>
      <c r="BQ547" t="s">
        <v>74</v>
      </c>
      <c r="BR547" t="s">
        <v>106</v>
      </c>
      <c r="BS547" t="s">
        <v>10518</v>
      </c>
      <c r="BT547" t="str">
        <f>HYPERLINK("https%3A%2F%2Fwww.webofscience.com%2Fwos%2Fwoscc%2Ffull-record%2FWOS:000862170100010","View Full Record in Web of Science")</f>
        <v>View Full Record in Web of Science</v>
      </c>
    </row>
    <row r="548" spans="1:72" x14ac:dyDescent="0.15">
      <c r="A548" t="s">
        <v>72</v>
      </c>
      <c r="B548" t="s">
        <v>10519</v>
      </c>
      <c r="C548" t="s">
        <v>74</v>
      </c>
      <c r="D548" t="s">
        <v>74</v>
      </c>
      <c r="E548" t="s">
        <v>74</v>
      </c>
      <c r="F548" t="s">
        <v>10520</v>
      </c>
      <c r="G548" t="s">
        <v>74</v>
      </c>
      <c r="H548" t="s">
        <v>74</v>
      </c>
      <c r="I548" t="s">
        <v>10521</v>
      </c>
      <c r="J548" t="s">
        <v>10522</v>
      </c>
      <c r="K548" t="s">
        <v>74</v>
      </c>
      <c r="L548" t="s">
        <v>74</v>
      </c>
      <c r="M548" t="s">
        <v>78</v>
      </c>
      <c r="N548" t="s">
        <v>79</v>
      </c>
      <c r="O548" t="s">
        <v>74</v>
      </c>
      <c r="P548" t="s">
        <v>74</v>
      </c>
      <c r="Q548" t="s">
        <v>74</v>
      </c>
      <c r="R548" t="s">
        <v>74</v>
      </c>
      <c r="S548" t="s">
        <v>74</v>
      </c>
      <c r="T548" t="s">
        <v>10523</v>
      </c>
      <c r="U548" t="s">
        <v>10524</v>
      </c>
      <c r="V548" t="s">
        <v>10525</v>
      </c>
      <c r="W548" t="s">
        <v>10526</v>
      </c>
      <c r="X548" t="s">
        <v>10527</v>
      </c>
      <c r="Y548" t="s">
        <v>10528</v>
      </c>
      <c r="Z548" t="s">
        <v>10529</v>
      </c>
      <c r="AA548" t="s">
        <v>10530</v>
      </c>
      <c r="AB548" t="s">
        <v>10531</v>
      </c>
      <c r="AC548" t="s">
        <v>74</v>
      </c>
      <c r="AD548" t="s">
        <v>74</v>
      </c>
      <c r="AE548" t="s">
        <v>74</v>
      </c>
      <c r="AF548" t="s">
        <v>74</v>
      </c>
      <c r="AG548">
        <v>75</v>
      </c>
      <c r="AH548">
        <v>0</v>
      </c>
      <c r="AI548">
        <v>0</v>
      </c>
      <c r="AJ548">
        <v>2</v>
      </c>
      <c r="AK548">
        <v>3</v>
      </c>
      <c r="AL548" t="s">
        <v>10532</v>
      </c>
      <c r="AM548" t="s">
        <v>9667</v>
      </c>
      <c r="AN548" t="s">
        <v>10533</v>
      </c>
      <c r="AO548" t="s">
        <v>10534</v>
      </c>
      <c r="AP548" t="s">
        <v>10535</v>
      </c>
      <c r="AQ548" t="s">
        <v>74</v>
      </c>
      <c r="AR548" t="s">
        <v>10536</v>
      </c>
      <c r="AS548" t="s">
        <v>10537</v>
      </c>
      <c r="AT548" t="s">
        <v>74</v>
      </c>
      <c r="AU548">
        <v>2022</v>
      </c>
      <c r="AV548">
        <v>28</v>
      </c>
      <c r="AW548">
        <v>4</v>
      </c>
      <c r="AX548" t="s">
        <v>74</v>
      </c>
      <c r="AY548" t="s">
        <v>74</v>
      </c>
      <c r="AZ548" t="s">
        <v>74</v>
      </c>
      <c r="BA548" t="s">
        <v>74</v>
      </c>
      <c r="BB548">
        <v>39</v>
      </c>
      <c r="BC548">
        <v>70</v>
      </c>
      <c r="BD548" t="s">
        <v>74</v>
      </c>
      <c r="BE548" t="s">
        <v>10538</v>
      </c>
      <c r="BF548" t="str">
        <f>HYPERLINK("http://dx.doi.org/10.15407/knit2022.04.039","http://dx.doi.org/10.15407/knit2022.04.039")</f>
        <v>http://dx.doi.org/10.15407/knit2022.04.039</v>
      </c>
      <c r="BG548" t="s">
        <v>74</v>
      </c>
      <c r="BH548" t="s">
        <v>74</v>
      </c>
      <c r="BI548">
        <v>32</v>
      </c>
      <c r="BJ548" t="s">
        <v>262</v>
      </c>
      <c r="BK548" t="s">
        <v>724</v>
      </c>
      <c r="BL548" t="s">
        <v>262</v>
      </c>
      <c r="BM548" t="s">
        <v>10539</v>
      </c>
      <c r="BN548" t="s">
        <v>74</v>
      </c>
      <c r="BO548" t="s">
        <v>1613</v>
      </c>
      <c r="BP548" t="s">
        <v>74</v>
      </c>
      <c r="BQ548" t="s">
        <v>74</v>
      </c>
      <c r="BR548" t="s">
        <v>106</v>
      </c>
      <c r="BS548" t="s">
        <v>10540</v>
      </c>
      <c r="BT548" t="str">
        <f>HYPERLINK("https%3A%2F%2Fwww.webofscience.com%2Fwos%2Fwoscc%2Ffull-record%2FWOS:000863526600004","View Full Record in Web of Science")</f>
        <v>View Full Record in Web of Science</v>
      </c>
    </row>
    <row r="549" spans="1:72" x14ac:dyDescent="0.15">
      <c r="A549" t="s">
        <v>72</v>
      </c>
      <c r="B549" t="s">
        <v>10541</v>
      </c>
      <c r="C549" t="s">
        <v>74</v>
      </c>
      <c r="D549" t="s">
        <v>74</v>
      </c>
      <c r="E549" t="s">
        <v>74</v>
      </c>
      <c r="F549" t="s">
        <v>10542</v>
      </c>
      <c r="G549" t="s">
        <v>74</v>
      </c>
      <c r="H549" t="s">
        <v>74</v>
      </c>
      <c r="I549" t="s">
        <v>10543</v>
      </c>
      <c r="J549" t="s">
        <v>10544</v>
      </c>
      <c r="K549" t="s">
        <v>74</v>
      </c>
      <c r="L549" t="s">
        <v>74</v>
      </c>
      <c r="M549" t="s">
        <v>10545</v>
      </c>
      <c r="N549" t="s">
        <v>79</v>
      </c>
      <c r="O549" t="s">
        <v>74</v>
      </c>
      <c r="P549" t="s">
        <v>74</v>
      </c>
      <c r="Q549" t="s">
        <v>74</v>
      </c>
      <c r="R549" t="s">
        <v>74</v>
      </c>
      <c r="S549" t="s">
        <v>74</v>
      </c>
      <c r="T549" t="s">
        <v>10546</v>
      </c>
      <c r="U549" t="s">
        <v>74</v>
      </c>
      <c r="V549" t="s">
        <v>10547</v>
      </c>
      <c r="W549" t="s">
        <v>10548</v>
      </c>
      <c r="X549" t="s">
        <v>10549</v>
      </c>
      <c r="Y549" t="s">
        <v>10550</v>
      </c>
      <c r="Z549" t="s">
        <v>74</v>
      </c>
      <c r="AA549" t="s">
        <v>10551</v>
      </c>
      <c r="AB549" t="s">
        <v>10552</v>
      </c>
      <c r="AC549" t="s">
        <v>74</v>
      </c>
      <c r="AD549" t="s">
        <v>74</v>
      </c>
      <c r="AE549" t="s">
        <v>74</v>
      </c>
      <c r="AF549" t="s">
        <v>74</v>
      </c>
      <c r="AG549">
        <v>38</v>
      </c>
      <c r="AH549">
        <v>1</v>
      </c>
      <c r="AI549">
        <v>1</v>
      </c>
      <c r="AJ549">
        <v>0</v>
      </c>
      <c r="AK549">
        <v>1</v>
      </c>
      <c r="AL549" t="s">
        <v>10553</v>
      </c>
      <c r="AM549" t="s">
        <v>10554</v>
      </c>
      <c r="AN549" t="s">
        <v>10555</v>
      </c>
      <c r="AO549" t="s">
        <v>10556</v>
      </c>
      <c r="AP549" t="s">
        <v>10557</v>
      </c>
      <c r="AQ549" t="s">
        <v>74</v>
      </c>
      <c r="AR549" t="s">
        <v>10558</v>
      </c>
      <c r="AS549" t="s">
        <v>10559</v>
      </c>
      <c r="AT549" t="s">
        <v>74</v>
      </c>
      <c r="AU549">
        <v>2022</v>
      </c>
      <c r="AV549">
        <v>44</v>
      </c>
      <c r="AW549">
        <v>4</v>
      </c>
      <c r="AX549" t="s">
        <v>74</v>
      </c>
      <c r="AY549" t="s">
        <v>74</v>
      </c>
      <c r="AZ549" t="s">
        <v>74</v>
      </c>
      <c r="BA549" t="s">
        <v>74</v>
      </c>
      <c r="BB549">
        <v>124</v>
      </c>
      <c r="BC549">
        <v>145</v>
      </c>
      <c r="BD549" t="s">
        <v>74</v>
      </c>
      <c r="BE549" t="s">
        <v>10560</v>
      </c>
      <c r="BF549" t="str">
        <f>HYPERLINK("http://dx.doi.org/10.24028/gj.v44i4.264844","http://dx.doi.org/10.24028/gj.v44i4.264844")</f>
        <v>http://dx.doi.org/10.24028/gj.v44i4.264844</v>
      </c>
      <c r="BG549" t="s">
        <v>74</v>
      </c>
      <c r="BH549" t="s">
        <v>74</v>
      </c>
      <c r="BI549">
        <v>22</v>
      </c>
      <c r="BJ549" t="s">
        <v>1014</v>
      </c>
      <c r="BK549" t="s">
        <v>724</v>
      </c>
      <c r="BL549" t="s">
        <v>1014</v>
      </c>
      <c r="BM549" t="s">
        <v>10561</v>
      </c>
      <c r="BN549" t="s">
        <v>74</v>
      </c>
      <c r="BO549" t="s">
        <v>445</v>
      </c>
      <c r="BP549" t="s">
        <v>74</v>
      </c>
      <c r="BQ549" t="s">
        <v>74</v>
      </c>
      <c r="BR549" t="s">
        <v>106</v>
      </c>
      <c r="BS549" t="s">
        <v>10562</v>
      </c>
      <c r="BT549" t="str">
        <f>HYPERLINK("https%3A%2F%2Fwww.webofscience.com%2Fwos%2Fwoscc%2Ffull-record%2FWOS:000862342400006","View Full Record in Web of Science")</f>
        <v>View Full Record in Web of Science</v>
      </c>
    </row>
    <row r="550" spans="1:72" x14ac:dyDescent="0.15">
      <c r="A550" t="s">
        <v>72</v>
      </c>
      <c r="B550" t="s">
        <v>10563</v>
      </c>
      <c r="C550" t="s">
        <v>74</v>
      </c>
      <c r="D550" t="s">
        <v>74</v>
      </c>
      <c r="E550" t="s">
        <v>74</v>
      </c>
      <c r="F550" t="s">
        <v>10564</v>
      </c>
      <c r="G550" t="s">
        <v>74</v>
      </c>
      <c r="H550" t="s">
        <v>74</v>
      </c>
      <c r="I550" t="s">
        <v>10565</v>
      </c>
      <c r="J550" t="s">
        <v>10544</v>
      </c>
      <c r="K550" t="s">
        <v>74</v>
      </c>
      <c r="L550" t="s">
        <v>74</v>
      </c>
      <c r="M550" t="s">
        <v>78</v>
      </c>
      <c r="N550" t="s">
        <v>79</v>
      </c>
      <c r="O550" t="s">
        <v>74</v>
      </c>
      <c r="P550" t="s">
        <v>74</v>
      </c>
      <c r="Q550" t="s">
        <v>74</v>
      </c>
      <c r="R550" t="s">
        <v>74</v>
      </c>
      <c r="S550" t="s">
        <v>74</v>
      </c>
      <c r="T550" t="s">
        <v>10566</v>
      </c>
      <c r="U550" t="s">
        <v>10567</v>
      </c>
      <c r="V550" t="s">
        <v>10568</v>
      </c>
      <c r="W550" t="s">
        <v>10569</v>
      </c>
      <c r="X550" t="s">
        <v>10549</v>
      </c>
      <c r="Y550" t="s">
        <v>10570</v>
      </c>
      <c r="Z550" t="s">
        <v>74</v>
      </c>
      <c r="AA550" t="s">
        <v>10571</v>
      </c>
      <c r="AB550" t="s">
        <v>10572</v>
      </c>
      <c r="AC550" t="s">
        <v>10573</v>
      </c>
      <c r="AD550" t="s">
        <v>10574</v>
      </c>
      <c r="AE550" t="s">
        <v>10575</v>
      </c>
      <c r="AF550" t="s">
        <v>74</v>
      </c>
      <c r="AG550">
        <v>35</v>
      </c>
      <c r="AH550">
        <v>3</v>
      </c>
      <c r="AI550">
        <v>3</v>
      </c>
      <c r="AJ550">
        <v>0</v>
      </c>
      <c r="AK550">
        <v>0</v>
      </c>
      <c r="AL550" t="s">
        <v>10553</v>
      </c>
      <c r="AM550" t="s">
        <v>10554</v>
      </c>
      <c r="AN550" t="s">
        <v>10555</v>
      </c>
      <c r="AO550" t="s">
        <v>10556</v>
      </c>
      <c r="AP550" t="s">
        <v>10557</v>
      </c>
      <c r="AQ550" t="s">
        <v>74</v>
      </c>
      <c r="AR550" t="s">
        <v>10558</v>
      </c>
      <c r="AS550" t="s">
        <v>10559</v>
      </c>
      <c r="AT550" t="s">
        <v>74</v>
      </c>
      <c r="AU550">
        <v>2022</v>
      </c>
      <c r="AV550">
        <v>44</v>
      </c>
      <c r="AW550">
        <v>4</v>
      </c>
      <c r="AX550" t="s">
        <v>74</v>
      </c>
      <c r="AY550" t="s">
        <v>74</v>
      </c>
      <c r="AZ550" t="s">
        <v>74</v>
      </c>
      <c r="BA550" t="s">
        <v>74</v>
      </c>
      <c r="BB550">
        <v>183</v>
      </c>
      <c r="BC550">
        <v>194</v>
      </c>
      <c r="BD550" t="s">
        <v>74</v>
      </c>
      <c r="BE550" t="s">
        <v>10576</v>
      </c>
      <c r="BF550" t="str">
        <f>HYPERLINK("http://dx.doi.org/10.24028/gj.v44i4.264848","http://dx.doi.org/10.24028/gj.v44i4.264848")</f>
        <v>http://dx.doi.org/10.24028/gj.v44i4.264848</v>
      </c>
      <c r="BG550" t="s">
        <v>74</v>
      </c>
      <c r="BH550" t="s">
        <v>74</v>
      </c>
      <c r="BI550">
        <v>12</v>
      </c>
      <c r="BJ550" t="s">
        <v>1014</v>
      </c>
      <c r="BK550" t="s">
        <v>724</v>
      </c>
      <c r="BL550" t="s">
        <v>1014</v>
      </c>
      <c r="BM550" t="s">
        <v>10561</v>
      </c>
      <c r="BN550" t="s">
        <v>74</v>
      </c>
      <c r="BO550" t="s">
        <v>445</v>
      </c>
      <c r="BP550" t="s">
        <v>74</v>
      </c>
      <c r="BQ550" t="s">
        <v>74</v>
      </c>
      <c r="BR550" t="s">
        <v>106</v>
      </c>
      <c r="BS550" t="s">
        <v>10577</v>
      </c>
      <c r="BT550" t="str">
        <f>HYPERLINK("https%3A%2F%2Fwww.webofscience.com%2Fwos%2Fwoscc%2Ffull-record%2FWOS:000862342400009","View Full Record in Web of Science")</f>
        <v>View Full Record in Web of Science</v>
      </c>
    </row>
    <row r="551" spans="1:72" x14ac:dyDescent="0.15">
      <c r="A551" t="s">
        <v>7844</v>
      </c>
      <c r="B551" t="s">
        <v>10578</v>
      </c>
      <c r="C551" t="s">
        <v>74</v>
      </c>
      <c r="D551" t="s">
        <v>10304</v>
      </c>
      <c r="E551" t="s">
        <v>74</v>
      </c>
      <c r="F551" t="s">
        <v>10579</v>
      </c>
      <c r="G551" t="s">
        <v>74</v>
      </c>
      <c r="H551" t="s">
        <v>74</v>
      </c>
      <c r="I551" t="s">
        <v>10580</v>
      </c>
      <c r="J551" t="s">
        <v>10307</v>
      </c>
      <c r="K551" t="s">
        <v>10219</v>
      </c>
      <c r="L551" t="s">
        <v>74</v>
      </c>
      <c r="M551" t="s">
        <v>78</v>
      </c>
      <c r="N551" t="s">
        <v>7851</v>
      </c>
      <c r="O551" t="s">
        <v>10220</v>
      </c>
      <c r="P551" t="s">
        <v>10221</v>
      </c>
      <c r="Q551" t="s">
        <v>10222</v>
      </c>
      <c r="R551" t="s">
        <v>74</v>
      </c>
      <c r="S551" t="s">
        <v>74</v>
      </c>
      <c r="T551" t="s">
        <v>10581</v>
      </c>
      <c r="U551" t="s">
        <v>10582</v>
      </c>
      <c r="V551" t="s">
        <v>10583</v>
      </c>
      <c r="W551" t="s">
        <v>10584</v>
      </c>
      <c r="X551" t="s">
        <v>10585</v>
      </c>
      <c r="Y551" t="s">
        <v>10586</v>
      </c>
      <c r="Z551" t="s">
        <v>10587</v>
      </c>
      <c r="AA551" t="s">
        <v>74</v>
      </c>
      <c r="AB551" t="s">
        <v>10588</v>
      </c>
      <c r="AC551" t="s">
        <v>10589</v>
      </c>
      <c r="AD551" t="s">
        <v>10590</v>
      </c>
      <c r="AE551" t="s">
        <v>10591</v>
      </c>
      <c r="AF551" t="s">
        <v>74</v>
      </c>
      <c r="AG551">
        <v>25</v>
      </c>
      <c r="AH551">
        <v>1</v>
      </c>
      <c r="AI551">
        <v>1</v>
      </c>
      <c r="AJ551">
        <v>0</v>
      </c>
      <c r="AK551">
        <v>1</v>
      </c>
      <c r="AL551" t="s">
        <v>120</v>
      </c>
      <c r="AM551" t="s">
        <v>121</v>
      </c>
      <c r="AN551" t="s">
        <v>10233</v>
      </c>
      <c r="AO551" t="s">
        <v>10234</v>
      </c>
      <c r="AP551" t="s">
        <v>10235</v>
      </c>
      <c r="AQ551" t="s">
        <v>74</v>
      </c>
      <c r="AR551" t="s">
        <v>10236</v>
      </c>
      <c r="AS551" t="s">
        <v>74</v>
      </c>
      <c r="AT551" t="s">
        <v>74</v>
      </c>
      <c r="AU551">
        <v>2022</v>
      </c>
      <c r="AV551" t="s">
        <v>10592</v>
      </c>
      <c r="AW551" t="s">
        <v>74</v>
      </c>
      <c r="AX551" t="s">
        <v>74</v>
      </c>
      <c r="AY551" t="s">
        <v>74</v>
      </c>
      <c r="AZ551" t="s">
        <v>74</v>
      </c>
      <c r="BA551" t="s">
        <v>74</v>
      </c>
      <c r="BB551">
        <v>237</v>
      </c>
      <c r="BC551">
        <v>244</v>
      </c>
      <c r="BD551" t="s">
        <v>74</v>
      </c>
      <c r="BE551" t="s">
        <v>10593</v>
      </c>
      <c r="BF551" t="str">
        <f>HYPERLINK("http://dx.doi.org/10.5194/isprs-annals-V-2-2022-237-2022","http://dx.doi.org/10.5194/isprs-annals-V-2-2022-237-2022")</f>
        <v>http://dx.doi.org/10.5194/isprs-annals-V-2-2022-237-2022</v>
      </c>
      <c r="BG551" t="s">
        <v>74</v>
      </c>
      <c r="BH551" t="s">
        <v>74</v>
      </c>
      <c r="BI551">
        <v>8</v>
      </c>
      <c r="BJ551" t="s">
        <v>10239</v>
      </c>
      <c r="BK551" t="s">
        <v>7868</v>
      </c>
      <c r="BL551" t="s">
        <v>10240</v>
      </c>
      <c r="BM551" t="s">
        <v>10594</v>
      </c>
      <c r="BN551" t="s">
        <v>74</v>
      </c>
      <c r="BO551" t="s">
        <v>211</v>
      </c>
      <c r="BP551" t="s">
        <v>74</v>
      </c>
      <c r="BQ551" t="s">
        <v>74</v>
      </c>
      <c r="BR551" t="s">
        <v>106</v>
      </c>
      <c r="BS551" t="s">
        <v>10595</v>
      </c>
      <c r="BT551" t="str">
        <f>HYPERLINK("https%3A%2F%2Fwww.webofscience.com%2Fwos%2Fwoscc%2Ffull-record%2FWOS:000855196400031","View Full Record in Web of Science")</f>
        <v>View Full Record in Web of Science</v>
      </c>
    </row>
    <row r="552" spans="1:72" x14ac:dyDescent="0.15">
      <c r="A552" t="s">
        <v>72</v>
      </c>
      <c r="B552" t="s">
        <v>10596</v>
      </c>
      <c r="C552" t="s">
        <v>74</v>
      </c>
      <c r="D552" t="s">
        <v>74</v>
      </c>
      <c r="E552" t="s">
        <v>74</v>
      </c>
      <c r="F552" t="s">
        <v>10597</v>
      </c>
      <c r="G552" t="s">
        <v>74</v>
      </c>
      <c r="H552" t="s">
        <v>74</v>
      </c>
      <c r="I552" t="s">
        <v>10598</v>
      </c>
      <c r="J552" t="s">
        <v>10599</v>
      </c>
      <c r="K552" t="s">
        <v>74</v>
      </c>
      <c r="L552" t="s">
        <v>74</v>
      </c>
      <c r="M552" t="s">
        <v>78</v>
      </c>
      <c r="N552" t="s">
        <v>779</v>
      </c>
      <c r="O552" t="s">
        <v>74</v>
      </c>
      <c r="P552" t="s">
        <v>74</v>
      </c>
      <c r="Q552" t="s">
        <v>74</v>
      </c>
      <c r="R552" t="s">
        <v>74</v>
      </c>
      <c r="S552" t="s">
        <v>74</v>
      </c>
      <c r="T552" t="s">
        <v>74</v>
      </c>
      <c r="U552" t="s">
        <v>74</v>
      </c>
      <c r="V552" t="s">
        <v>10600</v>
      </c>
      <c r="W552" t="s">
        <v>10601</v>
      </c>
      <c r="X552" t="s">
        <v>74</v>
      </c>
      <c r="Y552" t="s">
        <v>10602</v>
      </c>
      <c r="Z552" t="s">
        <v>10603</v>
      </c>
      <c r="AA552" t="s">
        <v>74</v>
      </c>
      <c r="AB552" t="s">
        <v>74</v>
      </c>
      <c r="AC552" t="s">
        <v>74</v>
      </c>
      <c r="AD552" t="s">
        <v>74</v>
      </c>
      <c r="AE552" t="s">
        <v>74</v>
      </c>
      <c r="AF552" t="s">
        <v>74</v>
      </c>
      <c r="AG552">
        <v>0</v>
      </c>
      <c r="AH552">
        <v>0</v>
      </c>
      <c r="AI552">
        <v>0</v>
      </c>
      <c r="AJ552">
        <v>0</v>
      </c>
      <c r="AK552">
        <v>0</v>
      </c>
      <c r="AL552" t="s">
        <v>10604</v>
      </c>
      <c r="AM552" t="s">
        <v>10605</v>
      </c>
      <c r="AN552" t="s">
        <v>10606</v>
      </c>
      <c r="AO552" t="s">
        <v>10607</v>
      </c>
      <c r="AP552" t="s">
        <v>74</v>
      </c>
      <c r="AQ552" t="s">
        <v>74</v>
      </c>
      <c r="AR552" t="s">
        <v>10608</v>
      </c>
      <c r="AS552" t="s">
        <v>10609</v>
      </c>
      <c r="AT552" t="s">
        <v>74</v>
      </c>
      <c r="AU552">
        <v>2022</v>
      </c>
      <c r="AV552">
        <v>36</v>
      </c>
      <c r="AW552">
        <v>5</v>
      </c>
      <c r="AX552" t="s">
        <v>74</v>
      </c>
      <c r="AY552" t="s">
        <v>74</v>
      </c>
      <c r="AZ552" t="s">
        <v>74</v>
      </c>
      <c r="BA552" t="s">
        <v>74</v>
      </c>
      <c r="BB552">
        <v>31</v>
      </c>
      <c r="BC552">
        <v>33</v>
      </c>
      <c r="BD552" t="s">
        <v>74</v>
      </c>
      <c r="BE552" t="s">
        <v>74</v>
      </c>
      <c r="BF552" t="s">
        <v>74</v>
      </c>
      <c r="BG552" t="s">
        <v>74</v>
      </c>
      <c r="BH552" t="s">
        <v>74</v>
      </c>
      <c r="BI552">
        <v>3</v>
      </c>
      <c r="BJ552" t="s">
        <v>560</v>
      </c>
      <c r="BK552" t="s">
        <v>724</v>
      </c>
      <c r="BL552" t="s">
        <v>560</v>
      </c>
      <c r="BM552" t="s">
        <v>10610</v>
      </c>
      <c r="BN552" t="s">
        <v>74</v>
      </c>
      <c r="BO552" t="s">
        <v>74</v>
      </c>
      <c r="BP552" t="s">
        <v>74</v>
      </c>
      <c r="BQ552" t="s">
        <v>74</v>
      </c>
      <c r="BR552" t="s">
        <v>106</v>
      </c>
      <c r="BS552" t="s">
        <v>10611</v>
      </c>
      <c r="BT552" t="str">
        <f>HYPERLINK("https%3A%2F%2Fwww.webofscience.com%2Fwos%2Fwoscc%2Ffull-record%2FWOS:000858732900008","View Full Record in Web of Science")</f>
        <v>View Full Record in Web of Science</v>
      </c>
    </row>
    <row r="553" spans="1:72" x14ac:dyDescent="0.15">
      <c r="A553" t="s">
        <v>7844</v>
      </c>
      <c r="B553" t="s">
        <v>10612</v>
      </c>
      <c r="C553" t="s">
        <v>74</v>
      </c>
      <c r="D553" t="s">
        <v>10613</v>
      </c>
      <c r="E553" t="s">
        <v>74</v>
      </c>
      <c r="F553" t="s">
        <v>10614</v>
      </c>
      <c r="G553" t="s">
        <v>74</v>
      </c>
      <c r="H553" t="s">
        <v>74</v>
      </c>
      <c r="I553" t="s">
        <v>10615</v>
      </c>
      <c r="J553" t="s">
        <v>10616</v>
      </c>
      <c r="K553" t="s">
        <v>10308</v>
      </c>
      <c r="L553" t="s">
        <v>74</v>
      </c>
      <c r="M553" t="s">
        <v>78</v>
      </c>
      <c r="N553" t="s">
        <v>7851</v>
      </c>
      <c r="O553" t="s">
        <v>10220</v>
      </c>
      <c r="P553" t="s">
        <v>10221</v>
      </c>
      <c r="Q553" t="s">
        <v>10222</v>
      </c>
      <c r="R553" t="s">
        <v>74</v>
      </c>
      <c r="S553" t="s">
        <v>74</v>
      </c>
      <c r="T553" t="s">
        <v>10617</v>
      </c>
      <c r="U553" t="s">
        <v>74</v>
      </c>
      <c r="V553" t="s">
        <v>10618</v>
      </c>
      <c r="W553" t="s">
        <v>10619</v>
      </c>
      <c r="X553" t="s">
        <v>10620</v>
      </c>
      <c r="Y553" t="s">
        <v>10621</v>
      </c>
      <c r="Z553" t="s">
        <v>10622</v>
      </c>
      <c r="AA553" t="s">
        <v>10623</v>
      </c>
      <c r="AB553" t="s">
        <v>10624</v>
      </c>
      <c r="AC553" t="s">
        <v>10625</v>
      </c>
      <c r="AD553" t="s">
        <v>10626</v>
      </c>
      <c r="AE553" t="s">
        <v>10627</v>
      </c>
      <c r="AF553" t="s">
        <v>74</v>
      </c>
      <c r="AG553">
        <v>18</v>
      </c>
      <c r="AH553">
        <v>1</v>
      </c>
      <c r="AI553">
        <v>2</v>
      </c>
      <c r="AJ553">
        <v>1</v>
      </c>
      <c r="AK553">
        <v>6</v>
      </c>
      <c r="AL553" t="s">
        <v>120</v>
      </c>
      <c r="AM553" t="s">
        <v>121</v>
      </c>
      <c r="AN553" t="s">
        <v>10233</v>
      </c>
      <c r="AO553" t="s">
        <v>10320</v>
      </c>
      <c r="AP553" t="s">
        <v>10321</v>
      </c>
      <c r="AQ553" t="s">
        <v>74</v>
      </c>
      <c r="AR553" t="s">
        <v>10322</v>
      </c>
      <c r="AS553" t="s">
        <v>74</v>
      </c>
      <c r="AT553" t="s">
        <v>74</v>
      </c>
      <c r="AU553">
        <v>2022</v>
      </c>
      <c r="AV553" t="s">
        <v>10628</v>
      </c>
      <c r="AW553" t="s">
        <v>74</v>
      </c>
      <c r="AX553" t="s">
        <v>74</v>
      </c>
      <c r="AY553" t="s">
        <v>74</v>
      </c>
      <c r="AZ553" t="s">
        <v>74</v>
      </c>
      <c r="BA553" t="s">
        <v>74</v>
      </c>
      <c r="BB553">
        <v>757</v>
      </c>
      <c r="BC553">
        <v>763</v>
      </c>
      <c r="BD553" t="s">
        <v>74</v>
      </c>
      <c r="BE553" t="s">
        <v>10629</v>
      </c>
      <c r="BF553" t="str">
        <f>HYPERLINK("http://dx.doi.org/10.5194/isprs-archives-XLIII-B3-2022-757-2022","http://dx.doi.org/10.5194/isprs-archives-XLIII-B3-2022-757-2022")</f>
        <v>http://dx.doi.org/10.5194/isprs-archives-XLIII-B3-2022-757-2022</v>
      </c>
      <c r="BG553" t="s">
        <v>74</v>
      </c>
      <c r="BH553" t="s">
        <v>74</v>
      </c>
      <c r="BI553">
        <v>7</v>
      </c>
      <c r="BJ553" t="s">
        <v>10239</v>
      </c>
      <c r="BK553" t="s">
        <v>7868</v>
      </c>
      <c r="BL553" t="s">
        <v>10240</v>
      </c>
      <c r="BM553" t="s">
        <v>10630</v>
      </c>
      <c r="BN553" t="s">
        <v>74</v>
      </c>
      <c r="BO553" t="s">
        <v>445</v>
      </c>
      <c r="BP553" t="s">
        <v>74</v>
      </c>
      <c r="BQ553" t="s">
        <v>74</v>
      </c>
      <c r="BR553" t="s">
        <v>106</v>
      </c>
      <c r="BS553" t="s">
        <v>10631</v>
      </c>
      <c r="BT553" t="str">
        <f>HYPERLINK("https%3A%2F%2Fwww.webofscience.com%2Fwos%2Fwoscc%2Ffull-record%2FWOS:000855647800105","View Full Record in Web of Science")</f>
        <v>View Full Record in Web of Science</v>
      </c>
    </row>
    <row r="554" spans="1:72" x14ac:dyDescent="0.15">
      <c r="A554" t="s">
        <v>7844</v>
      </c>
      <c r="B554" t="s">
        <v>10632</v>
      </c>
      <c r="C554" t="s">
        <v>74</v>
      </c>
      <c r="D554" t="s">
        <v>10613</v>
      </c>
      <c r="E554" t="s">
        <v>74</v>
      </c>
      <c r="F554" t="s">
        <v>10633</v>
      </c>
      <c r="G554" t="s">
        <v>74</v>
      </c>
      <c r="H554" t="s">
        <v>74</v>
      </c>
      <c r="I554" t="s">
        <v>10634</v>
      </c>
      <c r="J554" t="s">
        <v>10616</v>
      </c>
      <c r="K554" t="s">
        <v>10308</v>
      </c>
      <c r="L554" t="s">
        <v>74</v>
      </c>
      <c r="M554" t="s">
        <v>78</v>
      </c>
      <c r="N554" t="s">
        <v>7851</v>
      </c>
      <c r="O554" t="s">
        <v>10220</v>
      </c>
      <c r="P554" t="s">
        <v>10221</v>
      </c>
      <c r="Q554" t="s">
        <v>10222</v>
      </c>
      <c r="R554" t="s">
        <v>74</v>
      </c>
      <c r="S554" t="s">
        <v>74</v>
      </c>
      <c r="T554" t="s">
        <v>10635</v>
      </c>
      <c r="U554" t="s">
        <v>10636</v>
      </c>
      <c r="V554" t="s">
        <v>10637</v>
      </c>
      <c r="W554" t="s">
        <v>10638</v>
      </c>
      <c r="X554" t="s">
        <v>10639</v>
      </c>
      <c r="Y554" t="s">
        <v>10640</v>
      </c>
      <c r="Z554" t="s">
        <v>10641</v>
      </c>
      <c r="AA554" t="s">
        <v>10642</v>
      </c>
      <c r="AB554" t="s">
        <v>10643</v>
      </c>
      <c r="AC554" t="s">
        <v>10644</v>
      </c>
      <c r="AD554" t="s">
        <v>10645</v>
      </c>
      <c r="AE554" t="s">
        <v>10646</v>
      </c>
      <c r="AF554" t="s">
        <v>74</v>
      </c>
      <c r="AG554">
        <v>44</v>
      </c>
      <c r="AH554">
        <v>0</v>
      </c>
      <c r="AI554">
        <v>0</v>
      </c>
      <c r="AJ554">
        <v>4</v>
      </c>
      <c r="AK554">
        <v>8</v>
      </c>
      <c r="AL554" t="s">
        <v>120</v>
      </c>
      <c r="AM554" t="s">
        <v>121</v>
      </c>
      <c r="AN554" t="s">
        <v>10233</v>
      </c>
      <c r="AO554" t="s">
        <v>10320</v>
      </c>
      <c r="AP554" t="s">
        <v>10321</v>
      </c>
      <c r="AQ554" t="s">
        <v>74</v>
      </c>
      <c r="AR554" t="s">
        <v>10322</v>
      </c>
      <c r="AS554" t="s">
        <v>74</v>
      </c>
      <c r="AT554" t="s">
        <v>74</v>
      </c>
      <c r="AU554">
        <v>2022</v>
      </c>
      <c r="AV554" t="s">
        <v>10628</v>
      </c>
      <c r="AW554" t="s">
        <v>74</v>
      </c>
      <c r="AX554" t="s">
        <v>74</v>
      </c>
      <c r="AY554" t="s">
        <v>74</v>
      </c>
      <c r="AZ554" t="s">
        <v>74</v>
      </c>
      <c r="BA554" t="s">
        <v>74</v>
      </c>
      <c r="BB554">
        <v>785</v>
      </c>
      <c r="BC554">
        <v>791</v>
      </c>
      <c r="BD554" t="s">
        <v>74</v>
      </c>
      <c r="BE554" t="s">
        <v>10647</v>
      </c>
      <c r="BF554" t="str">
        <f>HYPERLINK("http://dx.doi.org/10.5194/isprs-archives-XLIII-B3-2022-785-2022","http://dx.doi.org/10.5194/isprs-archives-XLIII-B3-2022-785-2022")</f>
        <v>http://dx.doi.org/10.5194/isprs-archives-XLIII-B3-2022-785-2022</v>
      </c>
      <c r="BG554" t="s">
        <v>74</v>
      </c>
      <c r="BH554" t="s">
        <v>74</v>
      </c>
      <c r="BI554">
        <v>7</v>
      </c>
      <c r="BJ554" t="s">
        <v>10239</v>
      </c>
      <c r="BK554" t="s">
        <v>7868</v>
      </c>
      <c r="BL554" t="s">
        <v>10240</v>
      </c>
      <c r="BM554" t="s">
        <v>10630</v>
      </c>
      <c r="BN554" t="s">
        <v>74</v>
      </c>
      <c r="BO554" t="s">
        <v>445</v>
      </c>
      <c r="BP554" t="s">
        <v>74</v>
      </c>
      <c r="BQ554" t="s">
        <v>74</v>
      </c>
      <c r="BR554" t="s">
        <v>106</v>
      </c>
      <c r="BS554" t="s">
        <v>10648</v>
      </c>
      <c r="BT554" t="str">
        <f>HYPERLINK("https%3A%2F%2Fwww.webofscience.com%2Fwos%2Fwoscc%2Ffull-record%2FWOS:000855647800109","View Full Record in Web of Science")</f>
        <v>View Full Record in Web of Science</v>
      </c>
    </row>
    <row r="555" spans="1:72" x14ac:dyDescent="0.15">
      <c r="A555" t="s">
        <v>7844</v>
      </c>
      <c r="B555" t="s">
        <v>10649</v>
      </c>
      <c r="C555" t="s">
        <v>74</v>
      </c>
      <c r="D555" t="s">
        <v>10613</v>
      </c>
      <c r="E555" t="s">
        <v>74</v>
      </c>
      <c r="F555" t="s">
        <v>10650</v>
      </c>
      <c r="G555" t="s">
        <v>74</v>
      </c>
      <c r="H555" t="s">
        <v>74</v>
      </c>
      <c r="I555" t="s">
        <v>10651</v>
      </c>
      <c r="J555" t="s">
        <v>10616</v>
      </c>
      <c r="K555" t="s">
        <v>10308</v>
      </c>
      <c r="L555" t="s">
        <v>74</v>
      </c>
      <c r="M555" t="s">
        <v>78</v>
      </c>
      <c r="N555" t="s">
        <v>7851</v>
      </c>
      <c r="O555" t="s">
        <v>10220</v>
      </c>
      <c r="P555" t="s">
        <v>10221</v>
      </c>
      <c r="Q555" t="s">
        <v>10222</v>
      </c>
      <c r="R555" t="s">
        <v>74</v>
      </c>
      <c r="S555" t="s">
        <v>74</v>
      </c>
      <c r="T555" t="s">
        <v>10652</v>
      </c>
      <c r="U555" t="s">
        <v>10653</v>
      </c>
      <c r="V555" t="s">
        <v>10654</v>
      </c>
      <c r="W555" t="s">
        <v>10655</v>
      </c>
      <c r="X555" t="s">
        <v>10620</v>
      </c>
      <c r="Y555" t="s">
        <v>10656</v>
      </c>
      <c r="Z555" t="s">
        <v>10657</v>
      </c>
      <c r="AA555" t="s">
        <v>9745</v>
      </c>
      <c r="AB555" t="s">
        <v>10658</v>
      </c>
      <c r="AC555" t="s">
        <v>10659</v>
      </c>
      <c r="AD555" t="s">
        <v>10660</v>
      </c>
      <c r="AE555" t="s">
        <v>10661</v>
      </c>
      <c r="AF555" t="s">
        <v>74</v>
      </c>
      <c r="AG555">
        <v>31</v>
      </c>
      <c r="AH555">
        <v>1</v>
      </c>
      <c r="AI555">
        <v>1</v>
      </c>
      <c r="AJ555">
        <v>1</v>
      </c>
      <c r="AK555">
        <v>1</v>
      </c>
      <c r="AL555" t="s">
        <v>120</v>
      </c>
      <c r="AM555" t="s">
        <v>121</v>
      </c>
      <c r="AN555" t="s">
        <v>10233</v>
      </c>
      <c r="AO555" t="s">
        <v>10320</v>
      </c>
      <c r="AP555" t="s">
        <v>10321</v>
      </c>
      <c r="AQ555" t="s">
        <v>74</v>
      </c>
      <c r="AR555" t="s">
        <v>10322</v>
      </c>
      <c r="AS555" t="s">
        <v>74</v>
      </c>
      <c r="AT555" t="s">
        <v>74</v>
      </c>
      <c r="AU555">
        <v>2022</v>
      </c>
      <c r="AV555" t="s">
        <v>10628</v>
      </c>
      <c r="AW555" t="s">
        <v>74</v>
      </c>
      <c r="AX555" t="s">
        <v>74</v>
      </c>
      <c r="AY555" t="s">
        <v>74</v>
      </c>
      <c r="AZ555" t="s">
        <v>74</v>
      </c>
      <c r="BA555" t="s">
        <v>74</v>
      </c>
      <c r="BB555">
        <v>805</v>
      </c>
      <c r="BC555">
        <v>811</v>
      </c>
      <c r="BD555" t="s">
        <v>74</v>
      </c>
      <c r="BE555" t="s">
        <v>10662</v>
      </c>
      <c r="BF555" t="str">
        <f>HYPERLINK("http://dx.doi.org/10.5194/isprs-archives-XLIII-B3-2022-805-2022","http://dx.doi.org/10.5194/isprs-archives-XLIII-B3-2022-805-2022")</f>
        <v>http://dx.doi.org/10.5194/isprs-archives-XLIII-B3-2022-805-2022</v>
      </c>
      <c r="BG555" t="s">
        <v>74</v>
      </c>
      <c r="BH555" t="s">
        <v>74</v>
      </c>
      <c r="BI555">
        <v>7</v>
      </c>
      <c r="BJ555" t="s">
        <v>10239</v>
      </c>
      <c r="BK555" t="s">
        <v>7868</v>
      </c>
      <c r="BL555" t="s">
        <v>10240</v>
      </c>
      <c r="BM555" t="s">
        <v>10630</v>
      </c>
      <c r="BN555" t="s">
        <v>74</v>
      </c>
      <c r="BO555" t="s">
        <v>445</v>
      </c>
      <c r="BP555" t="s">
        <v>74</v>
      </c>
      <c r="BQ555" t="s">
        <v>74</v>
      </c>
      <c r="BR555" t="s">
        <v>106</v>
      </c>
      <c r="BS555" t="s">
        <v>10663</v>
      </c>
      <c r="BT555" t="str">
        <f>HYPERLINK("https%3A%2F%2Fwww.webofscience.com%2Fwos%2Fwoscc%2Ffull-record%2FWOS:000855647800112","View Full Record in Web of Science")</f>
        <v>View Full Record in Web of Science</v>
      </c>
    </row>
    <row r="556" spans="1:72" x14ac:dyDescent="0.15">
      <c r="A556" t="s">
        <v>72</v>
      </c>
      <c r="B556" t="s">
        <v>10664</v>
      </c>
      <c r="C556" t="s">
        <v>74</v>
      </c>
      <c r="D556" t="s">
        <v>74</v>
      </c>
      <c r="E556" t="s">
        <v>74</v>
      </c>
      <c r="F556" t="s">
        <v>10665</v>
      </c>
      <c r="G556" t="s">
        <v>74</v>
      </c>
      <c r="H556" t="s">
        <v>74</v>
      </c>
      <c r="I556" t="s">
        <v>10666</v>
      </c>
      <c r="J556" t="s">
        <v>9196</v>
      </c>
      <c r="K556" t="s">
        <v>74</v>
      </c>
      <c r="L556" t="s">
        <v>74</v>
      </c>
      <c r="M556" t="s">
        <v>78</v>
      </c>
      <c r="N556" t="s">
        <v>79</v>
      </c>
      <c r="O556" t="s">
        <v>74</v>
      </c>
      <c r="P556" t="s">
        <v>74</v>
      </c>
      <c r="Q556" t="s">
        <v>74</v>
      </c>
      <c r="R556" t="s">
        <v>74</v>
      </c>
      <c r="S556" t="s">
        <v>74</v>
      </c>
      <c r="T556" t="s">
        <v>10667</v>
      </c>
      <c r="U556" t="s">
        <v>10668</v>
      </c>
      <c r="V556" t="s">
        <v>10669</v>
      </c>
      <c r="W556" t="s">
        <v>10670</v>
      </c>
      <c r="X556" t="s">
        <v>10671</v>
      </c>
      <c r="Y556" t="s">
        <v>10672</v>
      </c>
      <c r="Z556" t="s">
        <v>10673</v>
      </c>
      <c r="AA556" t="s">
        <v>10674</v>
      </c>
      <c r="AB556" t="s">
        <v>10675</v>
      </c>
      <c r="AC556" t="s">
        <v>10676</v>
      </c>
      <c r="AD556" t="s">
        <v>10677</v>
      </c>
      <c r="AE556" t="s">
        <v>10678</v>
      </c>
      <c r="AF556" t="s">
        <v>74</v>
      </c>
      <c r="AG556">
        <v>26</v>
      </c>
      <c r="AH556">
        <v>2</v>
      </c>
      <c r="AI556">
        <v>2</v>
      </c>
      <c r="AJ556">
        <v>3</v>
      </c>
      <c r="AK556">
        <v>7</v>
      </c>
      <c r="AL556" t="s">
        <v>1667</v>
      </c>
      <c r="AM556" t="s">
        <v>1668</v>
      </c>
      <c r="AN556" t="s">
        <v>1669</v>
      </c>
      <c r="AO556" t="s">
        <v>9209</v>
      </c>
      <c r="AP556" t="s">
        <v>9210</v>
      </c>
      <c r="AQ556" t="s">
        <v>74</v>
      </c>
      <c r="AR556" t="s">
        <v>9211</v>
      </c>
      <c r="AS556" t="s">
        <v>9212</v>
      </c>
      <c r="AT556" t="s">
        <v>74</v>
      </c>
      <c r="AU556">
        <v>2022</v>
      </c>
      <c r="AV556">
        <v>60</v>
      </c>
      <c r="AW556" t="s">
        <v>74</v>
      </c>
      <c r="AX556" t="s">
        <v>74</v>
      </c>
      <c r="AY556" t="s">
        <v>74</v>
      </c>
      <c r="AZ556" t="s">
        <v>74</v>
      </c>
      <c r="BA556" t="s">
        <v>74</v>
      </c>
      <c r="BB556" t="s">
        <v>74</v>
      </c>
      <c r="BC556" t="s">
        <v>74</v>
      </c>
      <c r="BD556">
        <v>5233009</v>
      </c>
      <c r="BE556" t="s">
        <v>10679</v>
      </c>
      <c r="BF556" t="str">
        <f>HYPERLINK("http://dx.doi.org/10.1109/TGRS.2022.3198432","http://dx.doi.org/10.1109/TGRS.2022.3198432")</f>
        <v>http://dx.doi.org/10.1109/TGRS.2022.3198432</v>
      </c>
      <c r="BG556" t="s">
        <v>74</v>
      </c>
      <c r="BH556" t="s">
        <v>74</v>
      </c>
      <c r="BI556">
        <v>9</v>
      </c>
      <c r="BJ556" t="s">
        <v>9214</v>
      </c>
      <c r="BK556" t="s">
        <v>103</v>
      </c>
      <c r="BL556" t="s">
        <v>9215</v>
      </c>
      <c r="BM556" t="s">
        <v>10680</v>
      </c>
      <c r="BN556" t="s">
        <v>74</v>
      </c>
      <c r="BO556" t="s">
        <v>74</v>
      </c>
      <c r="BP556" t="s">
        <v>74</v>
      </c>
      <c r="BQ556" t="s">
        <v>74</v>
      </c>
      <c r="BR556" t="s">
        <v>106</v>
      </c>
      <c r="BS556" t="s">
        <v>10681</v>
      </c>
      <c r="BT556" t="str">
        <f>HYPERLINK("https%3A%2F%2Fwww.webofscience.com%2Fwos%2Fwoscc%2Ffull-record%2FWOS:000844159700013","View Full Record in Web of Science")</f>
        <v>View Full Record in Web of Science</v>
      </c>
    </row>
    <row r="557" spans="1:72" x14ac:dyDescent="0.15">
      <c r="A557" t="s">
        <v>7844</v>
      </c>
      <c r="B557" t="s">
        <v>10682</v>
      </c>
      <c r="C557" t="s">
        <v>74</v>
      </c>
      <c r="D557" t="s">
        <v>10683</v>
      </c>
      <c r="E557" t="s">
        <v>74</v>
      </c>
      <c r="F557" t="s">
        <v>10684</v>
      </c>
      <c r="G557" t="s">
        <v>74</v>
      </c>
      <c r="H557" t="s">
        <v>74</v>
      </c>
      <c r="I557" t="s">
        <v>10685</v>
      </c>
      <c r="J557" t="s">
        <v>10686</v>
      </c>
      <c r="K557" t="s">
        <v>10687</v>
      </c>
      <c r="L557" t="s">
        <v>74</v>
      </c>
      <c r="M557" t="s">
        <v>78</v>
      </c>
      <c r="N557" t="s">
        <v>7851</v>
      </c>
      <c r="O557" t="s">
        <v>10688</v>
      </c>
      <c r="P557" t="s">
        <v>10689</v>
      </c>
      <c r="Q557" t="s">
        <v>10690</v>
      </c>
      <c r="R557" t="s">
        <v>74</v>
      </c>
      <c r="S557" t="s">
        <v>74</v>
      </c>
      <c r="T557" t="s">
        <v>10691</v>
      </c>
      <c r="U557" t="s">
        <v>74</v>
      </c>
      <c r="V557" t="s">
        <v>10692</v>
      </c>
      <c r="W557" t="s">
        <v>10693</v>
      </c>
      <c r="X557" t="s">
        <v>10694</v>
      </c>
      <c r="Y557" t="s">
        <v>10695</v>
      </c>
      <c r="Z557" t="s">
        <v>10696</v>
      </c>
      <c r="AA557" t="s">
        <v>10697</v>
      </c>
      <c r="AB557" t="s">
        <v>10698</v>
      </c>
      <c r="AC557" t="s">
        <v>74</v>
      </c>
      <c r="AD557" t="s">
        <v>74</v>
      </c>
      <c r="AE557" t="s">
        <v>74</v>
      </c>
      <c r="AF557" t="s">
        <v>74</v>
      </c>
      <c r="AG557">
        <v>2</v>
      </c>
      <c r="AH557">
        <v>0</v>
      </c>
      <c r="AI557">
        <v>0</v>
      </c>
      <c r="AJ557">
        <v>0</v>
      </c>
      <c r="AK557">
        <v>2</v>
      </c>
      <c r="AL557" t="s">
        <v>10699</v>
      </c>
      <c r="AM557" t="s">
        <v>385</v>
      </c>
      <c r="AN557" t="s">
        <v>10700</v>
      </c>
      <c r="AO557" t="s">
        <v>10701</v>
      </c>
      <c r="AP557" t="s">
        <v>74</v>
      </c>
      <c r="AQ557" t="s">
        <v>74</v>
      </c>
      <c r="AR557" t="s">
        <v>10702</v>
      </c>
      <c r="AS557" t="s">
        <v>74</v>
      </c>
      <c r="AT557" t="s">
        <v>74</v>
      </c>
      <c r="AU557">
        <v>2022</v>
      </c>
      <c r="AV557" t="s">
        <v>74</v>
      </c>
      <c r="AW557" t="s">
        <v>74</v>
      </c>
      <c r="AX557" t="s">
        <v>74</v>
      </c>
      <c r="AY557" t="s">
        <v>74</v>
      </c>
      <c r="AZ557" t="s">
        <v>74</v>
      </c>
      <c r="BA557" t="s">
        <v>74</v>
      </c>
      <c r="BB557">
        <v>83</v>
      </c>
      <c r="BC557">
        <v>94</v>
      </c>
      <c r="BD557" t="s">
        <v>74</v>
      </c>
      <c r="BE557" t="s">
        <v>74</v>
      </c>
      <c r="BF557" t="s">
        <v>74</v>
      </c>
      <c r="BG557" t="s">
        <v>74</v>
      </c>
      <c r="BH557" t="s">
        <v>74</v>
      </c>
      <c r="BI557">
        <v>12</v>
      </c>
      <c r="BJ557" t="s">
        <v>10703</v>
      </c>
      <c r="BK557" t="s">
        <v>10704</v>
      </c>
      <c r="BL557" t="s">
        <v>10705</v>
      </c>
      <c r="BM557" t="s">
        <v>10706</v>
      </c>
      <c r="BN557" t="s">
        <v>74</v>
      </c>
      <c r="BO557" t="s">
        <v>74</v>
      </c>
      <c r="BP557" t="s">
        <v>74</v>
      </c>
      <c r="BQ557" t="s">
        <v>74</v>
      </c>
      <c r="BR557" t="s">
        <v>106</v>
      </c>
      <c r="BS557" t="s">
        <v>10707</v>
      </c>
      <c r="BT557" t="str">
        <f>HYPERLINK("https%3A%2F%2Fwww.webofscience.com%2Fwos%2Fwoscc%2Ffull-record%2FWOS:000853259700010","View Full Record in Web of Science")</f>
        <v>View Full Record in Web of Science</v>
      </c>
    </row>
    <row r="558" spans="1:72" x14ac:dyDescent="0.15">
      <c r="A558" t="s">
        <v>7844</v>
      </c>
      <c r="B558" t="s">
        <v>10708</v>
      </c>
      <c r="C558" t="s">
        <v>74</v>
      </c>
      <c r="D558" t="s">
        <v>10683</v>
      </c>
      <c r="E558" t="s">
        <v>74</v>
      </c>
      <c r="F558" t="s">
        <v>10709</v>
      </c>
      <c r="G558" t="s">
        <v>74</v>
      </c>
      <c r="H558" t="s">
        <v>74</v>
      </c>
      <c r="I558" t="s">
        <v>10710</v>
      </c>
      <c r="J558" t="s">
        <v>10686</v>
      </c>
      <c r="K558" t="s">
        <v>10687</v>
      </c>
      <c r="L558" t="s">
        <v>74</v>
      </c>
      <c r="M558" t="s">
        <v>78</v>
      </c>
      <c r="N558" t="s">
        <v>7851</v>
      </c>
      <c r="O558" t="s">
        <v>10688</v>
      </c>
      <c r="P558" t="s">
        <v>10689</v>
      </c>
      <c r="Q558" t="s">
        <v>10690</v>
      </c>
      <c r="R558" t="s">
        <v>74</v>
      </c>
      <c r="S558" t="s">
        <v>74</v>
      </c>
      <c r="T558" t="s">
        <v>10711</v>
      </c>
      <c r="U558" t="s">
        <v>74</v>
      </c>
      <c r="V558" t="s">
        <v>10712</v>
      </c>
      <c r="W558" t="s">
        <v>10713</v>
      </c>
      <c r="X558" t="s">
        <v>8821</v>
      </c>
      <c r="Y558" t="s">
        <v>10714</v>
      </c>
      <c r="Z558" t="s">
        <v>10715</v>
      </c>
      <c r="AA558" t="s">
        <v>10716</v>
      </c>
      <c r="AB558" t="s">
        <v>10717</v>
      </c>
      <c r="AC558" t="s">
        <v>10718</v>
      </c>
      <c r="AD558" t="s">
        <v>10719</v>
      </c>
      <c r="AE558" t="s">
        <v>10720</v>
      </c>
      <c r="AF558" t="s">
        <v>74</v>
      </c>
      <c r="AG558">
        <v>16</v>
      </c>
      <c r="AH558">
        <v>0</v>
      </c>
      <c r="AI558">
        <v>0</v>
      </c>
      <c r="AJ558">
        <v>0</v>
      </c>
      <c r="AK558">
        <v>0</v>
      </c>
      <c r="AL558" t="s">
        <v>10699</v>
      </c>
      <c r="AM558" t="s">
        <v>385</v>
      </c>
      <c r="AN558" t="s">
        <v>10700</v>
      </c>
      <c r="AO558" t="s">
        <v>10701</v>
      </c>
      <c r="AP558" t="s">
        <v>74</v>
      </c>
      <c r="AQ558" t="s">
        <v>74</v>
      </c>
      <c r="AR558" t="s">
        <v>10702</v>
      </c>
      <c r="AS558" t="s">
        <v>74</v>
      </c>
      <c r="AT558" t="s">
        <v>74</v>
      </c>
      <c r="AU558">
        <v>2022</v>
      </c>
      <c r="AV558" t="s">
        <v>74</v>
      </c>
      <c r="AW558" t="s">
        <v>74</v>
      </c>
      <c r="AX558" t="s">
        <v>74</v>
      </c>
      <c r="AY558" t="s">
        <v>74</v>
      </c>
      <c r="AZ558" t="s">
        <v>74</v>
      </c>
      <c r="BA558" t="s">
        <v>74</v>
      </c>
      <c r="BB558">
        <v>191</v>
      </c>
      <c r="BC558">
        <v>198</v>
      </c>
      <c r="BD558" t="s">
        <v>74</v>
      </c>
      <c r="BE558" t="s">
        <v>74</v>
      </c>
      <c r="BF558" t="s">
        <v>74</v>
      </c>
      <c r="BG558" t="s">
        <v>74</v>
      </c>
      <c r="BH558" t="s">
        <v>74</v>
      </c>
      <c r="BI558">
        <v>8</v>
      </c>
      <c r="BJ558" t="s">
        <v>10703</v>
      </c>
      <c r="BK558" t="s">
        <v>10704</v>
      </c>
      <c r="BL558" t="s">
        <v>10705</v>
      </c>
      <c r="BM558" t="s">
        <v>10706</v>
      </c>
      <c r="BN558" t="s">
        <v>74</v>
      </c>
      <c r="BO558" t="s">
        <v>74</v>
      </c>
      <c r="BP558" t="s">
        <v>74</v>
      </c>
      <c r="BQ558" t="s">
        <v>74</v>
      </c>
      <c r="BR558" t="s">
        <v>106</v>
      </c>
      <c r="BS558" t="s">
        <v>10721</v>
      </c>
      <c r="BT558" t="str">
        <f>HYPERLINK("https%3A%2F%2Fwww.webofscience.com%2Fwos%2Fwoscc%2Ffull-record%2FWOS:000853259700022","View Full Record in Web of Science")</f>
        <v>View Full Record in Web of Science</v>
      </c>
    </row>
    <row r="559" spans="1:72" x14ac:dyDescent="0.15">
      <c r="A559" t="s">
        <v>7844</v>
      </c>
      <c r="B559" t="s">
        <v>10722</v>
      </c>
      <c r="C559" t="s">
        <v>74</v>
      </c>
      <c r="D559" t="s">
        <v>74</v>
      </c>
      <c r="E559" t="s">
        <v>8395</v>
      </c>
      <c r="F559" t="s">
        <v>10723</v>
      </c>
      <c r="G559" t="s">
        <v>74</v>
      </c>
      <c r="H559" t="s">
        <v>74</v>
      </c>
      <c r="I559" t="s">
        <v>10724</v>
      </c>
      <c r="J559" t="s">
        <v>10725</v>
      </c>
      <c r="K559" t="s">
        <v>74</v>
      </c>
      <c r="L559" t="s">
        <v>74</v>
      </c>
      <c r="M559" t="s">
        <v>78</v>
      </c>
      <c r="N559" t="s">
        <v>7851</v>
      </c>
      <c r="O559" t="s">
        <v>10726</v>
      </c>
      <c r="P559" t="s">
        <v>10727</v>
      </c>
      <c r="Q559" t="s">
        <v>10728</v>
      </c>
      <c r="R559" t="s">
        <v>74</v>
      </c>
      <c r="S559" t="s">
        <v>74</v>
      </c>
      <c r="T559" t="s">
        <v>74</v>
      </c>
      <c r="U559" t="s">
        <v>10729</v>
      </c>
      <c r="V559" t="s">
        <v>10730</v>
      </c>
      <c r="W559" t="s">
        <v>10731</v>
      </c>
      <c r="X559" t="s">
        <v>10732</v>
      </c>
      <c r="Y559" t="s">
        <v>10733</v>
      </c>
      <c r="Z559" t="s">
        <v>74</v>
      </c>
      <c r="AA559" t="s">
        <v>10734</v>
      </c>
      <c r="AB559" t="s">
        <v>10735</v>
      </c>
      <c r="AC559" t="s">
        <v>10736</v>
      </c>
      <c r="AD559" t="s">
        <v>10736</v>
      </c>
      <c r="AE559" t="s">
        <v>10737</v>
      </c>
      <c r="AF559" t="s">
        <v>74</v>
      </c>
      <c r="AG559">
        <v>8</v>
      </c>
      <c r="AH559">
        <v>3</v>
      </c>
      <c r="AI559">
        <v>3</v>
      </c>
      <c r="AJ559">
        <v>1</v>
      </c>
      <c r="AK559">
        <v>3</v>
      </c>
      <c r="AL559" t="s">
        <v>8395</v>
      </c>
      <c r="AM559" t="s">
        <v>506</v>
      </c>
      <c r="AN559" t="s">
        <v>8396</v>
      </c>
      <c r="AO559" t="s">
        <v>74</v>
      </c>
      <c r="AP559" t="s">
        <v>74</v>
      </c>
      <c r="AQ559" t="s">
        <v>10738</v>
      </c>
      <c r="AR559" t="s">
        <v>74</v>
      </c>
      <c r="AS559" t="s">
        <v>74</v>
      </c>
      <c r="AT559" t="s">
        <v>74</v>
      </c>
      <c r="AU559">
        <v>2022</v>
      </c>
      <c r="AV559" t="s">
        <v>74</v>
      </c>
      <c r="AW559" t="s">
        <v>74</v>
      </c>
      <c r="AX559" t="s">
        <v>74</v>
      </c>
      <c r="AY559" t="s">
        <v>74</v>
      </c>
      <c r="AZ559" t="s">
        <v>74</v>
      </c>
      <c r="BA559" t="s">
        <v>74</v>
      </c>
      <c r="BB559" t="s">
        <v>74</v>
      </c>
      <c r="BC559" t="s">
        <v>74</v>
      </c>
      <c r="BD559" t="s">
        <v>74</v>
      </c>
      <c r="BE559" t="s">
        <v>74</v>
      </c>
      <c r="BF559" t="s">
        <v>74</v>
      </c>
      <c r="BG559" t="s">
        <v>74</v>
      </c>
      <c r="BH559" t="s">
        <v>74</v>
      </c>
      <c r="BI559">
        <v>4</v>
      </c>
      <c r="BJ559" t="s">
        <v>10739</v>
      </c>
      <c r="BK559" t="s">
        <v>7868</v>
      </c>
      <c r="BL559" t="s">
        <v>10740</v>
      </c>
      <c r="BM559" t="s">
        <v>10741</v>
      </c>
      <c r="BN559" t="s">
        <v>74</v>
      </c>
      <c r="BO559" t="s">
        <v>74</v>
      </c>
      <c r="BP559" t="s">
        <v>74</v>
      </c>
      <c r="BQ559" t="s">
        <v>74</v>
      </c>
      <c r="BR559" t="s">
        <v>106</v>
      </c>
      <c r="BS559" t="s">
        <v>10742</v>
      </c>
      <c r="BT559" t="str">
        <f>HYPERLINK("https%3A%2F%2Fwww.webofscience.com%2Fwos%2Fwoscc%2Ffull-record%2FWOS:000848420400103","View Full Record in Web of Science")</f>
        <v>View Full Record in Web of Science</v>
      </c>
    </row>
    <row r="560" spans="1:72" x14ac:dyDescent="0.15">
      <c r="A560" t="s">
        <v>7844</v>
      </c>
      <c r="B560" t="s">
        <v>8701</v>
      </c>
      <c r="C560" t="s">
        <v>74</v>
      </c>
      <c r="D560" t="s">
        <v>74</v>
      </c>
      <c r="E560" t="s">
        <v>8395</v>
      </c>
      <c r="F560" t="s">
        <v>8702</v>
      </c>
      <c r="G560" t="s">
        <v>74</v>
      </c>
      <c r="H560" t="s">
        <v>74</v>
      </c>
      <c r="I560" t="s">
        <v>10743</v>
      </c>
      <c r="J560" t="s">
        <v>10725</v>
      </c>
      <c r="K560" t="s">
        <v>74</v>
      </c>
      <c r="L560" t="s">
        <v>74</v>
      </c>
      <c r="M560" t="s">
        <v>78</v>
      </c>
      <c r="N560" t="s">
        <v>7851</v>
      </c>
      <c r="O560" t="s">
        <v>10726</v>
      </c>
      <c r="P560" t="s">
        <v>10727</v>
      </c>
      <c r="Q560" t="s">
        <v>10728</v>
      </c>
      <c r="R560" t="s">
        <v>74</v>
      </c>
      <c r="S560" t="s">
        <v>74</v>
      </c>
      <c r="T560" t="s">
        <v>74</v>
      </c>
      <c r="U560" t="s">
        <v>74</v>
      </c>
      <c r="V560" t="s">
        <v>10744</v>
      </c>
      <c r="W560" t="s">
        <v>8706</v>
      </c>
      <c r="X560" t="s">
        <v>8707</v>
      </c>
      <c r="Y560" t="s">
        <v>8708</v>
      </c>
      <c r="Z560" t="s">
        <v>74</v>
      </c>
      <c r="AA560" t="s">
        <v>8709</v>
      </c>
      <c r="AB560" t="s">
        <v>10745</v>
      </c>
      <c r="AC560" t="s">
        <v>8711</v>
      </c>
      <c r="AD560" t="s">
        <v>8039</v>
      </c>
      <c r="AE560" t="s">
        <v>10746</v>
      </c>
      <c r="AF560" t="s">
        <v>74</v>
      </c>
      <c r="AG560">
        <v>5</v>
      </c>
      <c r="AH560">
        <v>0</v>
      </c>
      <c r="AI560">
        <v>0</v>
      </c>
      <c r="AJ560">
        <v>0</v>
      </c>
      <c r="AK560">
        <v>0</v>
      </c>
      <c r="AL560" t="s">
        <v>8395</v>
      </c>
      <c r="AM560" t="s">
        <v>506</v>
      </c>
      <c r="AN560" t="s">
        <v>8396</v>
      </c>
      <c r="AO560" t="s">
        <v>74</v>
      </c>
      <c r="AP560" t="s">
        <v>74</v>
      </c>
      <c r="AQ560" t="s">
        <v>10738</v>
      </c>
      <c r="AR560" t="s">
        <v>74</v>
      </c>
      <c r="AS560" t="s">
        <v>74</v>
      </c>
      <c r="AT560" t="s">
        <v>74</v>
      </c>
      <c r="AU560">
        <v>2022</v>
      </c>
      <c r="AV560" t="s">
        <v>74</v>
      </c>
      <c r="AW560" t="s">
        <v>74</v>
      </c>
      <c r="AX560" t="s">
        <v>74</v>
      </c>
      <c r="AY560" t="s">
        <v>74</v>
      </c>
      <c r="AZ560" t="s">
        <v>74</v>
      </c>
      <c r="BA560" t="s">
        <v>74</v>
      </c>
      <c r="BB560" t="s">
        <v>74</v>
      </c>
      <c r="BC560" t="s">
        <v>74</v>
      </c>
      <c r="BD560" t="s">
        <v>74</v>
      </c>
      <c r="BE560" t="s">
        <v>74</v>
      </c>
      <c r="BF560" t="s">
        <v>74</v>
      </c>
      <c r="BG560" t="s">
        <v>74</v>
      </c>
      <c r="BH560" t="s">
        <v>74</v>
      </c>
      <c r="BI560">
        <v>4</v>
      </c>
      <c r="BJ560" t="s">
        <v>10739</v>
      </c>
      <c r="BK560" t="s">
        <v>7868</v>
      </c>
      <c r="BL560" t="s">
        <v>10740</v>
      </c>
      <c r="BM560" t="s">
        <v>10741</v>
      </c>
      <c r="BN560" t="s">
        <v>74</v>
      </c>
      <c r="BO560" t="s">
        <v>74</v>
      </c>
      <c r="BP560" t="s">
        <v>74</v>
      </c>
      <c r="BQ560" t="s">
        <v>74</v>
      </c>
      <c r="BR560" t="s">
        <v>106</v>
      </c>
      <c r="BS560" t="s">
        <v>10747</v>
      </c>
      <c r="BT560" t="str">
        <f>HYPERLINK("https%3A%2F%2Fwww.webofscience.com%2Fwos%2Fwoscc%2Ffull-record%2FWOS:000848420400052","View Full Record in Web of Science")</f>
        <v>View Full Record in Web of Science</v>
      </c>
    </row>
    <row r="561" spans="1:72" x14ac:dyDescent="0.15">
      <c r="A561" t="s">
        <v>72</v>
      </c>
      <c r="B561" t="s">
        <v>10748</v>
      </c>
      <c r="C561" t="s">
        <v>74</v>
      </c>
      <c r="D561" t="s">
        <v>74</v>
      </c>
      <c r="E561" t="s">
        <v>74</v>
      </c>
      <c r="F561" t="s">
        <v>10749</v>
      </c>
      <c r="G561" t="s">
        <v>74</v>
      </c>
      <c r="H561" t="s">
        <v>74</v>
      </c>
      <c r="I561" t="s">
        <v>10750</v>
      </c>
      <c r="J561" t="s">
        <v>9737</v>
      </c>
      <c r="K561" t="s">
        <v>74</v>
      </c>
      <c r="L561" t="s">
        <v>74</v>
      </c>
      <c r="M561" t="s">
        <v>78</v>
      </c>
      <c r="N561" t="s">
        <v>79</v>
      </c>
      <c r="O561" t="s">
        <v>74</v>
      </c>
      <c r="P561" t="s">
        <v>74</v>
      </c>
      <c r="Q561" t="s">
        <v>74</v>
      </c>
      <c r="R561" t="s">
        <v>74</v>
      </c>
      <c r="S561" t="s">
        <v>74</v>
      </c>
      <c r="T561" t="s">
        <v>10751</v>
      </c>
      <c r="U561" t="s">
        <v>10752</v>
      </c>
      <c r="V561" t="s">
        <v>10753</v>
      </c>
      <c r="W561" t="s">
        <v>10754</v>
      </c>
      <c r="X561" t="s">
        <v>10620</v>
      </c>
      <c r="Y561" t="s">
        <v>10755</v>
      </c>
      <c r="Z561" t="s">
        <v>10756</v>
      </c>
      <c r="AA561" t="s">
        <v>10757</v>
      </c>
      <c r="AB561" t="s">
        <v>10758</v>
      </c>
      <c r="AC561" t="s">
        <v>10759</v>
      </c>
      <c r="AD561" t="s">
        <v>1577</v>
      </c>
      <c r="AE561" t="s">
        <v>10760</v>
      </c>
      <c r="AF561" t="s">
        <v>74</v>
      </c>
      <c r="AG561">
        <v>25</v>
      </c>
      <c r="AH561">
        <v>0</v>
      </c>
      <c r="AI561">
        <v>0</v>
      </c>
      <c r="AJ561">
        <v>5</v>
      </c>
      <c r="AK561">
        <v>20</v>
      </c>
      <c r="AL561" t="s">
        <v>1667</v>
      </c>
      <c r="AM561" t="s">
        <v>1668</v>
      </c>
      <c r="AN561" t="s">
        <v>1669</v>
      </c>
      <c r="AO561" t="s">
        <v>9750</v>
      </c>
      <c r="AP561" t="s">
        <v>9751</v>
      </c>
      <c r="AQ561" t="s">
        <v>74</v>
      </c>
      <c r="AR561" t="s">
        <v>9752</v>
      </c>
      <c r="AS561" t="s">
        <v>9753</v>
      </c>
      <c r="AT561" t="s">
        <v>74</v>
      </c>
      <c r="AU561">
        <v>2022</v>
      </c>
      <c r="AV561">
        <v>15</v>
      </c>
      <c r="AW561" t="s">
        <v>74</v>
      </c>
      <c r="AX561" t="s">
        <v>74</v>
      </c>
      <c r="AY561" t="s">
        <v>74</v>
      </c>
      <c r="AZ561" t="s">
        <v>74</v>
      </c>
      <c r="BA561" t="s">
        <v>74</v>
      </c>
      <c r="BB561">
        <v>5636</v>
      </c>
      <c r="BC561">
        <v>5643</v>
      </c>
      <c r="BD561" t="s">
        <v>74</v>
      </c>
      <c r="BE561" t="s">
        <v>10761</v>
      </c>
      <c r="BF561" t="str">
        <f>HYPERLINK("http://dx.doi.org/10.1109/JSTARS.2022.3189042","http://dx.doi.org/10.1109/JSTARS.2022.3189042")</f>
        <v>http://dx.doi.org/10.1109/JSTARS.2022.3189042</v>
      </c>
      <c r="BG561" t="s">
        <v>74</v>
      </c>
      <c r="BH561" t="s">
        <v>74</v>
      </c>
      <c r="BI561">
        <v>8</v>
      </c>
      <c r="BJ561" t="s">
        <v>9755</v>
      </c>
      <c r="BK561" t="s">
        <v>103</v>
      </c>
      <c r="BL561" t="s">
        <v>9756</v>
      </c>
      <c r="BM561" t="s">
        <v>10762</v>
      </c>
      <c r="BN561" t="s">
        <v>74</v>
      </c>
      <c r="BO561" t="s">
        <v>445</v>
      </c>
      <c r="BP561" t="s">
        <v>74</v>
      </c>
      <c r="BQ561" t="s">
        <v>74</v>
      </c>
      <c r="BR561" t="s">
        <v>106</v>
      </c>
      <c r="BS561" t="s">
        <v>10763</v>
      </c>
      <c r="BT561" t="str">
        <f>HYPERLINK("https%3A%2F%2Fwww.webofscience.com%2Fwos%2Fwoscc%2Ffull-record%2FWOS:000846865100011","View Full Record in Web of Science")</f>
        <v>View Full Record in Web of Science</v>
      </c>
    </row>
    <row r="562" spans="1:72" x14ac:dyDescent="0.15">
      <c r="A562" t="s">
        <v>72</v>
      </c>
      <c r="B562" t="s">
        <v>10764</v>
      </c>
      <c r="C562" t="s">
        <v>74</v>
      </c>
      <c r="D562" t="s">
        <v>74</v>
      </c>
      <c r="E562" t="s">
        <v>74</v>
      </c>
      <c r="F562" t="s">
        <v>10765</v>
      </c>
      <c r="G562" t="s">
        <v>74</v>
      </c>
      <c r="H562" t="s">
        <v>74</v>
      </c>
      <c r="I562" t="s">
        <v>10766</v>
      </c>
      <c r="J562" t="s">
        <v>10767</v>
      </c>
      <c r="K562" t="s">
        <v>74</v>
      </c>
      <c r="L562" t="s">
        <v>74</v>
      </c>
      <c r="M562" t="s">
        <v>78</v>
      </c>
      <c r="N562" t="s">
        <v>79</v>
      </c>
      <c r="O562" t="s">
        <v>74</v>
      </c>
      <c r="P562" t="s">
        <v>74</v>
      </c>
      <c r="Q562" t="s">
        <v>74</v>
      </c>
      <c r="R562" t="s">
        <v>74</v>
      </c>
      <c r="S562" t="s">
        <v>74</v>
      </c>
      <c r="T562" t="s">
        <v>10768</v>
      </c>
      <c r="U562" t="s">
        <v>10769</v>
      </c>
      <c r="V562" t="s">
        <v>10770</v>
      </c>
      <c r="W562" t="s">
        <v>10771</v>
      </c>
      <c r="X562" t="s">
        <v>10772</v>
      </c>
      <c r="Y562" t="s">
        <v>10773</v>
      </c>
      <c r="Z562" t="s">
        <v>10774</v>
      </c>
      <c r="AA562" t="s">
        <v>10775</v>
      </c>
      <c r="AB562" t="s">
        <v>10776</v>
      </c>
      <c r="AC562" t="s">
        <v>10777</v>
      </c>
      <c r="AD562" t="s">
        <v>10778</v>
      </c>
      <c r="AE562" t="s">
        <v>10779</v>
      </c>
      <c r="AF562" t="s">
        <v>74</v>
      </c>
      <c r="AG562">
        <v>16</v>
      </c>
      <c r="AH562">
        <v>1</v>
      </c>
      <c r="AI562">
        <v>1</v>
      </c>
      <c r="AJ562">
        <v>7</v>
      </c>
      <c r="AK562">
        <v>28</v>
      </c>
      <c r="AL562" t="s">
        <v>1667</v>
      </c>
      <c r="AM562" t="s">
        <v>1668</v>
      </c>
      <c r="AN562" t="s">
        <v>1669</v>
      </c>
      <c r="AO562" t="s">
        <v>10780</v>
      </c>
      <c r="AP562" t="s">
        <v>10781</v>
      </c>
      <c r="AQ562" t="s">
        <v>74</v>
      </c>
      <c r="AR562" t="s">
        <v>10782</v>
      </c>
      <c r="AS562" t="s">
        <v>10783</v>
      </c>
      <c r="AT562" t="s">
        <v>74</v>
      </c>
      <c r="AU562">
        <v>2022</v>
      </c>
      <c r="AV562">
        <v>19</v>
      </c>
      <c r="AW562" t="s">
        <v>74</v>
      </c>
      <c r="AX562" t="s">
        <v>74</v>
      </c>
      <c r="AY562" t="s">
        <v>74</v>
      </c>
      <c r="AZ562" t="s">
        <v>74</v>
      </c>
      <c r="BA562" t="s">
        <v>74</v>
      </c>
      <c r="BB562" t="s">
        <v>74</v>
      </c>
      <c r="BC562" t="s">
        <v>74</v>
      </c>
      <c r="BD562">
        <v>5003205</v>
      </c>
      <c r="BE562" t="s">
        <v>10784</v>
      </c>
      <c r="BF562" t="str">
        <f>HYPERLINK("http://dx.doi.org/10.1109/LGRS.2022.3198253","http://dx.doi.org/10.1109/LGRS.2022.3198253")</f>
        <v>http://dx.doi.org/10.1109/LGRS.2022.3198253</v>
      </c>
      <c r="BG562" t="s">
        <v>74</v>
      </c>
      <c r="BH562" t="s">
        <v>74</v>
      </c>
      <c r="BI562">
        <v>5</v>
      </c>
      <c r="BJ562" t="s">
        <v>9214</v>
      </c>
      <c r="BK562" t="s">
        <v>103</v>
      </c>
      <c r="BL562" t="s">
        <v>9215</v>
      </c>
      <c r="BM562" t="s">
        <v>10785</v>
      </c>
      <c r="BN562" t="s">
        <v>74</v>
      </c>
      <c r="BO562" t="s">
        <v>74</v>
      </c>
      <c r="BP562" t="s">
        <v>74</v>
      </c>
      <c r="BQ562" t="s">
        <v>74</v>
      </c>
      <c r="BR562" t="s">
        <v>106</v>
      </c>
      <c r="BS562" t="s">
        <v>10786</v>
      </c>
      <c r="BT562" t="str">
        <f>HYPERLINK("https%3A%2F%2Fwww.webofscience.com%2Fwos%2Fwoscc%2Ffull-record%2FWOS:000844130200007","View Full Record in Web of Science")</f>
        <v>View Full Record in Web of Science</v>
      </c>
    </row>
    <row r="563" spans="1:72" x14ac:dyDescent="0.15">
      <c r="A563" t="s">
        <v>72</v>
      </c>
      <c r="B563" t="s">
        <v>10787</v>
      </c>
      <c r="C563" t="s">
        <v>74</v>
      </c>
      <c r="D563" t="s">
        <v>74</v>
      </c>
      <c r="E563" t="s">
        <v>74</v>
      </c>
      <c r="F563" t="s">
        <v>10788</v>
      </c>
      <c r="G563" t="s">
        <v>74</v>
      </c>
      <c r="H563" t="s">
        <v>74</v>
      </c>
      <c r="I563" t="s">
        <v>10789</v>
      </c>
      <c r="J563" t="s">
        <v>10790</v>
      </c>
      <c r="K563" t="s">
        <v>74</v>
      </c>
      <c r="L563" t="s">
        <v>74</v>
      </c>
      <c r="M563" t="s">
        <v>78</v>
      </c>
      <c r="N563" t="s">
        <v>79</v>
      </c>
      <c r="O563" t="s">
        <v>74</v>
      </c>
      <c r="P563" t="s">
        <v>74</v>
      </c>
      <c r="Q563" t="s">
        <v>74</v>
      </c>
      <c r="R563" t="s">
        <v>74</v>
      </c>
      <c r="S563" t="s">
        <v>74</v>
      </c>
      <c r="T563" t="s">
        <v>10791</v>
      </c>
      <c r="U563" t="s">
        <v>10792</v>
      </c>
      <c r="V563" t="s">
        <v>10793</v>
      </c>
      <c r="W563" t="s">
        <v>10794</v>
      </c>
      <c r="X563" t="s">
        <v>10795</v>
      </c>
      <c r="Y563" t="s">
        <v>10796</v>
      </c>
      <c r="Z563" t="s">
        <v>10797</v>
      </c>
      <c r="AA563" t="s">
        <v>10798</v>
      </c>
      <c r="AB563" t="s">
        <v>10799</v>
      </c>
      <c r="AC563" t="s">
        <v>10800</v>
      </c>
      <c r="AD563" t="s">
        <v>10801</v>
      </c>
      <c r="AE563" t="s">
        <v>10802</v>
      </c>
      <c r="AF563" t="s">
        <v>74</v>
      </c>
      <c r="AG563">
        <v>38</v>
      </c>
      <c r="AH563">
        <v>5</v>
      </c>
      <c r="AI563">
        <v>5</v>
      </c>
      <c r="AJ563">
        <v>0</v>
      </c>
      <c r="AK563">
        <v>1</v>
      </c>
      <c r="AL563" t="s">
        <v>10803</v>
      </c>
      <c r="AM563" t="s">
        <v>10804</v>
      </c>
      <c r="AN563" t="s">
        <v>10805</v>
      </c>
      <c r="AO563" t="s">
        <v>10806</v>
      </c>
      <c r="AP563" t="s">
        <v>10807</v>
      </c>
      <c r="AQ563" t="s">
        <v>74</v>
      </c>
      <c r="AR563" t="s">
        <v>10808</v>
      </c>
      <c r="AS563" t="s">
        <v>10809</v>
      </c>
      <c r="AT563" t="s">
        <v>74</v>
      </c>
      <c r="AU563">
        <v>2022</v>
      </c>
      <c r="AV563">
        <v>117</v>
      </c>
      <c r="AW563">
        <v>1</v>
      </c>
      <c r="AX563" t="s">
        <v>74</v>
      </c>
      <c r="AY563" t="s">
        <v>74</v>
      </c>
      <c r="AZ563" t="s">
        <v>74</v>
      </c>
      <c r="BA563" t="s">
        <v>74</v>
      </c>
      <c r="BB563" t="s">
        <v>74</v>
      </c>
      <c r="BC563" t="s">
        <v>74</v>
      </c>
      <c r="BD563">
        <v>8</v>
      </c>
      <c r="BE563" t="s">
        <v>10810</v>
      </c>
      <c r="BF563" t="str">
        <f>HYPERLINK("http://dx.doi.org/10.2465/jmps.220317","http://dx.doi.org/10.2465/jmps.220317")</f>
        <v>http://dx.doi.org/10.2465/jmps.220317</v>
      </c>
      <c r="BG563" t="s">
        <v>74</v>
      </c>
      <c r="BH563" t="s">
        <v>74</v>
      </c>
      <c r="BI563">
        <v>12</v>
      </c>
      <c r="BJ563" t="s">
        <v>10345</v>
      </c>
      <c r="BK563" t="s">
        <v>103</v>
      </c>
      <c r="BL563" t="s">
        <v>10345</v>
      </c>
      <c r="BM563" t="s">
        <v>10811</v>
      </c>
      <c r="BN563" t="s">
        <v>74</v>
      </c>
      <c r="BO563" t="s">
        <v>445</v>
      </c>
      <c r="BP563" t="s">
        <v>74</v>
      </c>
      <c r="BQ563" t="s">
        <v>74</v>
      </c>
      <c r="BR563" t="s">
        <v>106</v>
      </c>
      <c r="BS563" t="s">
        <v>10812</v>
      </c>
      <c r="BT563" t="str">
        <f>HYPERLINK("https%3A%2F%2Fwww.webofscience.com%2Fwos%2Fwoscc%2Ffull-record%2FWOS:000843314200001","View Full Record in Web of Science")</f>
        <v>View Full Record in Web of Science</v>
      </c>
    </row>
    <row r="564" spans="1:72" x14ac:dyDescent="0.15">
      <c r="A564" t="s">
        <v>72</v>
      </c>
      <c r="B564" t="s">
        <v>10813</v>
      </c>
      <c r="C564" t="s">
        <v>74</v>
      </c>
      <c r="D564" t="s">
        <v>74</v>
      </c>
      <c r="E564" t="s">
        <v>74</v>
      </c>
      <c r="F564" t="s">
        <v>10814</v>
      </c>
      <c r="G564" t="s">
        <v>74</v>
      </c>
      <c r="H564" t="s">
        <v>74</v>
      </c>
      <c r="I564" t="s">
        <v>10815</v>
      </c>
      <c r="J564" t="s">
        <v>10816</v>
      </c>
      <c r="K564" t="s">
        <v>74</v>
      </c>
      <c r="L564" t="s">
        <v>74</v>
      </c>
      <c r="M564" t="s">
        <v>78</v>
      </c>
      <c r="N564" t="s">
        <v>79</v>
      </c>
      <c r="O564" t="s">
        <v>74</v>
      </c>
      <c r="P564" t="s">
        <v>74</v>
      </c>
      <c r="Q564" t="s">
        <v>74</v>
      </c>
      <c r="R564" t="s">
        <v>74</v>
      </c>
      <c r="S564" t="s">
        <v>74</v>
      </c>
      <c r="T564" t="s">
        <v>10817</v>
      </c>
      <c r="U564" t="s">
        <v>10818</v>
      </c>
      <c r="V564" t="s">
        <v>10819</v>
      </c>
      <c r="W564" t="s">
        <v>10820</v>
      </c>
      <c r="X564" t="s">
        <v>10821</v>
      </c>
      <c r="Y564" t="s">
        <v>10822</v>
      </c>
      <c r="Z564" t="s">
        <v>10823</v>
      </c>
      <c r="AA564" t="s">
        <v>10824</v>
      </c>
      <c r="AB564" t="s">
        <v>10825</v>
      </c>
      <c r="AC564" t="s">
        <v>10826</v>
      </c>
      <c r="AD564" t="s">
        <v>10827</v>
      </c>
      <c r="AE564" t="s">
        <v>10828</v>
      </c>
      <c r="AF564" t="s">
        <v>74</v>
      </c>
      <c r="AG564">
        <v>56</v>
      </c>
      <c r="AH564">
        <v>0</v>
      </c>
      <c r="AI564">
        <v>0</v>
      </c>
      <c r="AJ564">
        <v>2</v>
      </c>
      <c r="AK564">
        <v>9</v>
      </c>
      <c r="AL564" t="s">
        <v>9822</v>
      </c>
      <c r="AM564" t="s">
        <v>9823</v>
      </c>
      <c r="AN564" t="s">
        <v>9824</v>
      </c>
      <c r="AO564" t="s">
        <v>10829</v>
      </c>
      <c r="AP564" t="s">
        <v>74</v>
      </c>
      <c r="AQ564" t="s">
        <v>74</v>
      </c>
      <c r="AR564" t="s">
        <v>10830</v>
      </c>
      <c r="AS564" t="s">
        <v>10831</v>
      </c>
      <c r="AT564" t="s">
        <v>74</v>
      </c>
      <c r="AU564">
        <v>2022</v>
      </c>
      <c r="AV564">
        <v>14</v>
      </c>
      <c r="AW564" t="s">
        <v>74</v>
      </c>
      <c r="AX564" t="s">
        <v>74</v>
      </c>
      <c r="AY564" t="s">
        <v>74</v>
      </c>
      <c r="AZ564" t="s">
        <v>74</v>
      </c>
      <c r="BA564" t="s">
        <v>74</v>
      </c>
      <c r="BB564">
        <v>1387</v>
      </c>
      <c r="BC564">
        <v>1396</v>
      </c>
      <c r="BD564" t="s">
        <v>74</v>
      </c>
      <c r="BE564" t="s">
        <v>10832</v>
      </c>
      <c r="BF564" t="str">
        <f>HYPERLINK("http://dx.doi.org/10.2147/NSS.S370659","http://dx.doi.org/10.2147/NSS.S370659")</f>
        <v>http://dx.doi.org/10.2147/NSS.S370659</v>
      </c>
      <c r="BG564" t="s">
        <v>74</v>
      </c>
      <c r="BH564" t="s">
        <v>74</v>
      </c>
      <c r="BI564">
        <v>10</v>
      </c>
      <c r="BJ564" t="s">
        <v>10833</v>
      </c>
      <c r="BK564" t="s">
        <v>103</v>
      </c>
      <c r="BL564" t="s">
        <v>10834</v>
      </c>
      <c r="BM564" t="s">
        <v>10835</v>
      </c>
      <c r="BN564">
        <v>35982827</v>
      </c>
      <c r="BO564" t="s">
        <v>211</v>
      </c>
      <c r="BP564" t="s">
        <v>74</v>
      </c>
      <c r="BQ564" t="s">
        <v>74</v>
      </c>
      <c r="BR564" t="s">
        <v>106</v>
      </c>
      <c r="BS564" t="s">
        <v>10836</v>
      </c>
      <c r="BT564" t="str">
        <f>HYPERLINK("https%3A%2F%2Fwww.webofscience.com%2Fwos%2Fwoscc%2Ffull-record%2FWOS:000842916800001","View Full Record in Web of Science")</f>
        <v>View Full Record in Web of Science</v>
      </c>
    </row>
    <row r="565" spans="1:72" x14ac:dyDescent="0.15">
      <c r="A565" t="s">
        <v>72</v>
      </c>
      <c r="B565" t="s">
        <v>10837</v>
      </c>
      <c r="C565" t="s">
        <v>74</v>
      </c>
      <c r="D565" t="s">
        <v>74</v>
      </c>
      <c r="E565" t="s">
        <v>74</v>
      </c>
      <c r="F565" t="s">
        <v>10838</v>
      </c>
      <c r="G565" t="s">
        <v>74</v>
      </c>
      <c r="H565" t="s">
        <v>74</v>
      </c>
      <c r="I565" t="s">
        <v>10839</v>
      </c>
      <c r="J565" t="s">
        <v>10840</v>
      </c>
      <c r="K565" t="s">
        <v>74</v>
      </c>
      <c r="L565" t="s">
        <v>74</v>
      </c>
      <c r="M565" t="s">
        <v>78</v>
      </c>
      <c r="N565" t="s">
        <v>79</v>
      </c>
      <c r="O565" t="s">
        <v>74</v>
      </c>
      <c r="P565" t="s">
        <v>74</v>
      </c>
      <c r="Q565" t="s">
        <v>74</v>
      </c>
      <c r="R565" t="s">
        <v>74</v>
      </c>
      <c r="S565" t="s">
        <v>74</v>
      </c>
      <c r="T565" t="s">
        <v>10841</v>
      </c>
      <c r="U565" t="s">
        <v>10842</v>
      </c>
      <c r="V565" t="s">
        <v>10843</v>
      </c>
      <c r="W565" t="s">
        <v>10844</v>
      </c>
      <c r="X565" t="s">
        <v>10845</v>
      </c>
      <c r="Y565" t="s">
        <v>10846</v>
      </c>
      <c r="Z565" t="s">
        <v>10847</v>
      </c>
      <c r="AA565" t="s">
        <v>74</v>
      </c>
      <c r="AB565" t="s">
        <v>10848</v>
      </c>
      <c r="AC565" t="s">
        <v>74</v>
      </c>
      <c r="AD565" t="s">
        <v>74</v>
      </c>
      <c r="AE565" t="s">
        <v>74</v>
      </c>
      <c r="AF565" t="s">
        <v>74</v>
      </c>
      <c r="AG565">
        <v>21</v>
      </c>
      <c r="AH565">
        <v>3</v>
      </c>
      <c r="AI565">
        <v>4</v>
      </c>
      <c r="AJ565">
        <v>2</v>
      </c>
      <c r="AK565">
        <v>3</v>
      </c>
      <c r="AL565" t="s">
        <v>10849</v>
      </c>
      <c r="AM565" t="s">
        <v>10850</v>
      </c>
      <c r="AN565" t="s">
        <v>10851</v>
      </c>
      <c r="AO565" t="s">
        <v>10852</v>
      </c>
      <c r="AP565" t="s">
        <v>74</v>
      </c>
      <c r="AQ565" t="s">
        <v>74</v>
      </c>
      <c r="AR565" t="s">
        <v>10853</v>
      </c>
      <c r="AS565" t="s">
        <v>10854</v>
      </c>
      <c r="AT565" t="s">
        <v>74</v>
      </c>
      <c r="AU565">
        <v>2022</v>
      </c>
      <c r="AV565">
        <v>11</v>
      </c>
      <c r="AW565">
        <v>2</v>
      </c>
      <c r="AX565" t="s">
        <v>74</v>
      </c>
      <c r="AY565" t="s">
        <v>74</v>
      </c>
      <c r="AZ565" t="s">
        <v>74</v>
      </c>
      <c r="BA565" t="s">
        <v>74</v>
      </c>
      <c r="BB565" t="s">
        <v>74</v>
      </c>
      <c r="BC565" t="s">
        <v>74</v>
      </c>
      <c r="BD565">
        <v>10320</v>
      </c>
      <c r="BE565" t="s">
        <v>10855</v>
      </c>
      <c r="BF565" t="str">
        <f>HYPERLINK("http://dx.doi.org/10.4081/ijfs.2022.10320","http://dx.doi.org/10.4081/ijfs.2022.10320")</f>
        <v>http://dx.doi.org/10.4081/ijfs.2022.10320</v>
      </c>
      <c r="BG565" t="s">
        <v>74</v>
      </c>
      <c r="BH565" t="s">
        <v>74</v>
      </c>
      <c r="BI565">
        <v>4</v>
      </c>
      <c r="BJ565" t="s">
        <v>235</v>
      </c>
      <c r="BK565" t="s">
        <v>724</v>
      </c>
      <c r="BL565" t="s">
        <v>235</v>
      </c>
      <c r="BM565" t="s">
        <v>10856</v>
      </c>
      <c r="BN565">
        <v>35832041</v>
      </c>
      <c r="BO565" t="s">
        <v>211</v>
      </c>
      <c r="BP565" t="s">
        <v>74</v>
      </c>
      <c r="BQ565" t="s">
        <v>74</v>
      </c>
      <c r="BR565" t="s">
        <v>106</v>
      </c>
      <c r="BS565" t="s">
        <v>10857</v>
      </c>
      <c r="BT565" t="str">
        <f>HYPERLINK("https%3A%2F%2Fwww.webofscience.com%2Fwos%2Fwoscc%2Ffull-record%2FWOS:000841484100004","View Full Record in Web of Science")</f>
        <v>View Full Record in Web of Science</v>
      </c>
    </row>
    <row r="566" spans="1:72" x14ac:dyDescent="0.15">
      <c r="A566" t="s">
        <v>7844</v>
      </c>
      <c r="B566" t="s">
        <v>10858</v>
      </c>
      <c r="C566" t="s">
        <v>74</v>
      </c>
      <c r="D566" t="s">
        <v>74</v>
      </c>
      <c r="E566" t="s">
        <v>8395</v>
      </c>
      <c r="F566" t="s">
        <v>10859</v>
      </c>
      <c r="G566" t="s">
        <v>74</v>
      </c>
      <c r="H566" t="s">
        <v>74</v>
      </c>
      <c r="I566" t="s">
        <v>10860</v>
      </c>
      <c r="J566" t="s">
        <v>10861</v>
      </c>
      <c r="K566" t="s">
        <v>74</v>
      </c>
      <c r="L566" t="s">
        <v>74</v>
      </c>
      <c r="M566" t="s">
        <v>78</v>
      </c>
      <c r="N566" t="s">
        <v>7851</v>
      </c>
      <c r="O566" t="s">
        <v>10862</v>
      </c>
      <c r="P566" t="s">
        <v>10863</v>
      </c>
      <c r="Q566" t="s">
        <v>10864</v>
      </c>
      <c r="R566" t="s">
        <v>74</v>
      </c>
      <c r="S566" t="s">
        <v>74</v>
      </c>
      <c r="T566" t="s">
        <v>74</v>
      </c>
      <c r="U566" t="s">
        <v>10865</v>
      </c>
      <c r="V566" t="s">
        <v>10866</v>
      </c>
      <c r="W566" t="s">
        <v>10867</v>
      </c>
      <c r="X566" t="s">
        <v>10868</v>
      </c>
      <c r="Y566" t="s">
        <v>10869</v>
      </c>
      <c r="Z566" t="s">
        <v>74</v>
      </c>
      <c r="AA566" t="s">
        <v>74</v>
      </c>
      <c r="AB566" t="s">
        <v>10870</v>
      </c>
      <c r="AC566" t="s">
        <v>10871</v>
      </c>
      <c r="AD566" t="s">
        <v>9373</v>
      </c>
      <c r="AE566" t="s">
        <v>10872</v>
      </c>
      <c r="AF566" t="s">
        <v>74</v>
      </c>
      <c r="AG566">
        <v>12</v>
      </c>
      <c r="AH566">
        <v>0</v>
      </c>
      <c r="AI566">
        <v>0</v>
      </c>
      <c r="AJ566">
        <v>0</v>
      </c>
      <c r="AK566">
        <v>1</v>
      </c>
      <c r="AL566" t="s">
        <v>8395</v>
      </c>
      <c r="AM566" t="s">
        <v>506</v>
      </c>
      <c r="AN566" t="s">
        <v>8396</v>
      </c>
      <c r="AO566" t="s">
        <v>74</v>
      </c>
      <c r="AP566" t="s">
        <v>74</v>
      </c>
      <c r="AQ566" t="s">
        <v>10873</v>
      </c>
      <c r="AR566" t="s">
        <v>74</v>
      </c>
      <c r="AS566" t="s">
        <v>74</v>
      </c>
      <c r="AT566" t="s">
        <v>74</v>
      </c>
      <c r="AU566">
        <v>2022</v>
      </c>
      <c r="AV566" t="s">
        <v>74</v>
      </c>
      <c r="AW566" t="s">
        <v>74</v>
      </c>
      <c r="AX566" t="s">
        <v>74</v>
      </c>
      <c r="AY566" t="s">
        <v>74</v>
      </c>
      <c r="AZ566" t="s">
        <v>74</v>
      </c>
      <c r="BA566" t="s">
        <v>74</v>
      </c>
      <c r="BB566">
        <v>797</v>
      </c>
      <c r="BC566">
        <v>800</v>
      </c>
      <c r="BD566" t="s">
        <v>74</v>
      </c>
      <c r="BE566" t="s">
        <v>10874</v>
      </c>
      <c r="BF566" t="str">
        <f>HYPERLINK("http://dx.doi.org/10.1109/PIERS55526.2022.9793299","http://dx.doi.org/10.1109/PIERS55526.2022.9793299")</f>
        <v>http://dx.doi.org/10.1109/PIERS55526.2022.9793299</v>
      </c>
      <c r="BG566" t="s">
        <v>74</v>
      </c>
      <c r="BH566" t="s">
        <v>74</v>
      </c>
      <c r="BI566">
        <v>4</v>
      </c>
      <c r="BJ566" t="s">
        <v>10875</v>
      </c>
      <c r="BK566" t="s">
        <v>7868</v>
      </c>
      <c r="BL566" t="s">
        <v>10876</v>
      </c>
      <c r="BM566" t="s">
        <v>10877</v>
      </c>
      <c r="BN566" t="s">
        <v>74</v>
      </c>
      <c r="BO566" t="s">
        <v>74</v>
      </c>
      <c r="BP566" t="s">
        <v>74</v>
      </c>
      <c r="BQ566" t="s">
        <v>74</v>
      </c>
      <c r="BR566" t="s">
        <v>106</v>
      </c>
      <c r="BS566" t="s">
        <v>10878</v>
      </c>
      <c r="BT566" t="str">
        <f>HYPERLINK("https%3A%2F%2Fwww.webofscience.com%2Fwos%2Fwoscc%2Ffull-record%2FWOS:000836198500145","View Full Record in Web of Science")</f>
        <v>View Full Record in Web of Science</v>
      </c>
    </row>
    <row r="567" spans="1:72" x14ac:dyDescent="0.15">
      <c r="A567" t="s">
        <v>72</v>
      </c>
      <c r="B567" t="s">
        <v>10879</v>
      </c>
      <c r="C567" t="s">
        <v>74</v>
      </c>
      <c r="D567" t="s">
        <v>74</v>
      </c>
      <c r="E567" t="s">
        <v>74</v>
      </c>
      <c r="F567" t="s">
        <v>10880</v>
      </c>
      <c r="G567" t="s">
        <v>74</v>
      </c>
      <c r="H567" t="s">
        <v>74</v>
      </c>
      <c r="I567" t="s">
        <v>10881</v>
      </c>
      <c r="J567" t="s">
        <v>9196</v>
      </c>
      <c r="K567" t="s">
        <v>74</v>
      </c>
      <c r="L567" t="s">
        <v>74</v>
      </c>
      <c r="M567" t="s">
        <v>78</v>
      </c>
      <c r="N567" t="s">
        <v>79</v>
      </c>
      <c r="O567" t="s">
        <v>74</v>
      </c>
      <c r="P567" t="s">
        <v>74</v>
      </c>
      <c r="Q567" t="s">
        <v>74</v>
      </c>
      <c r="R567" t="s">
        <v>74</v>
      </c>
      <c r="S567" t="s">
        <v>74</v>
      </c>
      <c r="T567" t="s">
        <v>10882</v>
      </c>
      <c r="U567" t="s">
        <v>10883</v>
      </c>
      <c r="V567" t="s">
        <v>10884</v>
      </c>
      <c r="W567" t="s">
        <v>10885</v>
      </c>
      <c r="X567" t="s">
        <v>10886</v>
      </c>
      <c r="Y567" t="s">
        <v>10887</v>
      </c>
      <c r="Z567" t="s">
        <v>10888</v>
      </c>
      <c r="AA567" t="s">
        <v>10889</v>
      </c>
      <c r="AB567" t="s">
        <v>10890</v>
      </c>
      <c r="AC567" t="s">
        <v>10891</v>
      </c>
      <c r="AD567" t="s">
        <v>10892</v>
      </c>
      <c r="AE567" t="s">
        <v>10893</v>
      </c>
      <c r="AF567" t="s">
        <v>74</v>
      </c>
      <c r="AG567">
        <v>37</v>
      </c>
      <c r="AH567">
        <v>1</v>
      </c>
      <c r="AI567">
        <v>2</v>
      </c>
      <c r="AJ567">
        <v>5</v>
      </c>
      <c r="AK567">
        <v>22</v>
      </c>
      <c r="AL567" t="s">
        <v>1667</v>
      </c>
      <c r="AM567" t="s">
        <v>1668</v>
      </c>
      <c r="AN567" t="s">
        <v>1669</v>
      </c>
      <c r="AO567" t="s">
        <v>9209</v>
      </c>
      <c r="AP567" t="s">
        <v>9210</v>
      </c>
      <c r="AQ567" t="s">
        <v>74</v>
      </c>
      <c r="AR567" t="s">
        <v>9211</v>
      </c>
      <c r="AS567" t="s">
        <v>9212</v>
      </c>
      <c r="AT567" t="s">
        <v>74</v>
      </c>
      <c r="AU567">
        <v>2022</v>
      </c>
      <c r="AV567">
        <v>60</v>
      </c>
      <c r="AW567" t="s">
        <v>74</v>
      </c>
      <c r="AX567" t="s">
        <v>74</v>
      </c>
      <c r="AY567" t="s">
        <v>74</v>
      </c>
      <c r="AZ567" t="s">
        <v>74</v>
      </c>
      <c r="BA567" t="s">
        <v>74</v>
      </c>
      <c r="BB567" t="s">
        <v>74</v>
      </c>
      <c r="BC567" t="s">
        <v>74</v>
      </c>
      <c r="BD567">
        <v>4108919</v>
      </c>
      <c r="BE567" t="s">
        <v>10894</v>
      </c>
      <c r="BF567" t="str">
        <f>HYPERLINK("http://dx.doi.org/10.1109/TGRS.2022.3188995","http://dx.doi.org/10.1109/TGRS.2022.3188995")</f>
        <v>http://dx.doi.org/10.1109/TGRS.2022.3188995</v>
      </c>
      <c r="BG567" t="s">
        <v>74</v>
      </c>
      <c r="BH567" t="s">
        <v>74</v>
      </c>
      <c r="BI567">
        <v>19</v>
      </c>
      <c r="BJ567" t="s">
        <v>9214</v>
      </c>
      <c r="BK567" t="s">
        <v>103</v>
      </c>
      <c r="BL567" t="s">
        <v>9215</v>
      </c>
      <c r="BM567" t="s">
        <v>10895</v>
      </c>
      <c r="BN567" t="s">
        <v>74</v>
      </c>
      <c r="BO567" t="s">
        <v>74</v>
      </c>
      <c r="BP567" t="s">
        <v>74</v>
      </c>
      <c r="BQ567" t="s">
        <v>74</v>
      </c>
      <c r="BR567" t="s">
        <v>106</v>
      </c>
      <c r="BS567" t="s">
        <v>10896</v>
      </c>
      <c r="BT567" t="str">
        <f>HYPERLINK("https%3A%2F%2Fwww.webofscience.com%2Fwos%2Fwoscc%2Ffull-record%2FWOS:000838496600007","View Full Record in Web of Science")</f>
        <v>View Full Record in Web of Science</v>
      </c>
    </row>
    <row r="568" spans="1:72" x14ac:dyDescent="0.15">
      <c r="A568" t="s">
        <v>72</v>
      </c>
      <c r="B568" t="s">
        <v>10897</v>
      </c>
      <c r="C568" t="s">
        <v>74</v>
      </c>
      <c r="D568" t="s">
        <v>74</v>
      </c>
      <c r="E568" t="s">
        <v>74</v>
      </c>
      <c r="F568" t="s">
        <v>10898</v>
      </c>
      <c r="G568" t="s">
        <v>74</v>
      </c>
      <c r="H568" t="s">
        <v>74</v>
      </c>
      <c r="I568" t="s">
        <v>10899</v>
      </c>
      <c r="J568" t="s">
        <v>9196</v>
      </c>
      <c r="K568" t="s">
        <v>74</v>
      </c>
      <c r="L568" t="s">
        <v>74</v>
      </c>
      <c r="M568" t="s">
        <v>78</v>
      </c>
      <c r="N568" t="s">
        <v>79</v>
      </c>
      <c r="O568" t="s">
        <v>74</v>
      </c>
      <c r="P568" t="s">
        <v>74</v>
      </c>
      <c r="Q568" t="s">
        <v>74</v>
      </c>
      <c r="R568" t="s">
        <v>74</v>
      </c>
      <c r="S568" t="s">
        <v>74</v>
      </c>
      <c r="T568" t="s">
        <v>10900</v>
      </c>
      <c r="U568" t="s">
        <v>10901</v>
      </c>
      <c r="V568" t="s">
        <v>10902</v>
      </c>
      <c r="W568" t="s">
        <v>10903</v>
      </c>
      <c r="X568" t="s">
        <v>10904</v>
      </c>
      <c r="Y568" t="s">
        <v>10905</v>
      </c>
      <c r="Z568" t="s">
        <v>10906</v>
      </c>
      <c r="AA568" t="s">
        <v>74</v>
      </c>
      <c r="AB568" t="s">
        <v>74</v>
      </c>
      <c r="AC568" t="s">
        <v>10907</v>
      </c>
      <c r="AD568" t="s">
        <v>10908</v>
      </c>
      <c r="AE568" t="s">
        <v>10909</v>
      </c>
      <c r="AF568" t="s">
        <v>74</v>
      </c>
      <c r="AG568">
        <v>25</v>
      </c>
      <c r="AH568">
        <v>4</v>
      </c>
      <c r="AI568">
        <v>4</v>
      </c>
      <c r="AJ568">
        <v>6</v>
      </c>
      <c r="AK568">
        <v>18</v>
      </c>
      <c r="AL568" t="s">
        <v>1667</v>
      </c>
      <c r="AM568" t="s">
        <v>1668</v>
      </c>
      <c r="AN568" t="s">
        <v>1669</v>
      </c>
      <c r="AO568" t="s">
        <v>9209</v>
      </c>
      <c r="AP568" t="s">
        <v>9210</v>
      </c>
      <c r="AQ568" t="s">
        <v>74</v>
      </c>
      <c r="AR568" t="s">
        <v>9211</v>
      </c>
      <c r="AS568" t="s">
        <v>9212</v>
      </c>
      <c r="AT568" t="s">
        <v>74</v>
      </c>
      <c r="AU568">
        <v>2022</v>
      </c>
      <c r="AV568">
        <v>60</v>
      </c>
      <c r="AW568" t="s">
        <v>74</v>
      </c>
      <c r="AX568" t="s">
        <v>74</v>
      </c>
      <c r="AY568" t="s">
        <v>74</v>
      </c>
      <c r="AZ568" t="s">
        <v>74</v>
      </c>
      <c r="BA568" t="s">
        <v>74</v>
      </c>
      <c r="BB568" t="s">
        <v>74</v>
      </c>
      <c r="BC568" t="s">
        <v>74</v>
      </c>
      <c r="BD568">
        <v>4305110</v>
      </c>
      <c r="BE568" t="s">
        <v>10910</v>
      </c>
      <c r="BF568" t="str">
        <f>HYPERLINK("http://dx.doi.org/10.1109/TGRS.2022.3185230","http://dx.doi.org/10.1109/TGRS.2022.3185230")</f>
        <v>http://dx.doi.org/10.1109/TGRS.2022.3185230</v>
      </c>
      <c r="BG568" t="s">
        <v>74</v>
      </c>
      <c r="BH568" t="s">
        <v>74</v>
      </c>
      <c r="BI568">
        <v>10</v>
      </c>
      <c r="BJ568" t="s">
        <v>9214</v>
      </c>
      <c r="BK568" t="s">
        <v>103</v>
      </c>
      <c r="BL568" t="s">
        <v>9215</v>
      </c>
      <c r="BM568" t="s">
        <v>10911</v>
      </c>
      <c r="BN568" t="s">
        <v>74</v>
      </c>
      <c r="BO568" t="s">
        <v>74</v>
      </c>
      <c r="BP568" t="s">
        <v>74</v>
      </c>
      <c r="BQ568" t="s">
        <v>74</v>
      </c>
      <c r="BR568" t="s">
        <v>106</v>
      </c>
      <c r="BS568" t="s">
        <v>10912</v>
      </c>
      <c r="BT568" t="str">
        <f>HYPERLINK("https%3A%2F%2Fwww.webofscience.com%2Fwos%2Fwoscc%2Ffull-record%2FWOS:000838438600007","View Full Record in Web of Science")</f>
        <v>View Full Record in Web of Science</v>
      </c>
    </row>
    <row r="569" spans="1:72" x14ac:dyDescent="0.15">
      <c r="A569" t="s">
        <v>72</v>
      </c>
      <c r="B569" t="s">
        <v>10913</v>
      </c>
      <c r="C569" t="s">
        <v>74</v>
      </c>
      <c r="D569" t="s">
        <v>74</v>
      </c>
      <c r="E569" t="s">
        <v>74</v>
      </c>
      <c r="F569" t="s">
        <v>10914</v>
      </c>
      <c r="G569" t="s">
        <v>74</v>
      </c>
      <c r="H569" t="s">
        <v>74</v>
      </c>
      <c r="I569" t="s">
        <v>10915</v>
      </c>
      <c r="J569" t="s">
        <v>10916</v>
      </c>
      <c r="K569" t="s">
        <v>74</v>
      </c>
      <c r="L569" t="s">
        <v>74</v>
      </c>
      <c r="M569" t="s">
        <v>78</v>
      </c>
      <c r="N569" t="s">
        <v>79</v>
      </c>
      <c r="O569" t="s">
        <v>74</v>
      </c>
      <c r="P569" t="s">
        <v>74</v>
      </c>
      <c r="Q569" t="s">
        <v>74</v>
      </c>
      <c r="R569" t="s">
        <v>74</v>
      </c>
      <c r="S569" t="s">
        <v>74</v>
      </c>
      <c r="T569" t="s">
        <v>74</v>
      </c>
      <c r="U569" t="s">
        <v>10917</v>
      </c>
      <c r="V569" t="s">
        <v>10918</v>
      </c>
      <c r="W569" t="s">
        <v>10919</v>
      </c>
      <c r="X569" t="s">
        <v>10920</v>
      </c>
      <c r="Y569" t="s">
        <v>10921</v>
      </c>
      <c r="Z569" t="s">
        <v>10922</v>
      </c>
      <c r="AA569" t="s">
        <v>10923</v>
      </c>
      <c r="AB569" t="s">
        <v>10924</v>
      </c>
      <c r="AC569" t="s">
        <v>10925</v>
      </c>
      <c r="AD569" t="s">
        <v>10926</v>
      </c>
      <c r="AE569" t="s">
        <v>10927</v>
      </c>
      <c r="AF569" t="s">
        <v>74</v>
      </c>
      <c r="AG569">
        <v>203</v>
      </c>
      <c r="AH569">
        <v>11</v>
      </c>
      <c r="AI569">
        <v>12</v>
      </c>
      <c r="AJ569">
        <v>5</v>
      </c>
      <c r="AK569">
        <v>23</v>
      </c>
      <c r="AL569" t="s">
        <v>1603</v>
      </c>
      <c r="AM569" t="s">
        <v>93</v>
      </c>
      <c r="AN569" t="s">
        <v>1604</v>
      </c>
      <c r="AO569" t="s">
        <v>10928</v>
      </c>
      <c r="AP569" t="s">
        <v>74</v>
      </c>
      <c r="AQ569" t="s">
        <v>74</v>
      </c>
      <c r="AR569" t="s">
        <v>10929</v>
      </c>
      <c r="AS569" t="s">
        <v>10930</v>
      </c>
      <c r="AT569" t="s">
        <v>10931</v>
      </c>
      <c r="AU569">
        <v>2022</v>
      </c>
      <c r="AV569">
        <v>10</v>
      </c>
      <c r="AW569">
        <v>1</v>
      </c>
      <c r="AX569" t="s">
        <v>74</v>
      </c>
      <c r="AY569" t="s">
        <v>74</v>
      </c>
      <c r="AZ569" t="s">
        <v>74</v>
      </c>
      <c r="BA569" t="s">
        <v>74</v>
      </c>
      <c r="BB569" t="s">
        <v>74</v>
      </c>
      <c r="BC569" t="s">
        <v>74</v>
      </c>
      <c r="BD569" t="s">
        <v>10932</v>
      </c>
      <c r="BE569" t="s">
        <v>10933</v>
      </c>
      <c r="BF569" t="str">
        <f>HYPERLINK("http://dx.doi.org/10.1093/conphys/coac055","http://dx.doi.org/10.1093/conphys/coac055")</f>
        <v>http://dx.doi.org/10.1093/conphys/coac055</v>
      </c>
      <c r="BG569" t="s">
        <v>74</v>
      </c>
      <c r="BH569" t="s">
        <v>74</v>
      </c>
      <c r="BI569">
        <v>17</v>
      </c>
      <c r="BJ569" t="s">
        <v>10934</v>
      </c>
      <c r="BK569" t="s">
        <v>103</v>
      </c>
      <c r="BL569" t="s">
        <v>10935</v>
      </c>
      <c r="BM569" t="s">
        <v>10936</v>
      </c>
      <c r="BN569">
        <v>35949259</v>
      </c>
      <c r="BO569" t="s">
        <v>211</v>
      </c>
      <c r="BP569" t="s">
        <v>74</v>
      </c>
      <c r="BQ569" t="s">
        <v>74</v>
      </c>
      <c r="BR569" t="s">
        <v>106</v>
      </c>
      <c r="BS569" t="s">
        <v>10937</v>
      </c>
      <c r="BT569" t="str">
        <f>HYPERLINK("https%3A%2F%2Fwww.webofscience.com%2Fwos%2Fwoscc%2Ffull-record%2FWOS:000837311000001","View Full Record in Web of Science")</f>
        <v>View Full Record in Web of Science</v>
      </c>
    </row>
    <row r="570" spans="1:72" x14ac:dyDescent="0.15">
      <c r="A570" t="s">
        <v>72</v>
      </c>
      <c r="B570" t="s">
        <v>10938</v>
      </c>
      <c r="C570" t="s">
        <v>74</v>
      </c>
      <c r="D570" t="s">
        <v>74</v>
      </c>
      <c r="E570" t="s">
        <v>74</v>
      </c>
      <c r="F570" t="s">
        <v>10939</v>
      </c>
      <c r="G570" t="s">
        <v>74</v>
      </c>
      <c r="H570" t="s">
        <v>74</v>
      </c>
      <c r="I570" t="s">
        <v>10940</v>
      </c>
      <c r="J570" t="s">
        <v>10916</v>
      </c>
      <c r="K570" t="s">
        <v>74</v>
      </c>
      <c r="L570" t="s">
        <v>74</v>
      </c>
      <c r="M570" t="s">
        <v>78</v>
      </c>
      <c r="N570" t="s">
        <v>79</v>
      </c>
      <c r="O570" t="s">
        <v>74</v>
      </c>
      <c r="P570" t="s">
        <v>74</v>
      </c>
      <c r="Q570" t="s">
        <v>74</v>
      </c>
      <c r="R570" t="s">
        <v>74</v>
      </c>
      <c r="S570" t="s">
        <v>74</v>
      </c>
      <c r="T570" t="s">
        <v>10941</v>
      </c>
      <c r="U570" t="s">
        <v>10942</v>
      </c>
      <c r="V570" t="s">
        <v>10943</v>
      </c>
      <c r="W570" t="s">
        <v>10944</v>
      </c>
      <c r="X570" t="s">
        <v>10945</v>
      </c>
      <c r="Y570" t="s">
        <v>10946</v>
      </c>
      <c r="Z570" t="s">
        <v>10947</v>
      </c>
      <c r="AA570" t="s">
        <v>74</v>
      </c>
      <c r="AB570" t="s">
        <v>74</v>
      </c>
      <c r="AC570" t="s">
        <v>10948</v>
      </c>
      <c r="AD570" t="s">
        <v>10949</v>
      </c>
      <c r="AE570" t="s">
        <v>10950</v>
      </c>
      <c r="AF570" t="s">
        <v>74</v>
      </c>
      <c r="AG570">
        <v>97</v>
      </c>
      <c r="AH570">
        <v>2</v>
      </c>
      <c r="AI570">
        <v>2</v>
      </c>
      <c r="AJ570">
        <v>4</v>
      </c>
      <c r="AK570">
        <v>9</v>
      </c>
      <c r="AL570" t="s">
        <v>1603</v>
      </c>
      <c r="AM570" t="s">
        <v>93</v>
      </c>
      <c r="AN570" t="s">
        <v>1604</v>
      </c>
      <c r="AO570" t="s">
        <v>10928</v>
      </c>
      <c r="AP570" t="s">
        <v>74</v>
      </c>
      <c r="AQ570" t="s">
        <v>74</v>
      </c>
      <c r="AR570" t="s">
        <v>10929</v>
      </c>
      <c r="AS570" t="s">
        <v>10930</v>
      </c>
      <c r="AT570" t="s">
        <v>10931</v>
      </c>
      <c r="AU570">
        <v>2022</v>
      </c>
      <c r="AV570">
        <v>10</v>
      </c>
      <c r="AW570">
        <v>1</v>
      </c>
      <c r="AX570" t="s">
        <v>74</v>
      </c>
      <c r="AY570" t="s">
        <v>74</v>
      </c>
      <c r="AZ570" t="s">
        <v>74</v>
      </c>
      <c r="BA570" t="s">
        <v>74</v>
      </c>
      <c r="BB570" t="s">
        <v>74</v>
      </c>
      <c r="BC570" t="s">
        <v>74</v>
      </c>
      <c r="BD570" t="s">
        <v>10951</v>
      </c>
      <c r="BE570" t="s">
        <v>10952</v>
      </c>
      <c r="BF570" t="str">
        <f>HYPERLINK("http://dx.doi.org/10.1093/conphys/coac054","http://dx.doi.org/10.1093/conphys/coac054")</f>
        <v>http://dx.doi.org/10.1093/conphys/coac054</v>
      </c>
      <c r="BG570" t="s">
        <v>74</v>
      </c>
      <c r="BH570" t="s">
        <v>74</v>
      </c>
      <c r="BI570">
        <v>17</v>
      </c>
      <c r="BJ570" t="s">
        <v>10934</v>
      </c>
      <c r="BK570" t="s">
        <v>103</v>
      </c>
      <c r="BL570" t="s">
        <v>10935</v>
      </c>
      <c r="BM570" t="s">
        <v>10953</v>
      </c>
      <c r="BN570">
        <v>35935168</v>
      </c>
      <c r="BO570" t="s">
        <v>211</v>
      </c>
      <c r="BP570" t="s">
        <v>74</v>
      </c>
      <c r="BQ570" t="s">
        <v>74</v>
      </c>
      <c r="BR570" t="s">
        <v>106</v>
      </c>
      <c r="BS570" t="s">
        <v>10954</v>
      </c>
      <c r="BT570" t="str">
        <f>HYPERLINK("https%3A%2F%2Fwww.webofscience.com%2Fwos%2Fwoscc%2Ffull-record%2FWOS:000835419800001","View Full Record in Web of Science")</f>
        <v>View Full Record in Web of Science</v>
      </c>
    </row>
    <row r="571" spans="1:72" x14ac:dyDescent="0.15">
      <c r="A571" t="s">
        <v>72</v>
      </c>
      <c r="B571" t="s">
        <v>10955</v>
      </c>
      <c r="C571" t="s">
        <v>74</v>
      </c>
      <c r="D571" t="s">
        <v>74</v>
      </c>
      <c r="E571" t="s">
        <v>74</v>
      </c>
      <c r="F571" t="s">
        <v>10956</v>
      </c>
      <c r="G571" t="s">
        <v>74</v>
      </c>
      <c r="H571" t="s">
        <v>74</v>
      </c>
      <c r="I571" t="s">
        <v>10957</v>
      </c>
      <c r="J571" t="s">
        <v>8589</v>
      </c>
      <c r="K571" t="s">
        <v>74</v>
      </c>
      <c r="L571" t="s">
        <v>74</v>
      </c>
      <c r="M571" t="s">
        <v>8590</v>
      </c>
      <c r="N571" t="s">
        <v>79</v>
      </c>
      <c r="O571" t="s">
        <v>74</v>
      </c>
      <c r="P571" t="s">
        <v>74</v>
      </c>
      <c r="Q571" t="s">
        <v>74</v>
      </c>
      <c r="R571" t="s">
        <v>74</v>
      </c>
      <c r="S571" t="s">
        <v>74</v>
      </c>
      <c r="T571" t="s">
        <v>10958</v>
      </c>
      <c r="U571" t="s">
        <v>10959</v>
      </c>
      <c r="V571" t="s">
        <v>10960</v>
      </c>
      <c r="W571" t="s">
        <v>10961</v>
      </c>
      <c r="X571" t="s">
        <v>10962</v>
      </c>
      <c r="Y571" t="s">
        <v>10963</v>
      </c>
      <c r="Z571" t="s">
        <v>10964</v>
      </c>
      <c r="AA571" t="s">
        <v>10965</v>
      </c>
      <c r="AB571" t="s">
        <v>10966</v>
      </c>
      <c r="AC571" t="s">
        <v>10967</v>
      </c>
      <c r="AD571" t="s">
        <v>10968</v>
      </c>
      <c r="AE571" t="s">
        <v>10969</v>
      </c>
      <c r="AF571" t="s">
        <v>74</v>
      </c>
      <c r="AG571">
        <v>78</v>
      </c>
      <c r="AH571">
        <v>0</v>
      </c>
      <c r="AI571">
        <v>0</v>
      </c>
      <c r="AJ571">
        <v>0</v>
      </c>
      <c r="AK571">
        <v>2</v>
      </c>
      <c r="AL571" t="s">
        <v>8601</v>
      </c>
      <c r="AM571" t="s">
        <v>8602</v>
      </c>
      <c r="AN571" t="s">
        <v>8603</v>
      </c>
      <c r="AO571" t="s">
        <v>8604</v>
      </c>
      <c r="AP571" t="s">
        <v>8605</v>
      </c>
      <c r="AQ571" t="s">
        <v>74</v>
      </c>
      <c r="AR571" t="s">
        <v>8606</v>
      </c>
      <c r="AS571" t="s">
        <v>8607</v>
      </c>
      <c r="AT571" t="s">
        <v>74</v>
      </c>
      <c r="AU571">
        <v>2022</v>
      </c>
      <c r="AV571">
        <v>67</v>
      </c>
      <c r="AW571">
        <v>2</v>
      </c>
      <c r="AX571" t="s">
        <v>74</v>
      </c>
      <c r="AY571" t="s">
        <v>74</v>
      </c>
      <c r="AZ571" t="s">
        <v>74</v>
      </c>
      <c r="BA571" t="s">
        <v>74</v>
      </c>
      <c r="BB571">
        <v>266</v>
      </c>
      <c r="BC571">
        <v>298</v>
      </c>
      <c r="BD571" t="s">
        <v>74</v>
      </c>
      <c r="BE571" t="s">
        <v>10970</v>
      </c>
      <c r="BF571" t="str">
        <f>HYPERLINK("http://dx.doi.org/10.21638/spbu07.2022.204","http://dx.doi.org/10.21638/spbu07.2022.204")</f>
        <v>http://dx.doi.org/10.21638/spbu07.2022.204</v>
      </c>
      <c r="BG571" t="s">
        <v>74</v>
      </c>
      <c r="BH571" t="s">
        <v>74</v>
      </c>
      <c r="BI571">
        <v>33</v>
      </c>
      <c r="BJ571" t="s">
        <v>151</v>
      </c>
      <c r="BK571" t="s">
        <v>724</v>
      </c>
      <c r="BL571" t="s">
        <v>152</v>
      </c>
      <c r="BM571" t="s">
        <v>10971</v>
      </c>
      <c r="BN571" t="s">
        <v>74</v>
      </c>
      <c r="BO571" t="s">
        <v>154</v>
      </c>
      <c r="BP571" t="s">
        <v>74</v>
      </c>
      <c r="BQ571" t="s">
        <v>74</v>
      </c>
      <c r="BR571" t="s">
        <v>106</v>
      </c>
      <c r="BS571" t="s">
        <v>10972</v>
      </c>
      <c r="BT571" t="str">
        <f>HYPERLINK("https%3A%2F%2Fwww.webofscience.com%2Fwos%2Fwoscc%2Ffull-record%2FWOS:000833193800004","View Full Record in Web of Science")</f>
        <v>View Full Record in Web of Science</v>
      </c>
    </row>
    <row r="572" spans="1:72" x14ac:dyDescent="0.15">
      <c r="A572" t="s">
        <v>72</v>
      </c>
      <c r="B572" t="s">
        <v>10973</v>
      </c>
      <c r="C572" t="s">
        <v>74</v>
      </c>
      <c r="D572" t="s">
        <v>74</v>
      </c>
      <c r="E572" t="s">
        <v>74</v>
      </c>
      <c r="F572" t="s">
        <v>10974</v>
      </c>
      <c r="G572" t="s">
        <v>74</v>
      </c>
      <c r="H572" t="s">
        <v>74</v>
      </c>
      <c r="I572" t="s">
        <v>10975</v>
      </c>
      <c r="J572" t="s">
        <v>10976</v>
      </c>
      <c r="K572" t="s">
        <v>74</v>
      </c>
      <c r="L572" t="s">
        <v>74</v>
      </c>
      <c r="M572" t="s">
        <v>78</v>
      </c>
      <c r="N572" t="s">
        <v>79</v>
      </c>
      <c r="O572" t="s">
        <v>74</v>
      </c>
      <c r="P572" t="s">
        <v>74</v>
      </c>
      <c r="Q572" t="s">
        <v>74</v>
      </c>
      <c r="R572" t="s">
        <v>74</v>
      </c>
      <c r="S572" t="s">
        <v>74</v>
      </c>
      <c r="T572" t="s">
        <v>10977</v>
      </c>
      <c r="U572" t="s">
        <v>10978</v>
      </c>
      <c r="V572" t="s">
        <v>10979</v>
      </c>
      <c r="W572" t="s">
        <v>10980</v>
      </c>
      <c r="X572" t="s">
        <v>10981</v>
      </c>
      <c r="Y572" t="s">
        <v>10982</v>
      </c>
      <c r="Z572" t="s">
        <v>10983</v>
      </c>
      <c r="AA572" t="s">
        <v>74</v>
      </c>
      <c r="AB572" t="s">
        <v>74</v>
      </c>
      <c r="AC572" t="s">
        <v>10984</v>
      </c>
      <c r="AD572" t="s">
        <v>10985</v>
      </c>
      <c r="AE572" t="s">
        <v>10986</v>
      </c>
      <c r="AF572" t="s">
        <v>74</v>
      </c>
      <c r="AG572">
        <v>37</v>
      </c>
      <c r="AH572">
        <v>0</v>
      </c>
      <c r="AI572">
        <v>0</v>
      </c>
      <c r="AJ572">
        <v>8</v>
      </c>
      <c r="AK572">
        <v>39</v>
      </c>
      <c r="AL572" t="s">
        <v>10987</v>
      </c>
      <c r="AM572" t="s">
        <v>10988</v>
      </c>
      <c r="AN572" t="s">
        <v>10989</v>
      </c>
      <c r="AO572" t="s">
        <v>10990</v>
      </c>
      <c r="AP572" t="s">
        <v>10991</v>
      </c>
      <c r="AQ572" t="s">
        <v>74</v>
      </c>
      <c r="AR572" t="s">
        <v>10992</v>
      </c>
      <c r="AS572" t="s">
        <v>10993</v>
      </c>
      <c r="AT572" t="s">
        <v>74</v>
      </c>
      <c r="AU572">
        <v>2022</v>
      </c>
      <c r="AV572">
        <v>42</v>
      </c>
      <c r="AW572" t="s">
        <v>74</v>
      </c>
      <c r="AX572" t="s">
        <v>74</v>
      </c>
      <c r="AY572" t="s">
        <v>74</v>
      </c>
      <c r="AZ572" t="s">
        <v>74</v>
      </c>
      <c r="BA572" t="s">
        <v>74</v>
      </c>
      <c r="BB572" t="s">
        <v>74</v>
      </c>
      <c r="BC572" t="s">
        <v>74</v>
      </c>
      <c r="BD572" t="s">
        <v>10994</v>
      </c>
      <c r="BE572" t="s">
        <v>10995</v>
      </c>
      <c r="BF572" t="str">
        <f>HYPERLINK("http://dx.doi.org/10.1590/fst.78021","http://dx.doi.org/10.1590/fst.78021")</f>
        <v>http://dx.doi.org/10.1590/fst.78021</v>
      </c>
      <c r="BG572" t="s">
        <v>74</v>
      </c>
      <c r="BH572" t="s">
        <v>74</v>
      </c>
      <c r="BI572">
        <v>9</v>
      </c>
      <c r="BJ572" t="s">
        <v>235</v>
      </c>
      <c r="BK572" t="s">
        <v>103</v>
      </c>
      <c r="BL572" t="s">
        <v>235</v>
      </c>
      <c r="BM572" t="s">
        <v>10996</v>
      </c>
      <c r="BN572" t="s">
        <v>74</v>
      </c>
      <c r="BO572" t="s">
        <v>445</v>
      </c>
      <c r="BP572" t="s">
        <v>74</v>
      </c>
      <c r="BQ572" t="s">
        <v>74</v>
      </c>
      <c r="BR572" t="s">
        <v>106</v>
      </c>
      <c r="BS572" t="s">
        <v>10997</v>
      </c>
      <c r="BT572" t="str">
        <f>HYPERLINK("https%3A%2F%2Fwww.webofscience.com%2Fwos%2Fwoscc%2Ffull-record%2FWOS:000826093700085","View Full Record in Web of Science")</f>
        <v>View Full Record in Web of Science</v>
      </c>
    </row>
    <row r="573" spans="1:72" x14ac:dyDescent="0.15">
      <c r="A573" t="s">
        <v>72</v>
      </c>
      <c r="B573" t="s">
        <v>10998</v>
      </c>
      <c r="C573" t="s">
        <v>74</v>
      </c>
      <c r="D573" t="s">
        <v>74</v>
      </c>
      <c r="E573" t="s">
        <v>74</v>
      </c>
      <c r="F573" t="s">
        <v>10999</v>
      </c>
      <c r="G573" t="s">
        <v>74</v>
      </c>
      <c r="H573" t="s">
        <v>74</v>
      </c>
      <c r="I573" t="s">
        <v>11000</v>
      </c>
      <c r="J573" t="s">
        <v>11001</v>
      </c>
      <c r="K573" t="s">
        <v>74</v>
      </c>
      <c r="L573" t="s">
        <v>74</v>
      </c>
      <c r="M573" t="s">
        <v>78</v>
      </c>
      <c r="N573" t="s">
        <v>79</v>
      </c>
      <c r="O573" t="s">
        <v>74</v>
      </c>
      <c r="P573" t="s">
        <v>74</v>
      </c>
      <c r="Q573" t="s">
        <v>74</v>
      </c>
      <c r="R573" t="s">
        <v>74</v>
      </c>
      <c r="S573" t="s">
        <v>74</v>
      </c>
      <c r="T573" t="s">
        <v>11002</v>
      </c>
      <c r="U573" t="s">
        <v>11003</v>
      </c>
      <c r="V573" t="s">
        <v>11004</v>
      </c>
      <c r="W573" t="s">
        <v>11005</v>
      </c>
      <c r="X573" t="s">
        <v>11006</v>
      </c>
      <c r="Y573" t="s">
        <v>11007</v>
      </c>
      <c r="Z573" t="s">
        <v>11008</v>
      </c>
      <c r="AA573" t="s">
        <v>11009</v>
      </c>
      <c r="AB573" t="s">
        <v>11010</v>
      </c>
      <c r="AC573" t="s">
        <v>74</v>
      </c>
      <c r="AD573" t="s">
        <v>74</v>
      </c>
      <c r="AE573" t="s">
        <v>74</v>
      </c>
      <c r="AF573" t="s">
        <v>74</v>
      </c>
      <c r="AG573">
        <v>80</v>
      </c>
      <c r="AH573">
        <v>1</v>
      </c>
      <c r="AI573">
        <v>1</v>
      </c>
      <c r="AJ573">
        <v>2</v>
      </c>
      <c r="AK573">
        <v>10</v>
      </c>
      <c r="AL573" t="s">
        <v>11011</v>
      </c>
      <c r="AM573" t="s">
        <v>11012</v>
      </c>
      <c r="AN573" t="s">
        <v>11013</v>
      </c>
      <c r="AO573" t="s">
        <v>11014</v>
      </c>
      <c r="AP573" t="s">
        <v>74</v>
      </c>
      <c r="AQ573" t="s">
        <v>74</v>
      </c>
      <c r="AR573" t="s">
        <v>11015</v>
      </c>
      <c r="AS573" t="s">
        <v>11016</v>
      </c>
      <c r="AT573" t="s">
        <v>74</v>
      </c>
      <c r="AU573">
        <v>2022</v>
      </c>
      <c r="AV573">
        <v>10</v>
      </c>
      <c r="AW573">
        <v>3</v>
      </c>
      <c r="AX573" t="s">
        <v>74</v>
      </c>
      <c r="AY573" t="s">
        <v>74</v>
      </c>
      <c r="AZ573" t="s">
        <v>74</v>
      </c>
      <c r="BA573" t="s">
        <v>74</v>
      </c>
      <c r="BB573">
        <v>60</v>
      </c>
      <c r="BC573">
        <v>69</v>
      </c>
      <c r="BD573" t="s">
        <v>74</v>
      </c>
      <c r="BE573" t="s">
        <v>11017</v>
      </c>
      <c r="BF573" t="str">
        <f>HYPERLINK("http://dx.doi.org/10.17645/pag.v10i3.5332","http://dx.doi.org/10.17645/pag.v10i3.5332")</f>
        <v>http://dx.doi.org/10.17645/pag.v10i3.5332</v>
      </c>
      <c r="BG573" t="s">
        <v>74</v>
      </c>
      <c r="BH573" t="s">
        <v>74</v>
      </c>
      <c r="BI573">
        <v>10</v>
      </c>
      <c r="BJ573" t="s">
        <v>4872</v>
      </c>
      <c r="BK573" t="s">
        <v>863</v>
      </c>
      <c r="BL573" t="s">
        <v>4873</v>
      </c>
      <c r="BM573" t="s">
        <v>11018</v>
      </c>
      <c r="BN573" t="s">
        <v>74</v>
      </c>
      <c r="BO573" t="s">
        <v>371</v>
      </c>
      <c r="BP573" t="s">
        <v>74</v>
      </c>
      <c r="BQ573" t="s">
        <v>74</v>
      </c>
      <c r="BR573" t="s">
        <v>106</v>
      </c>
      <c r="BS573" t="s">
        <v>11019</v>
      </c>
      <c r="BT573" t="str">
        <f>HYPERLINK("https%3A%2F%2Fwww.webofscience.com%2Fwos%2Fwoscc%2Ffull-record%2FWOS:000827903300007","View Full Record in Web of Science")</f>
        <v>View Full Record in Web of Science</v>
      </c>
    </row>
    <row r="574" spans="1:72" x14ac:dyDescent="0.15">
      <c r="A574" t="s">
        <v>72</v>
      </c>
      <c r="B574" t="s">
        <v>11020</v>
      </c>
      <c r="C574" t="s">
        <v>74</v>
      </c>
      <c r="D574" t="s">
        <v>74</v>
      </c>
      <c r="E574" t="s">
        <v>74</v>
      </c>
      <c r="F574" t="s">
        <v>11021</v>
      </c>
      <c r="G574" t="s">
        <v>74</v>
      </c>
      <c r="H574" t="s">
        <v>74</v>
      </c>
      <c r="I574" t="s">
        <v>11022</v>
      </c>
      <c r="J574" t="s">
        <v>11023</v>
      </c>
      <c r="K574" t="s">
        <v>74</v>
      </c>
      <c r="L574" t="s">
        <v>74</v>
      </c>
      <c r="M574" t="s">
        <v>78</v>
      </c>
      <c r="N574" t="s">
        <v>79</v>
      </c>
      <c r="O574" t="s">
        <v>74</v>
      </c>
      <c r="P574" t="s">
        <v>74</v>
      </c>
      <c r="Q574" t="s">
        <v>74</v>
      </c>
      <c r="R574" t="s">
        <v>74</v>
      </c>
      <c r="S574" t="s">
        <v>74</v>
      </c>
      <c r="T574" t="s">
        <v>11024</v>
      </c>
      <c r="U574" t="s">
        <v>11025</v>
      </c>
      <c r="V574" t="s">
        <v>11026</v>
      </c>
      <c r="W574" t="s">
        <v>11027</v>
      </c>
      <c r="X574" t="s">
        <v>11028</v>
      </c>
      <c r="Y574" t="s">
        <v>11029</v>
      </c>
      <c r="Z574" t="s">
        <v>11030</v>
      </c>
      <c r="AA574" t="s">
        <v>11031</v>
      </c>
      <c r="AB574" t="s">
        <v>11032</v>
      </c>
      <c r="AC574" t="s">
        <v>11033</v>
      </c>
      <c r="AD574" t="s">
        <v>11034</v>
      </c>
      <c r="AE574" t="s">
        <v>11035</v>
      </c>
      <c r="AF574" t="s">
        <v>74</v>
      </c>
      <c r="AG574">
        <v>36</v>
      </c>
      <c r="AH574">
        <v>1</v>
      </c>
      <c r="AI574">
        <v>1</v>
      </c>
      <c r="AJ574">
        <v>0</v>
      </c>
      <c r="AK574">
        <v>1</v>
      </c>
      <c r="AL574" t="s">
        <v>11036</v>
      </c>
      <c r="AM574" t="s">
        <v>11037</v>
      </c>
      <c r="AN574" t="s">
        <v>11038</v>
      </c>
      <c r="AO574" t="s">
        <v>11039</v>
      </c>
      <c r="AP574" t="s">
        <v>11040</v>
      </c>
      <c r="AQ574" t="s">
        <v>74</v>
      </c>
      <c r="AR574" t="s">
        <v>11041</v>
      </c>
      <c r="AS574" t="s">
        <v>11042</v>
      </c>
      <c r="AT574" t="s">
        <v>74</v>
      </c>
      <c r="AU574">
        <v>2022</v>
      </c>
      <c r="AV574">
        <v>29</v>
      </c>
      <c r="AW574">
        <v>2</v>
      </c>
      <c r="AX574" t="s">
        <v>74</v>
      </c>
      <c r="AY574" t="s">
        <v>74</v>
      </c>
      <c r="AZ574" t="s">
        <v>74</v>
      </c>
      <c r="BA574" t="s">
        <v>74</v>
      </c>
      <c r="BB574">
        <v>117</v>
      </c>
      <c r="BC574">
        <v>138</v>
      </c>
      <c r="BD574" t="s">
        <v>74</v>
      </c>
      <c r="BE574" t="s">
        <v>11043</v>
      </c>
      <c r="BF574" t="str">
        <f>HYPERLINK("http://dx.doi.org/10.22449/1573-160X-2022-2-117-138","http://dx.doi.org/10.22449/1573-160X-2022-2-117-138")</f>
        <v>http://dx.doi.org/10.22449/1573-160X-2022-2-117-138</v>
      </c>
      <c r="BG574" t="s">
        <v>74</v>
      </c>
      <c r="BH574" t="s">
        <v>74</v>
      </c>
      <c r="BI574">
        <v>22</v>
      </c>
      <c r="BJ574" t="s">
        <v>1131</v>
      </c>
      <c r="BK574" t="s">
        <v>724</v>
      </c>
      <c r="BL574" t="s">
        <v>1131</v>
      </c>
      <c r="BM574" t="s">
        <v>11044</v>
      </c>
      <c r="BN574" t="s">
        <v>74</v>
      </c>
      <c r="BO574" t="s">
        <v>74</v>
      </c>
      <c r="BP574" t="s">
        <v>74</v>
      </c>
      <c r="BQ574" t="s">
        <v>74</v>
      </c>
      <c r="BR574" t="s">
        <v>106</v>
      </c>
      <c r="BS574" t="s">
        <v>11045</v>
      </c>
      <c r="BT574" t="str">
        <f>HYPERLINK("https%3A%2F%2Fwww.webofscience.com%2Fwos%2Fwoscc%2Ffull-record%2FWOS:000822667200001","View Full Record in Web of Science")</f>
        <v>View Full Record in Web of Science</v>
      </c>
    </row>
    <row r="575" spans="1:72" x14ac:dyDescent="0.15">
      <c r="A575" t="s">
        <v>72</v>
      </c>
      <c r="B575" t="s">
        <v>11046</v>
      </c>
      <c r="C575" t="s">
        <v>74</v>
      </c>
      <c r="D575" t="s">
        <v>74</v>
      </c>
      <c r="E575" t="s">
        <v>74</v>
      </c>
      <c r="F575" t="s">
        <v>11047</v>
      </c>
      <c r="G575" t="s">
        <v>74</v>
      </c>
      <c r="H575" t="s">
        <v>74</v>
      </c>
      <c r="I575" t="s">
        <v>11048</v>
      </c>
      <c r="J575" t="s">
        <v>11049</v>
      </c>
      <c r="K575" t="s">
        <v>74</v>
      </c>
      <c r="L575" t="s">
        <v>74</v>
      </c>
      <c r="M575" t="s">
        <v>78</v>
      </c>
      <c r="N575" t="s">
        <v>79</v>
      </c>
      <c r="O575" t="s">
        <v>74</v>
      </c>
      <c r="P575" t="s">
        <v>74</v>
      </c>
      <c r="Q575" t="s">
        <v>74</v>
      </c>
      <c r="R575" t="s">
        <v>74</v>
      </c>
      <c r="S575" t="s">
        <v>74</v>
      </c>
      <c r="T575" t="s">
        <v>11050</v>
      </c>
      <c r="U575" t="s">
        <v>11051</v>
      </c>
      <c r="V575" t="s">
        <v>11052</v>
      </c>
      <c r="W575" t="s">
        <v>11053</v>
      </c>
      <c r="X575" t="s">
        <v>10549</v>
      </c>
      <c r="Y575" t="s">
        <v>11054</v>
      </c>
      <c r="Z575" t="s">
        <v>74</v>
      </c>
      <c r="AA575" t="s">
        <v>10571</v>
      </c>
      <c r="AB575" t="s">
        <v>11055</v>
      </c>
      <c r="AC575" t="s">
        <v>11056</v>
      </c>
      <c r="AD575" t="s">
        <v>11057</v>
      </c>
      <c r="AE575" t="s">
        <v>11058</v>
      </c>
      <c r="AF575" t="s">
        <v>74</v>
      </c>
      <c r="AG575">
        <v>43</v>
      </c>
      <c r="AH575">
        <v>1</v>
      </c>
      <c r="AI575">
        <v>1</v>
      </c>
      <c r="AJ575">
        <v>0</v>
      </c>
      <c r="AK575">
        <v>1</v>
      </c>
      <c r="AL575" t="s">
        <v>11059</v>
      </c>
      <c r="AM575" t="s">
        <v>9528</v>
      </c>
      <c r="AN575" t="s">
        <v>11060</v>
      </c>
      <c r="AO575" t="s">
        <v>11061</v>
      </c>
      <c r="AP575" t="s">
        <v>11062</v>
      </c>
      <c r="AQ575" t="s">
        <v>74</v>
      </c>
      <c r="AR575" t="s">
        <v>11063</v>
      </c>
      <c r="AS575" t="s">
        <v>11064</v>
      </c>
      <c r="AT575" t="s">
        <v>4645</v>
      </c>
      <c r="AU575">
        <v>2022</v>
      </c>
      <c r="AV575">
        <v>10</v>
      </c>
      <c r="AW575">
        <v>1</v>
      </c>
      <c r="AX575" t="s">
        <v>74</v>
      </c>
      <c r="AY575" t="s">
        <v>74</v>
      </c>
      <c r="AZ575" t="s">
        <v>74</v>
      </c>
      <c r="BA575" t="s">
        <v>74</v>
      </c>
      <c r="BB575" t="s">
        <v>74</v>
      </c>
      <c r="BC575" t="s">
        <v>74</v>
      </c>
      <c r="BD575" t="s">
        <v>74</v>
      </c>
      <c r="BE575" t="s">
        <v>11065</v>
      </c>
      <c r="BF575" t="str">
        <f>HYPERLINK("http://dx.doi.org/10.26491/mhwm/150883","http://dx.doi.org/10.26491/mhwm/150883")</f>
        <v>http://dx.doi.org/10.26491/mhwm/150883</v>
      </c>
      <c r="BG575" t="s">
        <v>74</v>
      </c>
      <c r="BH575" t="s">
        <v>74</v>
      </c>
      <c r="BI575">
        <v>12</v>
      </c>
      <c r="BJ575" t="s">
        <v>11066</v>
      </c>
      <c r="BK575" t="s">
        <v>724</v>
      </c>
      <c r="BL575" t="s">
        <v>11066</v>
      </c>
      <c r="BM575" t="s">
        <v>11067</v>
      </c>
      <c r="BN575" t="s">
        <v>74</v>
      </c>
      <c r="BO575" t="s">
        <v>445</v>
      </c>
      <c r="BP575" t="s">
        <v>74</v>
      </c>
      <c r="BQ575" t="s">
        <v>74</v>
      </c>
      <c r="BR575" t="s">
        <v>106</v>
      </c>
      <c r="BS575" t="s">
        <v>11068</v>
      </c>
      <c r="BT575" t="str">
        <f>HYPERLINK("https%3A%2F%2Fwww.webofscience.com%2Fwos%2Fwoscc%2Ffull-record%2FWOS:000821045300003","View Full Record in Web of Science")</f>
        <v>View Full Record in Web of Science</v>
      </c>
    </row>
    <row r="576" spans="1:72" x14ac:dyDescent="0.15">
      <c r="A576" t="s">
        <v>72</v>
      </c>
      <c r="B576" t="s">
        <v>11069</v>
      </c>
      <c r="C576" t="s">
        <v>74</v>
      </c>
      <c r="D576" t="s">
        <v>74</v>
      </c>
      <c r="E576" t="s">
        <v>74</v>
      </c>
      <c r="F576" t="s">
        <v>11070</v>
      </c>
      <c r="G576" t="s">
        <v>74</v>
      </c>
      <c r="H576" t="s">
        <v>74</v>
      </c>
      <c r="I576" t="s">
        <v>11071</v>
      </c>
      <c r="J576" t="s">
        <v>11072</v>
      </c>
      <c r="K576" t="s">
        <v>74</v>
      </c>
      <c r="L576" t="s">
        <v>74</v>
      </c>
      <c r="M576" t="s">
        <v>78</v>
      </c>
      <c r="N576" t="s">
        <v>79</v>
      </c>
      <c r="O576" t="s">
        <v>74</v>
      </c>
      <c r="P576" t="s">
        <v>74</v>
      </c>
      <c r="Q576" t="s">
        <v>74</v>
      </c>
      <c r="R576" t="s">
        <v>74</v>
      </c>
      <c r="S576" t="s">
        <v>74</v>
      </c>
      <c r="T576" t="s">
        <v>11073</v>
      </c>
      <c r="U576" t="s">
        <v>11074</v>
      </c>
      <c r="V576" t="s">
        <v>11075</v>
      </c>
      <c r="W576" t="s">
        <v>11076</v>
      </c>
      <c r="X576" t="s">
        <v>11077</v>
      </c>
      <c r="Y576" t="s">
        <v>11078</v>
      </c>
      <c r="Z576" t="s">
        <v>11079</v>
      </c>
      <c r="AA576" t="s">
        <v>11080</v>
      </c>
      <c r="AB576" t="s">
        <v>11081</v>
      </c>
      <c r="AC576" t="s">
        <v>11082</v>
      </c>
      <c r="AD576" t="s">
        <v>11083</v>
      </c>
      <c r="AE576" t="s">
        <v>11084</v>
      </c>
      <c r="AF576" t="s">
        <v>74</v>
      </c>
      <c r="AG576">
        <v>40</v>
      </c>
      <c r="AH576">
        <v>4</v>
      </c>
      <c r="AI576">
        <v>4</v>
      </c>
      <c r="AJ576">
        <v>0</v>
      </c>
      <c r="AK576">
        <v>0</v>
      </c>
      <c r="AL576" t="s">
        <v>11085</v>
      </c>
      <c r="AM576" t="s">
        <v>11086</v>
      </c>
      <c r="AN576" t="s">
        <v>11087</v>
      </c>
      <c r="AO576" t="s">
        <v>11088</v>
      </c>
      <c r="AP576" t="s">
        <v>74</v>
      </c>
      <c r="AQ576" t="s">
        <v>74</v>
      </c>
      <c r="AR576" t="s">
        <v>11089</v>
      </c>
      <c r="AS576" t="s">
        <v>11090</v>
      </c>
      <c r="AT576" t="s">
        <v>74</v>
      </c>
      <c r="AU576">
        <v>2022</v>
      </c>
      <c r="AV576">
        <v>19</v>
      </c>
      <c r="AW576">
        <v>2</v>
      </c>
      <c r="AX576" t="s">
        <v>74</v>
      </c>
      <c r="AY576" t="s">
        <v>74</v>
      </c>
      <c r="AZ576" t="s">
        <v>74</v>
      </c>
      <c r="BA576" t="s">
        <v>74</v>
      </c>
      <c r="BB576">
        <v>167</v>
      </c>
      <c r="BC576">
        <v>176</v>
      </c>
      <c r="BD576" t="s">
        <v>74</v>
      </c>
      <c r="BE576" t="s">
        <v>11091</v>
      </c>
      <c r="BF576" t="str">
        <f>HYPERLINK("http://dx.doi.org/10.13168/AGG.2022.0006","http://dx.doi.org/10.13168/AGG.2022.0006")</f>
        <v>http://dx.doi.org/10.13168/AGG.2022.0006</v>
      </c>
      <c r="BG576" t="s">
        <v>74</v>
      </c>
      <c r="BH576" t="s">
        <v>74</v>
      </c>
      <c r="BI576">
        <v>10</v>
      </c>
      <c r="BJ576" t="s">
        <v>11092</v>
      </c>
      <c r="BK576" t="s">
        <v>103</v>
      </c>
      <c r="BL576" t="s">
        <v>11092</v>
      </c>
      <c r="BM576" t="s">
        <v>11093</v>
      </c>
      <c r="BN576" t="s">
        <v>74</v>
      </c>
      <c r="BO576" t="s">
        <v>74</v>
      </c>
      <c r="BP576" t="s">
        <v>74</v>
      </c>
      <c r="BQ576" t="s">
        <v>74</v>
      </c>
      <c r="BR576" t="s">
        <v>106</v>
      </c>
      <c r="BS576" t="s">
        <v>11094</v>
      </c>
      <c r="BT576" t="str">
        <f>HYPERLINK("https%3A%2F%2Fwww.webofscience.com%2Fwos%2Fwoscc%2Ffull-record%2FWOS:000821862200007","View Full Record in Web of Science")</f>
        <v>View Full Record in Web of Science</v>
      </c>
    </row>
    <row r="577" spans="1:72" x14ac:dyDescent="0.15">
      <c r="A577" t="s">
        <v>72</v>
      </c>
      <c r="B577" t="s">
        <v>11095</v>
      </c>
      <c r="C577" t="s">
        <v>74</v>
      </c>
      <c r="D577" t="s">
        <v>74</v>
      </c>
      <c r="E577" t="s">
        <v>74</v>
      </c>
      <c r="F577" t="s">
        <v>11096</v>
      </c>
      <c r="G577" t="s">
        <v>74</v>
      </c>
      <c r="H577" t="s">
        <v>74</v>
      </c>
      <c r="I577" t="s">
        <v>11097</v>
      </c>
      <c r="J577" t="s">
        <v>10976</v>
      </c>
      <c r="K577" t="s">
        <v>74</v>
      </c>
      <c r="L577" t="s">
        <v>74</v>
      </c>
      <c r="M577" t="s">
        <v>78</v>
      </c>
      <c r="N577" t="s">
        <v>79</v>
      </c>
      <c r="O577" t="s">
        <v>74</v>
      </c>
      <c r="P577" t="s">
        <v>74</v>
      </c>
      <c r="Q577" t="s">
        <v>74</v>
      </c>
      <c r="R577" t="s">
        <v>74</v>
      </c>
      <c r="S577" t="s">
        <v>74</v>
      </c>
      <c r="T577" t="s">
        <v>11098</v>
      </c>
      <c r="U577" t="s">
        <v>11099</v>
      </c>
      <c r="V577" t="s">
        <v>11100</v>
      </c>
      <c r="W577" t="s">
        <v>11101</v>
      </c>
      <c r="X577" t="s">
        <v>11102</v>
      </c>
      <c r="Y577" t="s">
        <v>10982</v>
      </c>
      <c r="Z577" t="s">
        <v>10983</v>
      </c>
      <c r="AA577" t="s">
        <v>11103</v>
      </c>
      <c r="AB577" t="s">
        <v>74</v>
      </c>
      <c r="AC577" t="s">
        <v>11104</v>
      </c>
      <c r="AD577" t="s">
        <v>11105</v>
      </c>
      <c r="AE577" t="s">
        <v>11106</v>
      </c>
      <c r="AF577" t="s">
        <v>74</v>
      </c>
      <c r="AG577">
        <v>36</v>
      </c>
      <c r="AH577">
        <v>7</v>
      </c>
      <c r="AI577">
        <v>7</v>
      </c>
      <c r="AJ577">
        <v>7</v>
      </c>
      <c r="AK577">
        <v>35</v>
      </c>
      <c r="AL577" t="s">
        <v>10987</v>
      </c>
      <c r="AM577" t="s">
        <v>10988</v>
      </c>
      <c r="AN577" t="s">
        <v>10989</v>
      </c>
      <c r="AO577" t="s">
        <v>10990</v>
      </c>
      <c r="AP577" t="s">
        <v>10991</v>
      </c>
      <c r="AQ577" t="s">
        <v>74</v>
      </c>
      <c r="AR577" t="s">
        <v>10992</v>
      </c>
      <c r="AS577" t="s">
        <v>10993</v>
      </c>
      <c r="AT577" t="s">
        <v>74</v>
      </c>
      <c r="AU577">
        <v>2022</v>
      </c>
      <c r="AV577">
        <v>42</v>
      </c>
      <c r="AW577" t="s">
        <v>74</v>
      </c>
      <c r="AX577" t="s">
        <v>74</v>
      </c>
      <c r="AY577" t="s">
        <v>74</v>
      </c>
      <c r="AZ577" t="s">
        <v>74</v>
      </c>
      <c r="BA577" t="s">
        <v>74</v>
      </c>
      <c r="BB577" t="s">
        <v>74</v>
      </c>
      <c r="BC577" t="s">
        <v>74</v>
      </c>
      <c r="BD577">
        <v>58920</v>
      </c>
      <c r="BE577" t="s">
        <v>11107</v>
      </c>
      <c r="BF577" t="str">
        <f>HYPERLINK("http://dx.doi.org/10.1590/fst.58920","http://dx.doi.org/10.1590/fst.58920")</f>
        <v>http://dx.doi.org/10.1590/fst.58920</v>
      </c>
      <c r="BG577" t="s">
        <v>74</v>
      </c>
      <c r="BH577" t="s">
        <v>74</v>
      </c>
      <c r="BI577">
        <v>7</v>
      </c>
      <c r="BJ577" t="s">
        <v>235</v>
      </c>
      <c r="BK577" t="s">
        <v>103</v>
      </c>
      <c r="BL577" t="s">
        <v>235</v>
      </c>
      <c r="BM577" t="s">
        <v>11108</v>
      </c>
      <c r="BN577" t="s">
        <v>74</v>
      </c>
      <c r="BO577" t="s">
        <v>445</v>
      </c>
      <c r="BP577" t="s">
        <v>74</v>
      </c>
      <c r="BQ577" t="s">
        <v>74</v>
      </c>
      <c r="BR577" t="s">
        <v>106</v>
      </c>
      <c r="BS577" t="s">
        <v>11109</v>
      </c>
      <c r="BT577" t="str">
        <f>HYPERLINK("https%3A%2F%2Fwww.webofscience.com%2Fwos%2Fwoscc%2Ffull-record%2FWOS:000818587000031","View Full Record in Web of Science")</f>
        <v>View Full Record in Web of Science</v>
      </c>
    </row>
    <row r="578" spans="1:72" x14ac:dyDescent="0.15">
      <c r="A578" t="s">
        <v>72</v>
      </c>
      <c r="B578" t="s">
        <v>11110</v>
      </c>
      <c r="C578" t="s">
        <v>74</v>
      </c>
      <c r="D578" t="s">
        <v>74</v>
      </c>
      <c r="E578" t="s">
        <v>74</v>
      </c>
      <c r="F578" t="s">
        <v>11111</v>
      </c>
      <c r="G578" t="s">
        <v>74</v>
      </c>
      <c r="H578" t="s">
        <v>74</v>
      </c>
      <c r="I578" t="s">
        <v>11112</v>
      </c>
      <c r="J578" t="s">
        <v>11113</v>
      </c>
      <c r="K578" t="s">
        <v>74</v>
      </c>
      <c r="L578" t="s">
        <v>74</v>
      </c>
      <c r="M578" t="s">
        <v>78</v>
      </c>
      <c r="N578" t="s">
        <v>779</v>
      </c>
      <c r="O578" t="s">
        <v>74</v>
      </c>
      <c r="P578" t="s">
        <v>74</v>
      </c>
      <c r="Q578" t="s">
        <v>74</v>
      </c>
      <c r="R578" t="s">
        <v>74</v>
      </c>
      <c r="S578" t="s">
        <v>74</v>
      </c>
      <c r="T578" t="s">
        <v>74</v>
      </c>
      <c r="U578" t="s">
        <v>74</v>
      </c>
      <c r="V578" t="s">
        <v>74</v>
      </c>
      <c r="W578" t="s">
        <v>11114</v>
      </c>
      <c r="X578" t="s">
        <v>11115</v>
      </c>
      <c r="Y578" t="s">
        <v>11116</v>
      </c>
      <c r="Z578" t="s">
        <v>74</v>
      </c>
      <c r="AA578" t="s">
        <v>11117</v>
      </c>
      <c r="AB578" t="s">
        <v>11118</v>
      </c>
      <c r="AC578" t="s">
        <v>74</v>
      </c>
      <c r="AD578" t="s">
        <v>74</v>
      </c>
      <c r="AE578" t="s">
        <v>74</v>
      </c>
      <c r="AF578" t="s">
        <v>74</v>
      </c>
      <c r="AG578">
        <v>6</v>
      </c>
      <c r="AH578">
        <v>4</v>
      </c>
      <c r="AI578">
        <v>4</v>
      </c>
      <c r="AJ578">
        <v>0</v>
      </c>
      <c r="AK578">
        <v>0</v>
      </c>
      <c r="AL578" t="s">
        <v>11119</v>
      </c>
      <c r="AM578" t="s">
        <v>11120</v>
      </c>
      <c r="AN578" t="s">
        <v>11121</v>
      </c>
      <c r="AO578" t="s">
        <v>11122</v>
      </c>
      <c r="AP578" t="s">
        <v>11123</v>
      </c>
      <c r="AQ578" t="s">
        <v>74</v>
      </c>
      <c r="AR578" t="s">
        <v>11124</v>
      </c>
      <c r="AS578" t="s">
        <v>11125</v>
      </c>
      <c r="AT578" t="s">
        <v>74</v>
      </c>
      <c r="AU578">
        <v>2022</v>
      </c>
      <c r="AV578">
        <v>94</v>
      </c>
      <c r="AW578" t="s">
        <v>74</v>
      </c>
      <c r="AX578" t="s">
        <v>74</v>
      </c>
      <c r="AY578">
        <v>1</v>
      </c>
      <c r="AZ578" t="s">
        <v>74</v>
      </c>
      <c r="BA578" t="s">
        <v>74</v>
      </c>
      <c r="BB578" t="s">
        <v>74</v>
      </c>
      <c r="BC578" t="s">
        <v>74</v>
      </c>
      <c r="BD578" t="s">
        <v>11126</v>
      </c>
      <c r="BE578" t="s">
        <v>11127</v>
      </c>
      <c r="BF578" t="str">
        <f>HYPERLINK("http://dx.doi.org/10.1590/0001-3765202220220493","http://dx.doi.org/10.1590/0001-3765202220220493")</f>
        <v>http://dx.doi.org/10.1590/0001-3765202220220493</v>
      </c>
      <c r="BG578" t="s">
        <v>74</v>
      </c>
      <c r="BH578" t="s">
        <v>74</v>
      </c>
      <c r="BI578">
        <v>3</v>
      </c>
      <c r="BJ578" t="s">
        <v>289</v>
      </c>
      <c r="BK578" t="s">
        <v>103</v>
      </c>
      <c r="BL578" t="s">
        <v>290</v>
      </c>
      <c r="BM578" t="s">
        <v>11128</v>
      </c>
      <c r="BN578">
        <v>35766620</v>
      </c>
      <c r="BO578" t="s">
        <v>445</v>
      </c>
      <c r="BP578" t="s">
        <v>74</v>
      </c>
      <c r="BQ578" t="s">
        <v>74</v>
      </c>
      <c r="BR578" t="s">
        <v>106</v>
      </c>
      <c r="BS578" t="s">
        <v>11129</v>
      </c>
      <c r="BT578" t="str">
        <f>HYPERLINK("https%3A%2F%2Fwww.webofscience.com%2Fwos%2Fwoscc%2Ffull-record%2FWOS:000818700600001","View Full Record in Web of Science")</f>
        <v>View Full Record in Web of Science</v>
      </c>
    </row>
    <row r="579" spans="1:72" x14ac:dyDescent="0.15">
      <c r="A579" t="s">
        <v>72</v>
      </c>
      <c r="B579" t="s">
        <v>11130</v>
      </c>
      <c r="C579" t="s">
        <v>74</v>
      </c>
      <c r="D579" t="s">
        <v>74</v>
      </c>
      <c r="E579" t="s">
        <v>74</v>
      </c>
      <c r="F579" t="s">
        <v>11131</v>
      </c>
      <c r="G579" t="s">
        <v>74</v>
      </c>
      <c r="H579" t="s">
        <v>74</v>
      </c>
      <c r="I579" t="s">
        <v>11132</v>
      </c>
      <c r="J579" t="s">
        <v>8816</v>
      </c>
      <c r="K579" t="s">
        <v>74</v>
      </c>
      <c r="L579" t="s">
        <v>74</v>
      </c>
      <c r="M579" t="s">
        <v>78</v>
      </c>
      <c r="N579" t="s">
        <v>79</v>
      </c>
      <c r="O579" t="s">
        <v>74</v>
      </c>
      <c r="P579" t="s">
        <v>74</v>
      </c>
      <c r="Q579" t="s">
        <v>74</v>
      </c>
      <c r="R579" t="s">
        <v>74</v>
      </c>
      <c r="S579" t="s">
        <v>74</v>
      </c>
      <c r="T579" t="s">
        <v>11133</v>
      </c>
      <c r="U579" t="s">
        <v>11134</v>
      </c>
      <c r="V579" t="s">
        <v>11135</v>
      </c>
      <c r="W579" t="s">
        <v>11136</v>
      </c>
      <c r="X579" t="s">
        <v>11137</v>
      </c>
      <c r="Y579" t="s">
        <v>11138</v>
      </c>
      <c r="Z579" t="s">
        <v>11139</v>
      </c>
      <c r="AA579" t="s">
        <v>74</v>
      </c>
      <c r="AB579" t="s">
        <v>74</v>
      </c>
      <c r="AC579" t="s">
        <v>6845</v>
      </c>
      <c r="AD579" t="s">
        <v>577</v>
      </c>
      <c r="AE579" t="s">
        <v>11140</v>
      </c>
      <c r="AF579" t="s">
        <v>74</v>
      </c>
      <c r="AG579">
        <v>64</v>
      </c>
      <c r="AH579">
        <v>0</v>
      </c>
      <c r="AI579">
        <v>0</v>
      </c>
      <c r="AJ579">
        <v>3</v>
      </c>
      <c r="AK579">
        <v>6</v>
      </c>
      <c r="AL579" t="s">
        <v>8829</v>
      </c>
      <c r="AM579" t="s">
        <v>8830</v>
      </c>
      <c r="AN579" t="s">
        <v>8831</v>
      </c>
      <c r="AO579" t="s">
        <v>8832</v>
      </c>
      <c r="AP579" t="s">
        <v>8833</v>
      </c>
      <c r="AQ579" t="s">
        <v>74</v>
      </c>
      <c r="AR579" t="s">
        <v>8834</v>
      </c>
      <c r="AS579" t="s">
        <v>8835</v>
      </c>
      <c r="AT579" t="s">
        <v>74</v>
      </c>
      <c r="AU579">
        <v>2022</v>
      </c>
      <c r="AV579">
        <v>43</v>
      </c>
      <c r="AW579">
        <v>2</v>
      </c>
      <c r="AX579" t="s">
        <v>74</v>
      </c>
      <c r="AY579" t="s">
        <v>74</v>
      </c>
      <c r="AZ579" t="s">
        <v>74</v>
      </c>
      <c r="BA579" t="s">
        <v>74</v>
      </c>
      <c r="BB579">
        <v>125</v>
      </c>
      <c r="BC579">
        <v>143</v>
      </c>
      <c r="BD579" t="s">
        <v>74</v>
      </c>
      <c r="BE579" t="s">
        <v>11141</v>
      </c>
      <c r="BF579" t="str">
        <f>HYPERLINK("http://dx.doi.org/10.24425/ppr.2021.138587","http://dx.doi.org/10.24425/ppr.2021.138587")</f>
        <v>http://dx.doi.org/10.24425/ppr.2021.138587</v>
      </c>
      <c r="BG579" t="s">
        <v>74</v>
      </c>
      <c r="BH579" t="s">
        <v>74</v>
      </c>
      <c r="BI579">
        <v>19</v>
      </c>
      <c r="BJ579" t="s">
        <v>416</v>
      </c>
      <c r="BK579" t="s">
        <v>103</v>
      </c>
      <c r="BL579" t="s">
        <v>417</v>
      </c>
      <c r="BM579" t="s">
        <v>11142</v>
      </c>
      <c r="BN579" t="s">
        <v>74</v>
      </c>
      <c r="BO579" t="s">
        <v>445</v>
      </c>
      <c r="BP579" t="s">
        <v>74</v>
      </c>
      <c r="BQ579" t="s">
        <v>74</v>
      </c>
      <c r="BR579" t="s">
        <v>106</v>
      </c>
      <c r="BS579" t="s">
        <v>11143</v>
      </c>
      <c r="BT579" t="str">
        <f>HYPERLINK("https%3A%2F%2Fwww.webofscience.com%2Fwos%2Fwoscc%2Ffull-record%2FWOS:000815246500002","View Full Record in Web of Science")</f>
        <v>View Full Record in Web of Science</v>
      </c>
    </row>
    <row r="580" spans="1:72" x14ac:dyDescent="0.15">
      <c r="A580" t="s">
        <v>72</v>
      </c>
      <c r="B580" t="s">
        <v>11144</v>
      </c>
      <c r="C580" t="s">
        <v>74</v>
      </c>
      <c r="D580" t="s">
        <v>74</v>
      </c>
      <c r="E580" t="s">
        <v>74</v>
      </c>
      <c r="F580" t="s">
        <v>11145</v>
      </c>
      <c r="G580" t="s">
        <v>74</v>
      </c>
      <c r="H580" t="s">
        <v>74</v>
      </c>
      <c r="I580" t="s">
        <v>11146</v>
      </c>
      <c r="J580" t="s">
        <v>8816</v>
      </c>
      <c r="K580" t="s">
        <v>74</v>
      </c>
      <c r="L580" t="s">
        <v>74</v>
      </c>
      <c r="M580" t="s">
        <v>78</v>
      </c>
      <c r="N580" t="s">
        <v>79</v>
      </c>
      <c r="O580" t="s">
        <v>74</v>
      </c>
      <c r="P580" t="s">
        <v>74</v>
      </c>
      <c r="Q580" t="s">
        <v>74</v>
      </c>
      <c r="R580" t="s">
        <v>74</v>
      </c>
      <c r="S580" t="s">
        <v>74</v>
      </c>
      <c r="T580" t="s">
        <v>11147</v>
      </c>
      <c r="U580" t="s">
        <v>74</v>
      </c>
      <c r="V580" t="s">
        <v>11148</v>
      </c>
      <c r="W580" t="s">
        <v>11149</v>
      </c>
      <c r="X580" t="s">
        <v>11150</v>
      </c>
      <c r="Y580" t="s">
        <v>11151</v>
      </c>
      <c r="Z580" t="s">
        <v>11152</v>
      </c>
      <c r="AA580" t="s">
        <v>11153</v>
      </c>
      <c r="AB580" t="s">
        <v>11154</v>
      </c>
      <c r="AC580" t="s">
        <v>74</v>
      </c>
      <c r="AD580" t="s">
        <v>74</v>
      </c>
      <c r="AE580" t="s">
        <v>74</v>
      </c>
      <c r="AF580" t="s">
        <v>74</v>
      </c>
      <c r="AG580">
        <v>71</v>
      </c>
      <c r="AH580">
        <v>0</v>
      </c>
      <c r="AI580">
        <v>0</v>
      </c>
      <c r="AJ580">
        <v>1</v>
      </c>
      <c r="AK580">
        <v>7</v>
      </c>
      <c r="AL580" t="s">
        <v>8829</v>
      </c>
      <c r="AM580" t="s">
        <v>8830</v>
      </c>
      <c r="AN580" t="s">
        <v>8831</v>
      </c>
      <c r="AO580" t="s">
        <v>8832</v>
      </c>
      <c r="AP580" t="s">
        <v>8833</v>
      </c>
      <c r="AQ580" t="s">
        <v>74</v>
      </c>
      <c r="AR580" t="s">
        <v>8834</v>
      </c>
      <c r="AS580" t="s">
        <v>8835</v>
      </c>
      <c r="AT580" t="s">
        <v>74</v>
      </c>
      <c r="AU580">
        <v>2022</v>
      </c>
      <c r="AV580">
        <v>43</v>
      </c>
      <c r="AW580">
        <v>2</v>
      </c>
      <c r="AX580" t="s">
        <v>74</v>
      </c>
      <c r="AY580" t="s">
        <v>74</v>
      </c>
      <c r="AZ580" t="s">
        <v>74</v>
      </c>
      <c r="BA580" t="s">
        <v>74</v>
      </c>
      <c r="BB580">
        <v>165</v>
      </c>
      <c r="BC580">
        <v>185</v>
      </c>
      <c r="BD580" t="s">
        <v>74</v>
      </c>
      <c r="BE580" t="s">
        <v>11155</v>
      </c>
      <c r="BF580" t="str">
        <f>HYPERLINK("http://dx.doi.org/10.24425/ppr.2022.140362","http://dx.doi.org/10.24425/ppr.2022.140362")</f>
        <v>http://dx.doi.org/10.24425/ppr.2022.140362</v>
      </c>
      <c r="BG580" t="s">
        <v>74</v>
      </c>
      <c r="BH580" t="s">
        <v>74</v>
      </c>
      <c r="BI580">
        <v>21</v>
      </c>
      <c r="BJ580" t="s">
        <v>416</v>
      </c>
      <c r="BK580" t="s">
        <v>103</v>
      </c>
      <c r="BL580" t="s">
        <v>417</v>
      </c>
      <c r="BM580" t="s">
        <v>11142</v>
      </c>
      <c r="BN580" t="s">
        <v>74</v>
      </c>
      <c r="BO580" t="s">
        <v>445</v>
      </c>
      <c r="BP580" t="s">
        <v>74</v>
      </c>
      <c r="BQ580" t="s">
        <v>74</v>
      </c>
      <c r="BR580" t="s">
        <v>106</v>
      </c>
      <c r="BS580" t="s">
        <v>11156</v>
      </c>
      <c r="BT580" t="str">
        <f>HYPERLINK("https%3A%2F%2Fwww.webofscience.com%2Fwos%2Fwoscc%2Ffull-record%2FWOS:000815246500004","View Full Record in Web of Science")</f>
        <v>View Full Record in Web of Science</v>
      </c>
    </row>
    <row r="581" spans="1:72" x14ac:dyDescent="0.15">
      <c r="A581" t="s">
        <v>72</v>
      </c>
      <c r="B581" t="s">
        <v>11157</v>
      </c>
      <c r="C581" t="s">
        <v>74</v>
      </c>
      <c r="D581" t="s">
        <v>74</v>
      </c>
      <c r="E581" t="s">
        <v>74</v>
      </c>
      <c r="F581" t="s">
        <v>11158</v>
      </c>
      <c r="G581" t="s">
        <v>74</v>
      </c>
      <c r="H581" t="s">
        <v>74</v>
      </c>
      <c r="I581" t="s">
        <v>11159</v>
      </c>
      <c r="J581" t="s">
        <v>11160</v>
      </c>
      <c r="K581" t="s">
        <v>74</v>
      </c>
      <c r="L581" t="s">
        <v>74</v>
      </c>
      <c r="M581" t="s">
        <v>11161</v>
      </c>
      <c r="N581" t="s">
        <v>79</v>
      </c>
      <c r="O581" t="s">
        <v>74</v>
      </c>
      <c r="P581" t="s">
        <v>74</v>
      </c>
      <c r="Q581" t="s">
        <v>74</v>
      </c>
      <c r="R581" t="s">
        <v>74</v>
      </c>
      <c r="S581" t="s">
        <v>74</v>
      </c>
      <c r="T581" t="s">
        <v>11162</v>
      </c>
      <c r="U581" t="s">
        <v>74</v>
      </c>
      <c r="V581" t="s">
        <v>11163</v>
      </c>
      <c r="W581" t="s">
        <v>11164</v>
      </c>
      <c r="X581" t="s">
        <v>11165</v>
      </c>
      <c r="Y581" t="s">
        <v>11166</v>
      </c>
      <c r="Z581" t="s">
        <v>11167</v>
      </c>
      <c r="AA581" t="s">
        <v>74</v>
      </c>
      <c r="AB581" t="s">
        <v>74</v>
      </c>
      <c r="AC581" t="s">
        <v>74</v>
      </c>
      <c r="AD581" t="s">
        <v>74</v>
      </c>
      <c r="AE581" t="s">
        <v>74</v>
      </c>
      <c r="AF581" t="s">
        <v>74</v>
      </c>
      <c r="AG581">
        <v>47</v>
      </c>
      <c r="AH581">
        <v>0</v>
      </c>
      <c r="AI581">
        <v>0</v>
      </c>
      <c r="AJ581">
        <v>1</v>
      </c>
      <c r="AK581">
        <v>1</v>
      </c>
      <c r="AL581" t="s">
        <v>11168</v>
      </c>
      <c r="AM581" t="s">
        <v>11169</v>
      </c>
      <c r="AN581" t="s">
        <v>11170</v>
      </c>
      <c r="AO581" t="s">
        <v>11171</v>
      </c>
      <c r="AP581" t="s">
        <v>74</v>
      </c>
      <c r="AQ581" t="s">
        <v>74</v>
      </c>
      <c r="AR581" t="s">
        <v>11172</v>
      </c>
      <c r="AS581" t="s">
        <v>11173</v>
      </c>
      <c r="AT581" t="s">
        <v>11174</v>
      </c>
      <c r="AU581">
        <v>2022</v>
      </c>
      <c r="AV581">
        <v>13</v>
      </c>
      <c r="AW581">
        <v>1</v>
      </c>
      <c r="AX581" t="s">
        <v>74</v>
      </c>
      <c r="AY581" t="s">
        <v>74</v>
      </c>
      <c r="AZ581" t="s">
        <v>74</v>
      </c>
      <c r="BA581" t="s">
        <v>74</v>
      </c>
      <c r="BB581">
        <v>70</v>
      </c>
      <c r="BC581">
        <v>99</v>
      </c>
      <c r="BD581" t="s">
        <v>74</v>
      </c>
      <c r="BE581" t="s">
        <v>74</v>
      </c>
      <c r="BF581" t="s">
        <v>74</v>
      </c>
      <c r="BG581" t="s">
        <v>74</v>
      </c>
      <c r="BH581" t="s">
        <v>74</v>
      </c>
      <c r="BI581">
        <v>30</v>
      </c>
      <c r="BJ581" t="s">
        <v>11175</v>
      </c>
      <c r="BK581" t="s">
        <v>724</v>
      </c>
      <c r="BL581" t="s">
        <v>11175</v>
      </c>
      <c r="BM581" t="s">
        <v>11176</v>
      </c>
      <c r="BN581" t="s">
        <v>74</v>
      </c>
      <c r="BO581" t="s">
        <v>74</v>
      </c>
      <c r="BP581" t="s">
        <v>74</v>
      </c>
      <c r="BQ581" t="s">
        <v>74</v>
      </c>
      <c r="BR581" t="s">
        <v>106</v>
      </c>
      <c r="BS581" t="s">
        <v>11177</v>
      </c>
      <c r="BT581" t="str">
        <f>HYPERLINK("https%3A%2F%2Fwww.webofscience.com%2Fwos%2Fwoscc%2Ffull-record%2FWOS:000807819400004","View Full Record in Web of Science")</f>
        <v>View Full Record in Web of Science</v>
      </c>
    </row>
    <row r="582" spans="1:72" x14ac:dyDescent="0.15">
      <c r="A582" t="s">
        <v>72</v>
      </c>
      <c r="B582" t="s">
        <v>11178</v>
      </c>
      <c r="C582" t="s">
        <v>74</v>
      </c>
      <c r="D582" t="s">
        <v>74</v>
      </c>
      <c r="E582" t="s">
        <v>74</v>
      </c>
      <c r="F582" t="s">
        <v>11179</v>
      </c>
      <c r="G582" t="s">
        <v>74</v>
      </c>
      <c r="H582" t="s">
        <v>74</v>
      </c>
      <c r="I582" t="s">
        <v>11180</v>
      </c>
      <c r="J582" t="s">
        <v>11160</v>
      </c>
      <c r="K582" t="s">
        <v>74</v>
      </c>
      <c r="L582" t="s">
        <v>74</v>
      </c>
      <c r="M582" t="s">
        <v>11161</v>
      </c>
      <c r="N582" t="s">
        <v>79</v>
      </c>
      <c r="O582" t="s">
        <v>74</v>
      </c>
      <c r="P582" t="s">
        <v>74</v>
      </c>
      <c r="Q582" t="s">
        <v>74</v>
      </c>
      <c r="R582" t="s">
        <v>74</v>
      </c>
      <c r="S582" t="s">
        <v>74</v>
      </c>
      <c r="T582" t="s">
        <v>11181</v>
      </c>
      <c r="U582" t="s">
        <v>74</v>
      </c>
      <c r="V582" t="s">
        <v>11182</v>
      </c>
      <c r="W582" t="s">
        <v>11183</v>
      </c>
      <c r="X582" t="s">
        <v>11184</v>
      </c>
      <c r="Y582" t="s">
        <v>11185</v>
      </c>
      <c r="Z582" t="s">
        <v>11186</v>
      </c>
      <c r="AA582" t="s">
        <v>74</v>
      </c>
      <c r="AB582" t="s">
        <v>74</v>
      </c>
      <c r="AC582" t="s">
        <v>74</v>
      </c>
      <c r="AD582" t="s">
        <v>74</v>
      </c>
      <c r="AE582" t="s">
        <v>74</v>
      </c>
      <c r="AF582" t="s">
        <v>74</v>
      </c>
      <c r="AG582">
        <v>30</v>
      </c>
      <c r="AH582">
        <v>0</v>
      </c>
      <c r="AI582">
        <v>0</v>
      </c>
      <c r="AJ582">
        <v>0</v>
      </c>
      <c r="AK582">
        <v>0</v>
      </c>
      <c r="AL582" t="s">
        <v>11168</v>
      </c>
      <c r="AM582" t="s">
        <v>11169</v>
      </c>
      <c r="AN582" t="s">
        <v>11170</v>
      </c>
      <c r="AO582" t="s">
        <v>11171</v>
      </c>
      <c r="AP582" t="s">
        <v>74</v>
      </c>
      <c r="AQ582" t="s">
        <v>74</v>
      </c>
      <c r="AR582" t="s">
        <v>11172</v>
      </c>
      <c r="AS582" t="s">
        <v>11173</v>
      </c>
      <c r="AT582" t="s">
        <v>11174</v>
      </c>
      <c r="AU582">
        <v>2022</v>
      </c>
      <c r="AV582">
        <v>13</v>
      </c>
      <c r="AW582">
        <v>1</v>
      </c>
      <c r="AX582" t="s">
        <v>74</v>
      </c>
      <c r="AY582" t="s">
        <v>74</v>
      </c>
      <c r="AZ582" t="s">
        <v>74</v>
      </c>
      <c r="BA582" t="s">
        <v>74</v>
      </c>
      <c r="BB582">
        <v>100</v>
      </c>
      <c r="BC582">
        <v>121</v>
      </c>
      <c r="BD582" t="s">
        <v>74</v>
      </c>
      <c r="BE582" t="s">
        <v>74</v>
      </c>
      <c r="BF582" t="s">
        <v>74</v>
      </c>
      <c r="BG582" t="s">
        <v>74</v>
      </c>
      <c r="BH582" t="s">
        <v>74</v>
      </c>
      <c r="BI582">
        <v>22</v>
      </c>
      <c r="BJ582" t="s">
        <v>11175</v>
      </c>
      <c r="BK582" t="s">
        <v>724</v>
      </c>
      <c r="BL582" t="s">
        <v>11175</v>
      </c>
      <c r="BM582" t="s">
        <v>11176</v>
      </c>
      <c r="BN582" t="s">
        <v>74</v>
      </c>
      <c r="BO582" t="s">
        <v>74</v>
      </c>
      <c r="BP582" t="s">
        <v>74</v>
      </c>
      <c r="BQ582" t="s">
        <v>74</v>
      </c>
      <c r="BR582" t="s">
        <v>106</v>
      </c>
      <c r="BS582" t="s">
        <v>11187</v>
      </c>
      <c r="BT582" t="str">
        <f>HYPERLINK("https%3A%2F%2Fwww.webofscience.com%2Fwos%2Fwoscc%2Ffull-record%2FWOS:000807819400005","View Full Record in Web of Science")</f>
        <v>View Full Record in Web of Science</v>
      </c>
    </row>
    <row r="583" spans="1:72" x14ac:dyDescent="0.15">
      <c r="A583" t="s">
        <v>72</v>
      </c>
      <c r="B583" t="s">
        <v>11188</v>
      </c>
      <c r="C583" t="s">
        <v>74</v>
      </c>
      <c r="D583" t="s">
        <v>74</v>
      </c>
      <c r="E583" t="s">
        <v>74</v>
      </c>
      <c r="F583" t="s">
        <v>11189</v>
      </c>
      <c r="G583" t="s">
        <v>74</v>
      </c>
      <c r="H583" t="s">
        <v>74</v>
      </c>
      <c r="I583" t="s">
        <v>11190</v>
      </c>
      <c r="J583" t="s">
        <v>10916</v>
      </c>
      <c r="K583" t="s">
        <v>74</v>
      </c>
      <c r="L583" t="s">
        <v>74</v>
      </c>
      <c r="M583" t="s">
        <v>78</v>
      </c>
      <c r="N583" t="s">
        <v>1113</v>
      </c>
      <c r="O583" t="s">
        <v>74</v>
      </c>
      <c r="P583" t="s">
        <v>74</v>
      </c>
      <c r="Q583" t="s">
        <v>74</v>
      </c>
      <c r="R583" t="s">
        <v>74</v>
      </c>
      <c r="S583" t="s">
        <v>74</v>
      </c>
      <c r="T583" t="s">
        <v>11191</v>
      </c>
      <c r="U583" t="s">
        <v>11192</v>
      </c>
      <c r="V583" t="s">
        <v>11193</v>
      </c>
      <c r="W583" t="s">
        <v>11194</v>
      </c>
      <c r="X583" t="s">
        <v>11195</v>
      </c>
      <c r="Y583" t="s">
        <v>11196</v>
      </c>
      <c r="Z583" t="s">
        <v>11197</v>
      </c>
      <c r="AA583" t="s">
        <v>74</v>
      </c>
      <c r="AB583" t="s">
        <v>74</v>
      </c>
      <c r="AC583" t="s">
        <v>11198</v>
      </c>
      <c r="AD583" t="s">
        <v>11199</v>
      </c>
      <c r="AE583" t="s">
        <v>11200</v>
      </c>
      <c r="AF583" t="s">
        <v>74</v>
      </c>
      <c r="AG583">
        <v>146</v>
      </c>
      <c r="AH583">
        <v>12</v>
      </c>
      <c r="AI583">
        <v>12</v>
      </c>
      <c r="AJ583">
        <v>5</v>
      </c>
      <c r="AK583">
        <v>22</v>
      </c>
      <c r="AL583" t="s">
        <v>1603</v>
      </c>
      <c r="AM583" t="s">
        <v>93</v>
      </c>
      <c r="AN583" t="s">
        <v>1604</v>
      </c>
      <c r="AO583" t="s">
        <v>10928</v>
      </c>
      <c r="AP583" t="s">
        <v>74</v>
      </c>
      <c r="AQ583" t="s">
        <v>74</v>
      </c>
      <c r="AR583" t="s">
        <v>10929</v>
      </c>
      <c r="AS583" t="s">
        <v>10930</v>
      </c>
      <c r="AT583" t="s">
        <v>10931</v>
      </c>
      <c r="AU583">
        <v>2022</v>
      </c>
      <c r="AV583">
        <v>10</v>
      </c>
      <c r="AW583">
        <v>1</v>
      </c>
      <c r="AX583" t="s">
        <v>74</v>
      </c>
      <c r="AY583" t="s">
        <v>74</v>
      </c>
      <c r="AZ583" t="s">
        <v>74</v>
      </c>
      <c r="BA583" t="s">
        <v>74</v>
      </c>
      <c r="BB583" t="s">
        <v>74</v>
      </c>
      <c r="BC583" t="s">
        <v>74</v>
      </c>
      <c r="BD583" t="s">
        <v>11201</v>
      </c>
      <c r="BE583" t="s">
        <v>11202</v>
      </c>
      <c r="BF583" t="str">
        <f>HYPERLINK("http://dx.doi.org/10.1093/conphys/coac036","http://dx.doi.org/10.1093/conphys/coac036")</f>
        <v>http://dx.doi.org/10.1093/conphys/coac036</v>
      </c>
      <c r="BG583" t="s">
        <v>74</v>
      </c>
      <c r="BH583" t="s">
        <v>74</v>
      </c>
      <c r="BI583">
        <v>16</v>
      </c>
      <c r="BJ583" t="s">
        <v>10934</v>
      </c>
      <c r="BK583" t="s">
        <v>103</v>
      </c>
      <c r="BL583" t="s">
        <v>10935</v>
      </c>
      <c r="BM583" t="s">
        <v>11203</v>
      </c>
      <c r="BN583">
        <v>35754757</v>
      </c>
      <c r="BO583" t="s">
        <v>211</v>
      </c>
      <c r="BP583" t="s">
        <v>74</v>
      </c>
      <c r="BQ583" t="s">
        <v>74</v>
      </c>
      <c r="BR583" t="s">
        <v>106</v>
      </c>
      <c r="BS583" t="s">
        <v>11204</v>
      </c>
      <c r="BT583" t="str">
        <f>HYPERLINK("https%3A%2F%2Fwww.webofscience.com%2Fwos%2Fwoscc%2Ffull-record%2FWOS:000814333800001","View Full Record in Web of Science")</f>
        <v>View Full Record in Web of Science</v>
      </c>
    </row>
    <row r="584" spans="1:72" x14ac:dyDescent="0.15">
      <c r="A584" t="s">
        <v>72</v>
      </c>
      <c r="B584" t="s">
        <v>11205</v>
      </c>
      <c r="C584" t="s">
        <v>74</v>
      </c>
      <c r="D584" t="s">
        <v>74</v>
      </c>
      <c r="E584" t="s">
        <v>74</v>
      </c>
      <c r="F584" t="s">
        <v>11206</v>
      </c>
      <c r="G584" t="s">
        <v>74</v>
      </c>
      <c r="H584" t="s">
        <v>74</v>
      </c>
      <c r="I584" t="s">
        <v>11207</v>
      </c>
      <c r="J584" t="s">
        <v>11208</v>
      </c>
      <c r="K584" t="s">
        <v>74</v>
      </c>
      <c r="L584" t="s">
        <v>74</v>
      </c>
      <c r="M584" t="s">
        <v>78</v>
      </c>
      <c r="N584" t="s">
        <v>79</v>
      </c>
      <c r="O584" t="s">
        <v>74</v>
      </c>
      <c r="P584" t="s">
        <v>74</v>
      </c>
      <c r="Q584" t="s">
        <v>74</v>
      </c>
      <c r="R584" t="s">
        <v>74</v>
      </c>
      <c r="S584" t="s">
        <v>74</v>
      </c>
      <c r="T584" t="s">
        <v>11209</v>
      </c>
      <c r="U584" t="s">
        <v>11210</v>
      </c>
      <c r="V584" t="s">
        <v>11211</v>
      </c>
      <c r="W584" t="s">
        <v>11212</v>
      </c>
      <c r="X584" t="s">
        <v>11213</v>
      </c>
      <c r="Y584" t="s">
        <v>11214</v>
      </c>
      <c r="Z584" t="s">
        <v>11215</v>
      </c>
      <c r="AA584" t="s">
        <v>11216</v>
      </c>
      <c r="AB584" t="s">
        <v>11217</v>
      </c>
      <c r="AC584" t="s">
        <v>11218</v>
      </c>
      <c r="AD584" t="s">
        <v>7007</v>
      </c>
      <c r="AE584" t="s">
        <v>11219</v>
      </c>
      <c r="AF584" t="s">
        <v>74</v>
      </c>
      <c r="AG584">
        <v>134</v>
      </c>
      <c r="AH584">
        <v>0</v>
      </c>
      <c r="AI584">
        <v>0</v>
      </c>
      <c r="AJ584">
        <v>3</v>
      </c>
      <c r="AK584">
        <v>11</v>
      </c>
      <c r="AL584" t="s">
        <v>11220</v>
      </c>
      <c r="AM584" t="s">
        <v>11221</v>
      </c>
      <c r="AN584" t="s">
        <v>11222</v>
      </c>
      <c r="AO584" t="s">
        <v>11223</v>
      </c>
      <c r="AP584" t="s">
        <v>11224</v>
      </c>
      <c r="AQ584" t="s">
        <v>74</v>
      </c>
      <c r="AR584" t="s">
        <v>11208</v>
      </c>
      <c r="AS584" t="s">
        <v>11225</v>
      </c>
      <c r="AT584" t="s">
        <v>74</v>
      </c>
      <c r="AU584">
        <v>2022</v>
      </c>
      <c r="AV584">
        <v>19</v>
      </c>
      <c r="AW584">
        <v>2</v>
      </c>
      <c r="AX584" t="s">
        <v>74</v>
      </c>
      <c r="AY584" t="s">
        <v>74</v>
      </c>
      <c r="AZ584" t="s">
        <v>74</v>
      </c>
      <c r="BA584" t="s">
        <v>74</v>
      </c>
      <c r="BB584">
        <v>119</v>
      </c>
      <c r="BC584">
        <v>139</v>
      </c>
      <c r="BD584" t="s">
        <v>74</v>
      </c>
      <c r="BE584" t="s">
        <v>11226</v>
      </c>
      <c r="BF584" t="str">
        <f>HYPERLINK("http://dx.doi.org/10.29041/strat.19.2.03","http://dx.doi.org/10.29041/strat.19.2.03")</f>
        <v>http://dx.doi.org/10.29041/strat.19.2.03</v>
      </c>
      <c r="BG584" t="s">
        <v>74</v>
      </c>
      <c r="BH584" t="s">
        <v>74</v>
      </c>
      <c r="BI584">
        <v>21</v>
      </c>
      <c r="BJ584" t="s">
        <v>11227</v>
      </c>
      <c r="BK584" t="s">
        <v>103</v>
      </c>
      <c r="BL584" t="s">
        <v>11227</v>
      </c>
      <c r="BM584" t="s">
        <v>11228</v>
      </c>
      <c r="BN584" t="s">
        <v>74</v>
      </c>
      <c r="BO584" t="s">
        <v>74</v>
      </c>
      <c r="BP584" t="s">
        <v>74</v>
      </c>
      <c r="BQ584" t="s">
        <v>74</v>
      </c>
      <c r="BR584" t="s">
        <v>106</v>
      </c>
      <c r="BS584" t="s">
        <v>11229</v>
      </c>
      <c r="BT584" t="str">
        <f>HYPERLINK("https%3A%2F%2Fwww.webofscience.com%2Fwos%2Fwoscc%2Ffull-record%2FWOS:000814270600003","View Full Record in Web of Science")</f>
        <v>View Full Record in Web of Science</v>
      </c>
    </row>
    <row r="585" spans="1:72" x14ac:dyDescent="0.15">
      <c r="A585" t="s">
        <v>72</v>
      </c>
      <c r="B585" t="s">
        <v>11230</v>
      </c>
      <c r="C585" t="s">
        <v>74</v>
      </c>
      <c r="D585" t="s">
        <v>74</v>
      </c>
      <c r="E585" t="s">
        <v>74</v>
      </c>
      <c r="F585" t="s">
        <v>11231</v>
      </c>
      <c r="G585" t="s">
        <v>74</v>
      </c>
      <c r="H585" t="s">
        <v>74</v>
      </c>
      <c r="I585" t="s">
        <v>11232</v>
      </c>
      <c r="J585" t="s">
        <v>9196</v>
      </c>
      <c r="K585" t="s">
        <v>74</v>
      </c>
      <c r="L585" t="s">
        <v>74</v>
      </c>
      <c r="M585" t="s">
        <v>78</v>
      </c>
      <c r="N585" t="s">
        <v>79</v>
      </c>
      <c r="O585" t="s">
        <v>74</v>
      </c>
      <c r="P585" t="s">
        <v>74</v>
      </c>
      <c r="Q585" t="s">
        <v>74</v>
      </c>
      <c r="R585" t="s">
        <v>74</v>
      </c>
      <c r="S585" t="s">
        <v>74</v>
      </c>
      <c r="T585" t="s">
        <v>11233</v>
      </c>
      <c r="U585" t="s">
        <v>11234</v>
      </c>
      <c r="V585" t="s">
        <v>11235</v>
      </c>
      <c r="W585" t="s">
        <v>11236</v>
      </c>
      <c r="X585" t="s">
        <v>11237</v>
      </c>
      <c r="Y585" t="s">
        <v>11238</v>
      </c>
      <c r="Z585" t="s">
        <v>11239</v>
      </c>
      <c r="AA585" t="s">
        <v>74</v>
      </c>
      <c r="AB585" t="s">
        <v>74</v>
      </c>
      <c r="AC585" t="s">
        <v>11240</v>
      </c>
      <c r="AD585" t="s">
        <v>11241</v>
      </c>
      <c r="AE585" t="s">
        <v>11242</v>
      </c>
      <c r="AF585" t="s">
        <v>74</v>
      </c>
      <c r="AG585">
        <v>81</v>
      </c>
      <c r="AH585">
        <v>0</v>
      </c>
      <c r="AI585">
        <v>0</v>
      </c>
      <c r="AJ585">
        <v>3</v>
      </c>
      <c r="AK585">
        <v>63</v>
      </c>
      <c r="AL585" t="s">
        <v>1667</v>
      </c>
      <c r="AM585" t="s">
        <v>1668</v>
      </c>
      <c r="AN585" t="s">
        <v>1669</v>
      </c>
      <c r="AO585" t="s">
        <v>9209</v>
      </c>
      <c r="AP585" t="s">
        <v>9210</v>
      </c>
      <c r="AQ585" t="s">
        <v>74</v>
      </c>
      <c r="AR585" t="s">
        <v>9211</v>
      </c>
      <c r="AS585" t="s">
        <v>9212</v>
      </c>
      <c r="AT585" t="s">
        <v>74</v>
      </c>
      <c r="AU585">
        <v>2022</v>
      </c>
      <c r="AV585">
        <v>60</v>
      </c>
      <c r="AW585" t="s">
        <v>74</v>
      </c>
      <c r="AX585" t="s">
        <v>74</v>
      </c>
      <c r="AY585" t="s">
        <v>74</v>
      </c>
      <c r="AZ585" t="s">
        <v>74</v>
      </c>
      <c r="BA585" t="s">
        <v>74</v>
      </c>
      <c r="BB585" t="s">
        <v>74</v>
      </c>
      <c r="BC585" t="s">
        <v>74</v>
      </c>
      <c r="BD585">
        <v>5530912</v>
      </c>
      <c r="BE585" t="s">
        <v>11243</v>
      </c>
      <c r="BF585" t="str">
        <f>HYPERLINK("http://dx.doi.org/10.1109/TGRS.2022.3180626","http://dx.doi.org/10.1109/TGRS.2022.3180626")</f>
        <v>http://dx.doi.org/10.1109/TGRS.2022.3180626</v>
      </c>
      <c r="BG585" t="s">
        <v>74</v>
      </c>
      <c r="BH585" t="s">
        <v>74</v>
      </c>
      <c r="BI585">
        <v>12</v>
      </c>
      <c r="BJ585" t="s">
        <v>9214</v>
      </c>
      <c r="BK585" t="s">
        <v>103</v>
      </c>
      <c r="BL585" t="s">
        <v>9215</v>
      </c>
      <c r="BM585" t="s">
        <v>11244</v>
      </c>
      <c r="BN585" t="s">
        <v>74</v>
      </c>
      <c r="BO585" t="s">
        <v>948</v>
      </c>
      <c r="BP585" t="s">
        <v>74</v>
      </c>
      <c r="BQ585" t="s">
        <v>74</v>
      </c>
      <c r="BR585" t="s">
        <v>106</v>
      </c>
      <c r="BS585" t="s">
        <v>11245</v>
      </c>
      <c r="BT585" t="str">
        <f>HYPERLINK("https%3A%2F%2Fwww.webofscience.com%2Fwos%2Fwoscc%2Ffull-record%2FWOS:000812534600019","View Full Record in Web of Science")</f>
        <v>View Full Record in Web of Science</v>
      </c>
    </row>
    <row r="586" spans="1:72" x14ac:dyDescent="0.15">
      <c r="A586" t="s">
        <v>72</v>
      </c>
      <c r="B586" t="s">
        <v>11246</v>
      </c>
      <c r="C586" t="s">
        <v>74</v>
      </c>
      <c r="D586" t="s">
        <v>74</v>
      </c>
      <c r="E586" t="s">
        <v>74</v>
      </c>
      <c r="F586" t="s">
        <v>11247</v>
      </c>
      <c r="G586" t="s">
        <v>74</v>
      </c>
      <c r="H586" t="s">
        <v>74</v>
      </c>
      <c r="I586" t="s">
        <v>11248</v>
      </c>
      <c r="J586" t="s">
        <v>11249</v>
      </c>
      <c r="K586" t="s">
        <v>74</v>
      </c>
      <c r="L586" t="s">
        <v>74</v>
      </c>
      <c r="M586" t="s">
        <v>78</v>
      </c>
      <c r="N586" t="s">
        <v>79</v>
      </c>
      <c r="O586" t="s">
        <v>74</v>
      </c>
      <c r="P586" t="s">
        <v>74</v>
      </c>
      <c r="Q586" t="s">
        <v>74</v>
      </c>
      <c r="R586" t="s">
        <v>74</v>
      </c>
      <c r="S586" t="s">
        <v>74</v>
      </c>
      <c r="T586" t="s">
        <v>11250</v>
      </c>
      <c r="U586" t="s">
        <v>11251</v>
      </c>
      <c r="V586" t="s">
        <v>11252</v>
      </c>
      <c r="W586" t="s">
        <v>11253</v>
      </c>
      <c r="X586" t="s">
        <v>11254</v>
      </c>
      <c r="Y586" t="s">
        <v>11255</v>
      </c>
      <c r="Z586" t="s">
        <v>11256</v>
      </c>
      <c r="AA586" t="s">
        <v>74</v>
      </c>
      <c r="AB586" t="s">
        <v>11257</v>
      </c>
      <c r="AC586" t="s">
        <v>11258</v>
      </c>
      <c r="AD586" t="s">
        <v>11259</v>
      </c>
      <c r="AE586" t="s">
        <v>11260</v>
      </c>
      <c r="AF586" t="s">
        <v>74</v>
      </c>
      <c r="AG586">
        <v>105</v>
      </c>
      <c r="AH586">
        <v>0</v>
      </c>
      <c r="AI586">
        <v>0</v>
      </c>
      <c r="AJ586">
        <v>3</v>
      </c>
      <c r="AK586">
        <v>13</v>
      </c>
      <c r="AL586" t="s">
        <v>11261</v>
      </c>
      <c r="AM586" t="s">
        <v>11262</v>
      </c>
      <c r="AN586" t="s">
        <v>11263</v>
      </c>
      <c r="AO586" t="s">
        <v>74</v>
      </c>
      <c r="AP586" t="s">
        <v>11264</v>
      </c>
      <c r="AQ586" t="s">
        <v>74</v>
      </c>
      <c r="AR586" t="s">
        <v>11265</v>
      </c>
      <c r="AS586" t="s">
        <v>11266</v>
      </c>
      <c r="AT586" t="s">
        <v>74</v>
      </c>
      <c r="AU586">
        <v>2022</v>
      </c>
      <c r="AV586">
        <v>74</v>
      </c>
      <c r="AW586" t="s">
        <v>74</v>
      </c>
      <c r="AX586" t="s">
        <v>74</v>
      </c>
      <c r="AY586" t="s">
        <v>74</v>
      </c>
      <c r="AZ586" t="s">
        <v>74</v>
      </c>
      <c r="BA586" t="s">
        <v>74</v>
      </c>
      <c r="BB586">
        <v>172</v>
      </c>
      <c r="BC586">
        <v>186</v>
      </c>
      <c r="BD586" t="s">
        <v>74</v>
      </c>
      <c r="BE586" t="s">
        <v>11267</v>
      </c>
      <c r="BF586" t="str">
        <f>HYPERLINK("http://dx.doi.org/10.16993/tellusa.38","http://dx.doi.org/10.16993/tellusa.38")</f>
        <v>http://dx.doi.org/10.16993/tellusa.38</v>
      </c>
      <c r="BG586" t="s">
        <v>74</v>
      </c>
      <c r="BH586" t="s">
        <v>74</v>
      </c>
      <c r="BI586">
        <v>15</v>
      </c>
      <c r="BJ586" t="s">
        <v>6342</v>
      </c>
      <c r="BK586" t="s">
        <v>103</v>
      </c>
      <c r="BL586" t="s">
        <v>6342</v>
      </c>
      <c r="BM586" t="s">
        <v>11268</v>
      </c>
      <c r="BN586" t="s">
        <v>74</v>
      </c>
      <c r="BO586" t="s">
        <v>445</v>
      </c>
      <c r="BP586" t="s">
        <v>74</v>
      </c>
      <c r="BQ586" t="s">
        <v>74</v>
      </c>
      <c r="BR586" t="s">
        <v>106</v>
      </c>
      <c r="BS586" t="s">
        <v>11269</v>
      </c>
      <c r="BT586" t="str">
        <f>HYPERLINK("https%3A%2F%2Fwww.webofscience.com%2Fwos%2Fwoscc%2Ffull-record%2FWOS:000812314100010","View Full Record in Web of Science")</f>
        <v>View Full Record in Web of Science</v>
      </c>
    </row>
    <row r="587" spans="1:72" x14ac:dyDescent="0.15">
      <c r="A587" t="s">
        <v>72</v>
      </c>
      <c r="B587" t="s">
        <v>11270</v>
      </c>
      <c r="C587" t="s">
        <v>74</v>
      </c>
      <c r="D587" t="s">
        <v>74</v>
      </c>
      <c r="E587" t="s">
        <v>74</v>
      </c>
      <c r="F587" t="s">
        <v>11271</v>
      </c>
      <c r="G587" t="s">
        <v>74</v>
      </c>
      <c r="H587" t="s">
        <v>74</v>
      </c>
      <c r="I587" t="s">
        <v>11272</v>
      </c>
      <c r="J587" t="s">
        <v>11113</v>
      </c>
      <c r="K587" t="s">
        <v>74</v>
      </c>
      <c r="L587" t="s">
        <v>74</v>
      </c>
      <c r="M587" t="s">
        <v>78</v>
      </c>
      <c r="N587" t="s">
        <v>79</v>
      </c>
      <c r="O587" t="s">
        <v>74</v>
      </c>
      <c r="P587" t="s">
        <v>74</v>
      </c>
      <c r="Q587" t="s">
        <v>74</v>
      </c>
      <c r="R587" t="s">
        <v>74</v>
      </c>
      <c r="S587" t="s">
        <v>74</v>
      </c>
      <c r="T587" t="s">
        <v>11273</v>
      </c>
      <c r="U587" t="s">
        <v>11274</v>
      </c>
      <c r="V587" t="s">
        <v>11275</v>
      </c>
      <c r="W587" t="s">
        <v>11276</v>
      </c>
      <c r="X587" t="s">
        <v>11277</v>
      </c>
      <c r="Y587" t="s">
        <v>11278</v>
      </c>
      <c r="Z587" t="s">
        <v>11279</v>
      </c>
      <c r="AA587" t="s">
        <v>11280</v>
      </c>
      <c r="AB587" t="s">
        <v>11281</v>
      </c>
      <c r="AC587" t="s">
        <v>11282</v>
      </c>
      <c r="AD587" t="s">
        <v>11283</v>
      </c>
      <c r="AE587" t="s">
        <v>11284</v>
      </c>
      <c r="AF587" t="s">
        <v>74</v>
      </c>
      <c r="AG587">
        <v>122</v>
      </c>
      <c r="AH587">
        <v>5</v>
      </c>
      <c r="AI587">
        <v>5</v>
      </c>
      <c r="AJ587">
        <v>0</v>
      </c>
      <c r="AK587">
        <v>4</v>
      </c>
      <c r="AL587" t="s">
        <v>11119</v>
      </c>
      <c r="AM587" t="s">
        <v>11120</v>
      </c>
      <c r="AN587" t="s">
        <v>11121</v>
      </c>
      <c r="AO587" t="s">
        <v>11122</v>
      </c>
      <c r="AP587" t="s">
        <v>11123</v>
      </c>
      <c r="AQ587" t="s">
        <v>74</v>
      </c>
      <c r="AR587" t="s">
        <v>11124</v>
      </c>
      <c r="AS587" t="s">
        <v>11125</v>
      </c>
      <c r="AT587" t="s">
        <v>74</v>
      </c>
      <c r="AU587">
        <v>2022</v>
      </c>
      <c r="AV587">
        <v>94</v>
      </c>
      <c r="AW587" t="s">
        <v>74</v>
      </c>
      <c r="AX587" t="s">
        <v>74</v>
      </c>
      <c r="AY587">
        <v>1</v>
      </c>
      <c r="AZ587" t="s">
        <v>74</v>
      </c>
      <c r="BA587" t="s">
        <v>74</v>
      </c>
      <c r="BB587" t="s">
        <v>74</v>
      </c>
      <c r="BC587" t="s">
        <v>74</v>
      </c>
      <c r="BD587" t="s">
        <v>11285</v>
      </c>
      <c r="BE587" t="s">
        <v>11286</v>
      </c>
      <c r="BF587" t="str">
        <f>HYPERLINK("http://dx.doi.org/10.1590/0001-3765202220211142","http://dx.doi.org/10.1590/0001-3765202220211142")</f>
        <v>http://dx.doi.org/10.1590/0001-3765202220211142</v>
      </c>
      <c r="BG587" t="s">
        <v>74</v>
      </c>
      <c r="BH587" t="s">
        <v>74</v>
      </c>
      <c r="BI587">
        <v>35</v>
      </c>
      <c r="BJ587" t="s">
        <v>289</v>
      </c>
      <c r="BK587" t="s">
        <v>103</v>
      </c>
      <c r="BL587" t="s">
        <v>290</v>
      </c>
      <c r="BM587" t="s">
        <v>11287</v>
      </c>
      <c r="BN587">
        <v>35674550</v>
      </c>
      <c r="BO587" t="s">
        <v>640</v>
      </c>
      <c r="BP587" t="s">
        <v>74</v>
      </c>
      <c r="BQ587" t="s">
        <v>74</v>
      </c>
      <c r="BR587" t="s">
        <v>106</v>
      </c>
      <c r="BS587" t="s">
        <v>11288</v>
      </c>
      <c r="BT587" t="str">
        <f>HYPERLINK("https%3A%2F%2Fwww.webofscience.com%2Fwos%2Fwoscc%2Ffull-record%2FWOS:000810797300001","View Full Record in Web of Science")</f>
        <v>View Full Record in Web of Science</v>
      </c>
    </row>
    <row r="588" spans="1:72" x14ac:dyDescent="0.15">
      <c r="A588" t="s">
        <v>72</v>
      </c>
      <c r="B588" t="s">
        <v>11289</v>
      </c>
      <c r="C588" t="s">
        <v>74</v>
      </c>
      <c r="D588" t="s">
        <v>74</v>
      </c>
      <c r="E588" t="s">
        <v>74</v>
      </c>
      <c r="F588" t="s">
        <v>11290</v>
      </c>
      <c r="G588" t="s">
        <v>74</v>
      </c>
      <c r="H588" t="s">
        <v>74</v>
      </c>
      <c r="I588" t="s">
        <v>11291</v>
      </c>
      <c r="J588" t="s">
        <v>9737</v>
      </c>
      <c r="K588" t="s">
        <v>74</v>
      </c>
      <c r="L588" t="s">
        <v>74</v>
      </c>
      <c r="M588" t="s">
        <v>78</v>
      </c>
      <c r="N588" t="s">
        <v>79</v>
      </c>
      <c r="O588" t="s">
        <v>74</v>
      </c>
      <c r="P588" t="s">
        <v>74</v>
      </c>
      <c r="Q588" t="s">
        <v>74</v>
      </c>
      <c r="R588" t="s">
        <v>74</v>
      </c>
      <c r="S588" t="s">
        <v>74</v>
      </c>
      <c r="T588" t="s">
        <v>11292</v>
      </c>
      <c r="U588" t="s">
        <v>11293</v>
      </c>
      <c r="V588" t="s">
        <v>11294</v>
      </c>
      <c r="W588" t="s">
        <v>11295</v>
      </c>
      <c r="X588" t="s">
        <v>11296</v>
      </c>
      <c r="Y588" t="s">
        <v>11297</v>
      </c>
      <c r="Z588" t="s">
        <v>11298</v>
      </c>
      <c r="AA588" t="s">
        <v>74</v>
      </c>
      <c r="AB588" t="s">
        <v>11299</v>
      </c>
      <c r="AC588" t="s">
        <v>11300</v>
      </c>
      <c r="AD588" t="s">
        <v>1577</v>
      </c>
      <c r="AE588" t="s">
        <v>11301</v>
      </c>
      <c r="AF588" t="s">
        <v>74</v>
      </c>
      <c r="AG588">
        <v>44</v>
      </c>
      <c r="AH588">
        <v>1</v>
      </c>
      <c r="AI588">
        <v>1</v>
      </c>
      <c r="AJ588">
        <v>1</v>
      </c>
      <c r="AK588">
        <v>6</v>
      </c>
      <c r="AL588" t="s">
        <v>1667</v>
      </c>
      <c r="AM588" t="s">
        <v>1668</v>
      </c>
      <c r="AN588" t="s">
        <v>1669</v>
      </c>
      <c r="AO588" t="s">
        <v>9750</v>
      </c>
      <c r="AP588" t="s">
        <v>9751</v>
      </c>
      <c r="AQ588" t="s">
        <v>74</v>
      </c>
      <c r="AR588" t="s">
        <v>9752</v>
      </c>
      <c r="AS588" t="s">
        <v>9753</v>
      </c>
      <c r="AT588" t="s">
        <v>74</v>
      </c>
      <c r="AU588">
        <v>2022</v>
      </c>
      <c r="AV588">
        <v>15</v>
      </c>
      <c r="AW588" t="s">
        <v>74</v>
      </c>
      <c r="AX588" t="s">
        <v>74</v>
      </c>
      <c r="AY588" t="s">
        <v>74</v>
      </c>
      <c r="AZ588" t="s">
        <v>74</v>
      </c>
      <c r="BA588" t="s">
        <v>74</v>
      </c>
      <c r="BB588">
        <v>4326</v>
      </c>
      <c r="BC588">
        <v>4336</v>
      </c>
      <c r="BD588" t="s">
        <v>74</v>
      </c>
      <c r="BE588" t="s">
        <v>11302</v>
      </c>
      <c r="BF588" t="str">
        <f>HYPERLINK("http://dx.doi.org/10.1109/JSTARS.2022.3178117","http://dx.doi.org/10.1109/JSTARS.2022.3178117")</f>
        <v>http://dx.doi.org/10.1109/JSTARS.2022.3178117</v>
      </c>
      <c r="BG588" t="s">
        <v>74</v>
      </c>
      <c r="BH588" t="s">
        <v>74</v>
      </c>
      <c r="BI588">
        <v>11</v>
      </c>
      <c r="BJ588" t="s">
        <v>9755</v>
      </c>
      <c r="BK588" t="s">
        <v>103</v>
      </c>
      <c r="BL588" t="s">
        <v>9756</v>
      </c>
      <c r="BM588" t="s">
        <v>11303</v>
      </c>
      <c r="BN588" t="s">
        <v>74</v>
      </c>
      <c r="BO588" t="s">
        <v>445</v>
      </c>
      <c r="BP588" t="s">
        <v>74</v>
      </c>
      <c r="BQ588" t="s">
        <v>74</v>
      </c>
      <c r="BR588" t="s">
        <v>106</v>
      </c>
      <c r="BS588" t="s">
        <v>11304</v>
      </c>
      <c r="BT588" t="str">
        <f>HYPERLINK("https%3A%2F%2Fwww.webofscience.com%2Fwos%2Fwoscc%2Ffull-record%2FWOS:000811587000001","View Full Record in Web of Science")</f>
        <v>View Full Record in Web of Science</v>
      </c>
    </row>
    <row r="589" spans="1:72" x14ac:dyDescent="0.15">
      <c r="A589" t="s">
        <v>72</v>
      </c>
      <c r="B589" t="s">
        <v>11305</v>
      </c>
      <c r="C589" t="s">
        <v>74</v>
      </c>
      <c r="D589" t="s">
        <v>74</v>
      </c>
      <c r="E589" t="s">
        <v>74</v>
      </c>
      <c r="F589" t="s">
        <v>11306</v>
      </c>
      <c r="G589" t="s">
        <v>74</v>
      </c>
      <c r="H589" t="s">
        <v>74</v>
      </c>
      <c r="I589" t="s">
        <v>11307</v>
      </c>
      <c r="J589" t="s">
        <v>11308</v>
      </c>
      <c r="K589" t="s">
        <v>74</v>
      </c>
      <c r="L589" t="s">
        <v>74</v>
      </c>
      <c r="M589" t="s">
        <v>78</v>
      </c>
      <c r="N589" t="s">
        <v>79</v>
      </c>
      <c r="O589" t="s">
        <v>74</v>
      </c>
      <c r="P589" t="s">
        <v>74</v>
      </c>
      <c r="Q589" t="s">
        <v>74</v>
      </c>
      <c r="R589" t="s">
        <v>74</v>
      </c>
      <c r="S589" t="s">
        <v>74</v>
      </c>
      <c r="T589" t="s">
        <v>11309</v>
      </c>
      <c r="U589" t="s">
        <v>11310</v>
      </c>
      <c r="V589" t="s">
        <v>11311</v>
      </c>
      <c r="W589" t="s">
        <v>11312</v>
      </c>
      <c r="X589" t="s">
        <v>74</v>
      </c>
      <c r="Y589" t="s">
        <v>11313</v>
      </c>
      <c r="Z589" t="s">
        <v>11314</v>
      </c>
      <c r="AA589" t="s">
        <v>11315</v>
      </c>
      <c r="AB589" t="s">
        <v>11316</v>
      </c>
      <c r="AC589" t="s">
        <v>74</v>
      </c>
      <c r="AD589" t="s">
        <v>74</v>
      </c>
      <c r="AE589" t="s">
        <v>74</v>
      </c>
      <c r="AF589" t="s">
        <v>74</v>
      </c>
      <c r="AG589">
        <v>19</v>
      </c>
      <c r="AH589">
        <v>0</v>
      </c>
      <c r="AI589">
        <v>0</v>
      </c>
      <c r="AJ589">
        <v>20</v>
      </c>
      <c r="AK589">
        <v>72</v>
      </c>
      <c r="AL589" t="s">
        <v>11317</v>
      </c>
      <c r="AM589" t="s">
        <v>311</v>
      </c>
      <c r="AN589" t="s">
        <v>11318</v>
      </c>
      <c r="AO589" t="s">
        <v>11319</v>
      </c>
      <c r="AP589" t="s">
        <v>11320</v>
      </c>
      <c r="AQ589" t="s">
        <v>74</v>
      </c>
      <c r="AR589" t="s">
        <v>11321</v>
      </c>
      <c r="AS589" t="s">
        <v>11322</v>
      </c>
      <c r="AT589" t="s">
        <v>74</v>
      </c>
      <c r="AU589">
        <v>2022</v>
      </c>
      <c r="AV589">
        <v>8</v>
      </c>
      <c r="AW589">
        <v>2</v>
      </c>
      <c r="AX589" t="s">
        <v>74</v>
      </c>
      <c r="AY589" t="s">
        <v>74</v>
      </c>
      <c r="AZ589" t="s">
        <v>74</v>
      </c>
      <c r="BA589" t="s">
        <v>74</v>
      </c>
      <c r="BB589">
        <v>35</v>
      </c>
      <c r="BC589">
        <v>39</v>
      </c>
      <c r="BD589" t="s">
        <v>74</v>
      </c>
      <c r="BE589" t="s">
        <v>11323</v>
      </c>
      <c r="BF589" t="str">
        <f>HYPERLINK("http://dx.doi.org/10.3233/JCC220012","http://dx.doi.org/10.3233/JCC220012")</f>
        <v>http://dx.doi.org/10.3233/JCC220012</v>
      </c>
      <c r="BG589" t="s">
        <v>74</v>
      </c>
      <c r="BH589" t="s">
        <v>74</v>
      </c>
      <c r="BI589">
        <v>5</v>
      </c>
      <c r="BJ589" t="s">
        <v>514</v>
      </c>
      <c r="BK589" t="s">
        <v>724</v>
      </c>
      <c r="BL589" t="s">
        <v>514</v>
      </c>
      <c r="BM589" t="s">
        <v>11324</v>
      </c>
      <c r="BN589" t="s">
        <v>74</v>
      </c>
      <c r="BO589" t="s">
        <v>74</v>
      </c>
      <c r="BP589" t="s">
        <v>74</v>
      </c>
      <c r="BQ589" t="s">
        <v>74</v>
      </c>
      <c r="BR589" t="s">
        <v>106</v>
      </c>
      <c r="BS589" t="s">
        <v>11325</v>
      </c>
      <c r="BT589" t="str">
        <f>HYPERLINK("https%3A%2F%2Fwww.webofscience.com%2Fwos%2Fwoscc%2Ffull-record%2FWOS:000810787400005","View Full Record in Web of Science")</f>
        <v>View Full Record in Web of Science</v>
      </c>
    </row>
    <row r="590" spans="1:72" x14ac:dyDescent="0.15">
      <c r="A590" t="s">
        <v>72</v>
      </c>
      <c r="B590" t="s">
        <v>11326</v>
      </c>
      <c r="C590" t="s">
        <v>74</v>
      </c>
      <c r="D590" t="s">
        <v>74</v>
      </c>
      <c r="E590" t="s">
        <v>74</v>
      </c>
      <c r="F590" t="s">
        <v>11327</v>
      </c>
      <c r="G590" t="s">
        <v>74</v>
      </c>
      <c r="H590" t="s">
        <v>74</v>
      </c>
      <c r="I590" t="s">
        <v>11328</v>
      </c>
      <c r="J590" t="s">
        <v>11329</v>
      </c>
      <c r="K590" t="s">
        <v>74</v>
      </c>
      <c r="L590" t="s">
        <v>74</v>
      </c>
      <c r="M590" t="s">
        <v>11330</v>
      </c>
      <c r="N590" t="s">
        <v>79</v>
      </c>
      <c r="O590" t="s">
        <v>74</v>
      </c>
      <c r="P590" t="s">
        <v>74</v>
      </c>
      <c r="Q590" t="s">
        <v>74</v>
      </c>
      <c r="R590" t="s">
        <v>74</v>
      </c>
      <c r="S590" t="s">
        <v>74</v>
      </c>
      <c r="T590" t="s">
        <v>11331</v>
      </c>
      <c r="U590" t="s">
        <v>11332</v>
      </c>
      <c r="V590" t="s">
        <v>11333</v>
      </c>
      <c r="W590" t="s">
        <v>11334</v>
      </c>
      <c r="X590" t="s">
        <v>11335</v>
      </c>
      <c r="Y590" t="s">
        <v>11336</v>
      </c>
      <c r="Z590" t="s">
        <v>11337</v>
      </c>
      <c r="AA590" t="s">
        <v>74</v>
      </c>
      <c r="AB590" t="s">
        <v>74</v>
      </c>
      <c r="AC590" t="s">
        <v>74</v>
      </c>
      <c r="AD590" t="s">
        <v>74</v>
      </c>
      <c r="AE590" t="s">
        <v>74</v>
      </c>
      <c r="AF590" t="s">
        <v>74</v>
      </c>
      <c r="AG590">
        <v>88</v>
      </c>
      <c r="AH590">
        <v>4</v>
      </c>
      <c r="AI590">
        <v>6</v>
      </c>
      <c r="AJ590">
        <v>9</v>
      </c>
      <c r="AK590">
        <v>30</v>
      </c>
      <c r="AL590" t="s">
        <v>4206</v>
      </c>
      <c r="AM590" t="s">
        <v>11338</v>
      </c>
      <c r="AN590" t="s">
        <v>11339</v>
      </c>
      <c r="AO590" t="s">
        <v>11340</v>
      </c>
      <c r="AP590" t="s">
        <v>11341</v>
      </c>
      <c r="AQ590" t="s">
        <v>74</v>
      </c>
      <c r="AR590" t="s">
        <v>11342</v>
      </c>
      <c r="AS590" t="s">
        <v>11343</v>
      </c>
      <c r="AT590" t="s">
        <v>74</v>
      </c>
      <c r="AU590">
        <v>2022</v>
      </c>
      <c r="AV590">
        <v>67</v>
      </c>
      <c r="AW590">
        <v>15</v>
      </c>
      <c r="AX590" t="s">
        <v>74</v>
      </c>
      <c r="AY590" t="s">
        <v>74</v>
      </c>
      <c r="AZ590" t="s">
        <v>74</v>
      </c>
      <c r="BA590" t="s">
        <v>74</v>
      </c>
      <c r="BB590">
        <v>1704</v>
      </c>
      <c r="BC590">
        <v>1714</v>
      </c>
      <c r="BD590" t="s">
        <v>74</v>
      </c>
      <c r="BE590" t="s">
        <v>11344</v>
      </c>
      <c r="BF590" t="str">
        <f>HYPERLINK("http://dx.doi.org/10.1360/TB-2021-0652","http://dx.doi.org/10.1360/TB-2021-0652")</f>
        <v>http://dx.doi.org/10.1360/TB-2021-0652</v>
      </c>
      <c r="BG590" t="s">
        <v>74</v>
      </c>
      <c r="BH590" t="s">
        <v>74</v>
      </c>
      <c r="BI590">
        <v>11</v>
      </c>
      <c r="BJ590" t="s">
        <v>289</v>
      </c>
      <c r="BK590" t="s">
        <v>724</v>
      </c>
      <c r="BL590" t="s">
        <v>290</v>
      </c>
      <c r="BM590" t="s">
        <v>11345</v>
      </c>
      <c r="BN590" t="s">
        <v>74</v>
      </c>
      <c r="BO590" t="s">
        <v>74</v>
      </c>
      <c r="BP590" t="s">
        <v>74</v>
      </c>
      <c r="BQ590" t="s">
        <v>74</v>
      </c>
      <c r="BR590" t="s">
        <v>106</v>
      </c>
      <c r="BS590" t="s">
        <v>11346</v>
      </c>
      <c r="BT590" t="str">
        <f>HYPERLINK("https%3A%2F%2Fwww.webofscience.com%2Fwos%2Fwoscc%2Ffull-record%2FWOS:000810523100010","View Full Record in Web of Science")</f>
        <v>View Full Record in Web of Science</v>
      </c>
    </row>
    <row r="591" spans="1:72" x14ac:dyDescent="0.15">
      <c r="A591" t="s">
        <v>72</v>
      </c>
      <c r="B591" t="s">
        <v>11347</v>
      </c>
      <c r="C591" t="s">
        <v>74</v>
      </c>
      <c r="D591" t="s">
        <v>74</v>
      </c>
      <c r="E591" t="s">
        <v>74</v>
      </c>
      <c r="F591" t="s">
        <v>11348</v>
      </c>
      <c r="G591" t="s">
        <v>74</v>
      </c>
      <c r="H591" t="s">
        <v>74</v>
      </c>
      <c r="I591" t="s">
        <v>11349</v>
      </c>
      <c r="J591" t="s">
        <v>11113</v>
      </c>
      <c r="K591" t="s">
        <v>74</v>
      </c>
      <c r="L591" t="s">
        <v>74</v>
      </c>
      <c r="M591" t="s">
        <v>78</v>
      </c>
      <c r="N591" t="s">
        <v>79</v>
      </c>
      <c r="O591" t="s">
        <v>74</v>
      </c>
      <c r="P591" t="s">
        <v>74</v>
      </c>
      <c r="Q591" t="s">
        <v>74</v>
      </c>
      <c r="R591" t="s">
        <v>74</v>
      </c>
      <c r="S591" t="s">
        <v>74</v>
      </c>
      <c r="T591" t="s">
        <v>11350</v>
      </c>
      <c r="U591" t="s">
        <v>11351</v>
      </c>
      <c r="V591" t="s">
        <v>11352</v>
      </c>
      <c r="W591" t="s">
        <v>11353</v>
      </c>
      <c r="X591" t="s">
        <v>11354</v>
      </c>
      <c r="Y591" t="s">
        <v>11355</v>
      </c>
      <c r="Z591" t="s">
        <v>11356</v>
      </c>
      <c r="AA591" t="s">
        <v>11357</v>
      </c>
      <c r="AB591" t="s">
        <v>11358</v>
      </c>
      <c r="AC591" t="s">
        <v>74</v>
      </c>
      <c r="AD591" t="s">
        <v>74</v>
      </c>
      <c r="AE591" t="s">
        <v>74</v>
      </c>
      <c r="AF591" t="s">
        <v>74</v>
      </c>
      <c r="AG591">
        <v>87</v>
      </c>
      <c r="AH591">
        <v>1</v>
      </c>
      <c r="AI591">
        <v>1</v>
      </c>
      <c r="AJ591">
        <v>0</v>
      </c>
      <c r="AK591">
        <v>8</v>
      </c>
      <c r="AL591" t="s">
        <v>11119</v>
      </c>
      <c r="AM591" t="s">
        <v>11120</v>
      </c>
      <c r="AN591" t="s">
        <v>11121</v>
      </c>
      <c r="AO591" t="s">
        <v>11122</v>
      </c>
      <c r="AP591" t="s">
        <v>11123</v>
      </c>
      <c r="AQ591" t="s">
        <v>74</v>
      </c>
      <c r="AR591" t="s">
        <v>11124</v>
      </c>
      <c r="AS591" t="s">
        <v>11125</v>
      </c>
      <c r="AT591" t="s">
        <v>74</v>
      </c>
      <c r="AU591">
        <v>2022</v>
      </c>
      <c r="AV591">
        <v>94</v>
      </c>
      <c r="AW591" t="s">
        <v>74</v>
      </c>
      <c r="AX591" t="s">
        <v>74</v>
      </c>
      <c r="AY591">
        <v>1</v>
      </c>
      <c r="AZ591" t="s">
        <v>74</v>
      </c>
      <c r="BA591" t="s">
        <v>74</v>
      </c>
      <c r="BB591" t="s">
        <v>74</v>
      </c>
      <c r="BC591" t="s">
        <v>74</v>
      </c>
      <c r="BD591" t="s">
        <v>11359</v>
      </c>
      <c r="BE591" t="s">
        <v>11360</v>
      </c>
      <c r="BF591" t="str">
        <f>HYPERLINK("http://dx.doi.org/10.1590/0001-3765202220210353","http://dx.doi.org/10.1590/0001-3765202220210353")</f>
        <v>http://dx.doi.org/10.1590/0001-3765202220210353</v>
      </c>
      <c r="BG591" t="s">
        <v>74</v>
      </c>
      <c r="BH591" t="s">
        <v>74</v>
      </c>
      <c r="BI591">
        <v>26</v>
      </c>
      <c r="BJ591" t="s">
        <v>289</v>
      </c>
      <c r="BK591" t="s">
        <v>103</v>
      </c>
      <c r="BL591" t="s">
        <v>290</v>
      </c>
      <c r="BM591" t="s">
        <v>11361</v>
      </c>
      <c r="BN591">
        <v>35648989</v>
      </c>
      <c r="BO591" t="s">
        <v>445</v>
      </c>
      <c r="BP591" t="s">
        <v>74</v>
      </c>
      <c r="BQ591" t="s">
        <v>74</v>
      </c>
      <c r="BR591" t="s">
        <v>106</v>
      </c>
      <c r="BS591" t="s">
        <v>11362</v>
      </c>
      <c r="BT591" t="str">
        <f>HYPERLINK("https%3A%2F%2Fwww.webofscience.com%2Fwos%2Fwoscc%2Ffull-record%2FWOS:000806184300001","View Full Record in Web of Science")</f>
        <v>View Full Record in Web of Science</v>
      </c>
    </row>
    <row r="592" spans="1:72" x14ac:dyDescent="0.15">
      <c r="A592" t="s">
        <v>72</v>
      </c>
      <c r="B592" t="s">
        <v>11363</v>
      </c>
      <c r="C592" t="s">
        <v>74</v>
      </c>
      <c r="D592" t="s">
        <v>74</v>
      </c>
      <c r="E592" t="s">
        <v>74</v>
      </c>
      <c r="F592" t="s">
        <v>11364</v>
      </c>
      <c r="G592" t="s">
        <v>74</v>
      </c>
      <c r="H592" t="s">
        <v>74</v>
      </c>
      <c r="I592" t="s">
        <v>11365</v>
      </c>
      <c r="J592" t="s">
        <v>11113</v>
      </c>
      <c r="K592" t="s">
        <v>74</v>
      </c>
      <c r="L592" t="s">
        <v>74</v>
      </c>
      <c r="M592" t="s">
        <v>78</v>
      </c>
      <c r="N592" t="s">
        <v>79</v>
      </c>
      <c r="O592" t="s">
        <v>74</v>
      </c>
      <c r="P592" t="s">
        <v>74</v>
      </c>
      <c r="Q592" t="s">
        <v>74</v>
      </c>
      <c r="R592" t="s">
        <v>74</v>
      </c>
      <c r="S592" t="s">
        <v>74</v>
      </c>
      <c r="T592" t="s">
        <v>11366</v>
      </c>
      <c r="U592" t="s">
        <v>11367</v>
      </c>
      <c r="V592" t="s">
        <v>11368</v>
      </c>
      <c r="W592" t="s">
        <v>11369</v>
      </c>
      <c r="X592" t="s">
        <v>11370</v>
      </c>
      <c r="Y592" t="s">
        <v>11371</v>
      </c>
      <c r="Z592" t="s">
        <v>11372</v>
      </c>
      <c r="AA592" t="s">
        <v>11373</v>
      </c>
      <c r="AB592" t="s">
        <v>11374</v>
      </c>
      <c r="AC592" t="s">
        <v>11375</v>
      </c>
      <c r="AD592" t="s">
        <v>11376</v>
      </c>
      <c r="AE592" t="s">
        <v>11377</v>
      </c>
      <c r="AF592" t="s">
        <v>74</v>
      </c>
      <c r="AG592">
        <v>80</v>
      </c>
      <c r="AH592">
        <v>3</v>
      </c>
      <c r="AI592">
        <v>3</v>
      </c>
      <c r="AJ592">
        <v>0</v>
      </c>
      <c r="AK592">
        <v>5</v>
      </c>
      <c r="AL592" t="s">
        <v>11119</v>
      </c>
      <c r="AM592" t="s">
        <v>11120</v>
      </c>
      <c r="AN592" t="s">
        <v>11121</v>
      </c>
      <c r="AO592" t="s">
        <v>11122</v>
      </c>
      <c r="AP592" t="s">
        <v>11123</v>
      </c>
      <c r="AQ592" t="s">
        <v>74</v>
      </c>
      <c r="AR592" t="s">
        <v>11124</v>
      </c>
      <c r="AS592" t="s">
        <v>11125</v>
      </c>
      <c r="AT592" t="s">
        <v>74</v>
      </c>
      <c r="AU592">
        <v>2022</v>
      </c>
      <c r="AV592">
        <v>94</v>
      </c>
      <c r="AW592" t="s">
        <v>74</v>
      </c>
      <c r="AX592" t="s">
        <v>74</v>
      </c>
      <c r="AY592">
        <v>1</v>
      </c>
      <c r="AZ592" t="s">
        <v>74</v>
      </c>
      <c r="BA592" t="s">
        <v>74</v>
      </c>
      <c r="BB592" t="s">
        <v>74</v>
      </c>
      <c r="BC592" t="s">
        <v>74</v>
      </c>
      <c r="BD592" t="s">
        <v>11378</v>
      </c>
      <c r="BE592" t="s">
        <v>11379</v>
      </c>
      <c r="BF592" t="str">
        <f>HYPERLINK("http://dx.doi.org/10.1590/0001-3765202220210706","http://dx.doi.org/10.1590/0001-3765202220210706")</f>
        <v>http://dx.doi.org/10.1590/0001-3765202220210706</v>
      </c>
      <c r="BG592" t="s">
        <v>74</v>
      </c>
      <c r="BH592" t="s">
        <v>74</v>
      </c>
      <c r="BI592">
        <v>22</v>
      </c>
      <c r="BJ592" t="s">
        <v>289</v>
      </c>
      <c r="BK592" t="s">
        <v>103</v>
      </c>
      <c r="BL592" t="s">
        <v>290</v>
      </c>
      <c r="BM592" t="s">
        <v>11380</v>
      </c>
      <c r="BN592">
        <v>35648995</v>
      </c>
      <c r="BO592" t="s">
        <v>154</v>
      </c>
      <c r="BP592" t="s">
        <v>74</v>
      </c>
      <c r="BQ592" t="s">
        <v>74</v>
      </c>
      <c r="BR592" t="s">
        <v>106</v>
      </c>
      <c r="BS592" t="s">
        <v>11381</v>
      </c>
      <c r="BT592" t="str">
        <f>HYPERLINK("https%3A%2F%2Fwww.webofscience.com%2Fwos%2Fwoscc%2Ffull-record%2FWOS:000806189500001","View Full Record in Web of Science")</f>
        <v>View Full Record in Web of Science</v>
      </c>
    </row>
    <row r="593" spans="1:72" x14ac:dyDescent="0.15">
      <c r="A593" t="s">
        <v>72</v>
      </c>
      <c r="B593" t="s">
        <v>11382</v>
      </c>
      <c r="C593" t="s">
        <v>74</v>
      </c>
      <c r="D593" t="s">
        <v>74</v>
      </c>
      <c r="E593" t="s">
        <v>74</v>
      </c>
      <c r="F593" t="s">
        <v>11383</v>
      </c>
      <c r="G593" t="s">
        <v>74</v>
      </c>
      <c r="H593" t="s">
        <v>74</v>
      </c>
      <c r="I593" t="s">
        <v>11384</v>
      </c>
      <c r="J593" t="s">
        <v>11113</v>
      </c>
      <c r="K593" t="s">
        <v>74</v>
      </c>
      <c r="L593" t="s">
        <v>74</v>
      </c>
      <c r="M593" t="s">
        <v>78</v>
      </c>
      <c r="N593" t="s">
        <v>79</v>
      </c>
      <c r="O593" t="s">
        <v>74</v>
      </c>
      <c r="P593" t="s">
        <v>74</v>
      </c>
      <c r="Q593" t="s">
        <v>74</v>
      </c>
      <c r="R593" t="s">
        <v>74</v>
      </c>
      <c r="S593" t="s">
        <v>74</v>
      </c>
      <c r="T593" t="s">
        <v>11385</v>
      </c>
      <c r="U593" t="s">
        <v>11386</v>
      </c>
      <c r="V593" t="s">
        <v>11387</v>
      </c>
      <c r="W593" t="s">
        <v>11388</v>
      </c>
      <c r="X593" t="s">
        <v>11389</v>
      </c>
      <c r="Y593" t="s">
        <v>11390</v>
      </c>
      <c r="Z593" t="s">
        <v>11391</v>
      </c>
      <c r="AA593" t="s">
        <v>11392</v>
      </c>
      <c r="AB593" t="s">
        <v>11393</v>
      </c>
      <c r="AC593" t="s">
        <v>11394</v>
      </c>
      <c r="AD593" t="s">
        <v>11395</v>
      </c>
      <c r="AE593" t="s">
        <v>11396</v>
      </c>
      <c r="AF593" t="s">
        <v>74</v>
      </c>
      <c r="AG593">
        <v>62</v>
      </c>
      <c r="AH593">
        <v>1</v>
      </c>
      <c r="AI593">
        <v>1</v>
      </c>
      <c r="AJ593">
        <v>0</v>
      </c>
      <c r="AK593">
        <v>0</v>
      </c>
      <c r="AL593" t="s">
        <v>11119</v>
      </c>
      <c r="AM593" t="s">
        <v>11120</v>
      </c>
      <c r="AN593" t="s">
        <v>11121</v>
      </c>
      <c r="AO593" t="s">
        <v>11122</v>
      </c>
      <c r="AP593" t="s">
        <v>11123</v>
      </c>
      <c r="AQ593" t="s">
        <v>74</v>
      </c>
      <c r="AR593" t="s">
        <v>11124</v>
      </c>
      <c r="AS593" t="s">
        <v>11125</v>
      </c>
      <c r="AT593" t="s">
        <v>74</v>
      </c>
      <c r="AU593">
        <v>2022</v>
      </c>
      <c r="AV593">
        <v>94</v>
      </c>
      <c r="AW593" t="s">
        <v>74</v>
      </c>
      <c r="AX593" t="s">
        <v>74</v>
      </c>
      <c r="AY593">
        <v>1</v>
      </c>
      <c r="AZ593" t="s">
        <v>74</v>
      </c>
      <c r="BA593" t="s">
        <v>74</v>
      </c>
      <c r="BB593" t="s">
        <v>74</v>
      </c>
      <c r="BC593" t="s">
        <v>74</v>
      </c>
      <c r="BD593" t="s">
        <v>11397</v>
      </c>
      <c r="BE593" t="s">
        <v>11398</v>
      </c>
      <c r="BF593" t="str">
        <f>HYPERLINK("http://dx.doi.org/10.1590/0001-3765202220210482","http://dx.doi.org/10.1590/0001-3765202220210482")</f>
        <v>http://dx.doi.org/10.1590/0001-3765202220210482</v>
      </c>
      <c r="BG593" t="s">
        <v>74</v>
      </c>
      <c r="BH593" t="s">
        <v>74</v>
      </c>
      <c r="BI593">
        <v>20</v>
      </c>
      <c r="BJ593" t="s">
        <v>289</v>
      </c>
      <c r="BK593" t="s">
        <v>103</v>
      </c>
      <c r="BL593" t="s">
        <v>290</v>
      </c>
      <c r="BM593" t="s">
        <v>11399</v>
      </c>
      <c r="BN593">
        <v>35648991</v>
      </c>
      <c r="BO593" t="s">
        <v>445</v>
      </c>
      <c r="BP593" t="s">
        <v>74</v>
      </c>
      <c r="BQ593" t="s">
        <v>74</v>
      </c>
      <c r="BR593" t="s">
        <v>106</v>
      </c>
      <c r="BS593" t="s">
        <v>11400</v>
      </c>
      <c r="BT593" t="str">
        <f>HYPERLINK("https%3A%2F%2Fwww.webofscience.com%2Fwos%2Fwoscc%2Ffull-record%2FWOS:000806185200001","View Full Record in Web of Science")</f>
        <v>View Full Record in Web of Science</v>
      </c>
    </row>
    <row r="594" spans="1:72" x14ac:dyDescent="0.15">
      <c r="A594" t="s">
        <v>72</v>
      </c>
      <c r="B594" t="s">
        <v>11401</v>
      </c>
      <c r="C594" t="s">
        <v>74</v>
      </c>
      <c r="D594" t="s">
        <v>74</v>
      </c>
      <c r="E594" t="s">
        <v>74</v>
      </c>
      <c r="F594" t="s">
        <v>11402</v>
      </c>
      <c r="G594" t="s">
        <v>74</v>
      </c>
      <c r="H594" t="s">
        <v>74</v>
      </c>
      <c r="I594" t="s">
        <v>11403</v>
      </c>
      <c r="J594" t="s">
        <v>11113</v>
      </c>
      <c r="K594" t="s">
        <v>74</v>
      </c>
      <c r="L594" t="s">
        <v>74</v>
      </c>
      <c r="M594" t="s">
        <v>78</v>
      </c>
      <c r="N594" t="s">
        <v>79</v>
      </c>
      <c r="O594" t="s">
        <v>74</v>
      </c>
      <c r="P594" t="s">
        <v>74</v>
      </c>
      <c r="Q594" t="s">
        <v>74</v>
      </c>
      <c r="R594" t="s">
        <v>74</v>
      </c>
      <c r="S594" t="s">
        <v>74</v>
      </c>
      <c r="T594" t="s">
        <v>11404</v>
      </c>
      <c r="U594" t="s">
        <v>11405</v>
      </c>
      <c r="V594" t="s">
        <v>11406</v>
      </c>
      <c r="W594" t="s">
        <v>11407</v>
      </c>
      <c r="X594" t="s">
        <v>11408</v>
      </c>
      <c r="Y594" t="s">
        <v>11409</v>
      </c>
      <c r="Z594" t="s">
        <v>11410</v>
      </c>
      <c r="AA594" t="s">
        <v>11357</v>
      </c>
      <c r="AB594" t="s">
        <v>11411</v>
      </c>
      <c r="AC594" t="s">
        <v>11412</v>
      </c>
      <c r="AD594" t="s">
        <v>11413</v>
      </c>
      <c r="AE594" t="s">
        <v>11414</v>
      </c>
      <c r="AF594" t="s">
        <v>74</v>
      </c>
      <c r="AG594">
        <v>25</v>
      </c>
      <c r="AH594">
        <v>0</v>
      </c>
      <c r="AI594">
        <v>0</v>
      </c>
      <c r="AJ594">
        <v>1</v>
      </c>
      <c r="AK594">
        <v>2</v>
      </c>
      <c r="AL594" t="s">
        <v>11119</v>
      </c>
      <c r="AM594" t="s">
        <v>11120</v>
      </c>
      <c r="AN594" t="s">
        <v>11121</v>
      </c>
      <c r="AO594" t="s">
        <v>11122</v>
      </c>
      <c r="AP594" t="s">
        <v>11123</v>
      </c>
      <c r="AQ594" t="s">
        <v>74</v>
      </c>
      <c r="AR594" t="s">
        <v>11124</v>
      </c>
      <c r="AS594" t="s">
        <v>11125</v>
      </c>
      <c r="AT594" t="s">
        <v>74</v>
      </c>
      <c r="AU594">
        <v>2022</v>
      </c>
      <c r="AV594">
        <v>94</v>
      </c>
      <c r="AW594" t="s">
        <v>74</v>
      </c>
      <c r="AX594" t="s">
        <v>74</v>
      </c>
      <c r="AY594">
        <v>1</v>
      </c>
      <c r="AZ594" t="s">
        <v>74</v>
      </c>
      <c r="BA594" t="s">
        <v>74</v>
      </c>
      <c r="BB594" t="s">
        <v>74</v>
      </c>
      <c r="BC594" t="s">
        <v>74</v>
      </c>
      <c r="BD594" t="s">
        <v>11415</v>
      </c>
      <c r="BE594" t="s">
        <v>11416</v>
      </c>
      <c r="BF594" t="str">
        <f>HYPERLINK("http://dx.doi.org/10.1590/0001-3765202220210815","http://dx.doi.org/10.1590/0001-3765202220210815")</f>
        <v>http://dx.doi.org/10.1590/0001-3765202220210815</v>
      </c>
      <c r="BG594" t="s">
        <v>74</v>
      </c>
      <c r="BH594" t="s">
        <v>74</v>
      </c>
      <c r="BI594">
        <v>11</v>
      </c>
      <c r="BJ594" t="s">
        <v>289</v>
      </c>
      <c r="BK594" t="s">
        <v>103</v>
      </c>
      <c r="BL594" t="s">
        <v>290</v>
      </c>
      <c r="BM594" t="s">
        <v>11417</v>
      </c>
      <c r="BN594">
        <v>35648996</v>
      </c>
      <c r="BO594" t="s">
        <v>445</v>
      </c>
      <c r="BP594" t="s">
        <v>74</v>
      </c>
      <c r="BQ594" t="s">
        <v>74</v>
      </c>
      <c r="BR594" t="s">
        <v>106</v>
      </c>
      <c r="BS594" t="s">
        <v>11418</v>
      </c>
      <c r="BT594" t="str">
        <f>HYPERLINK("https%3A%2F%2Fwww.webofscience.com%2Fwos%2Fwoscc%2Ffull-record%2FWOS:000806190400001","View Full Record in Web of Science")</f>
        <v>View Full Record in Web of Science</v>
      </c>
    </row>
    <row r="595" spans="1:72" x14ac:dyDescent="0.15">
      <c r="A595" t="s">
        <v>72</v>
      </c>
      <c r="B595" t="s">
        <v>11419</v>
      </c>
      <c r="C595" t="s">
        <v>74</v>
      </c>
      <c r="D595" t="s">
        <v>74</v>
      </c>
      <c r="E595" t="s">
        <v>74</v>
      </c>
      <c r="F595" t="s">
        <v>11420</v>
      </c>
      <c r="G595" t="s">
        <v>74</v>
      </c>
      <c r="H595" t="s">
        <v>74</v>
      </c>
      <c r="I595" t="s">
        <v>11421</v>
      </c>
      <c r="J595" t="s">
        <v>11113</v>
      </c>
      <c r="K595" t="s">
        <v>74</v>
      </c>
      <c r="L595" t="s">
        <v>74</v>
      </c>
      <c r="M595" t="s">
        <v>78</v>
      </c>
      <c r="N595" t="s">
        <v>79</v>
      </c>
      <c r="O595" t="s">
        <v>74</v>
      </c>
      <c r="P595" t="s">
        <v>74</v>
      </c>
      <c r="Q595" t="s">
        <v>74</v>
      </c>
      <c r="R595" t="s">
        <v>74</v>
      </c>
      <c r="S595" t="s">
        <v>74</v>
      </c>
      <c r="T595" t="s">
        <v>11422</v>
      </c>
      <c r="U595" t="s">
        <v>11423</v>
      </c>
      <c r="V595" t="s">
        <v>11424</v>
      </c>
      <c r="W595" t="s">
        <v>11425</v>
      </c>
      <c r="X595" t="s">
        <v>11426</v>
      </c>
      <c r="Y595" t="s">
        <v>11427</v>
      </c>
      <c r="Z595" t="s">
        <v>11428</v>
      </c>
      <c r="AA595" t="s">
        <v>11429</v>
      </c>
      <c r="AB595" t="s">
        <v>11430</v>
      </c>
      <c r="AC595" t="s">
        <v>11431</v>
      </c>
      <c r="AD595" t="s">
        <v>11432</v>
      </c>
      <c r="AE595" t="s">
        <v>11433</v>
      </c>
      <c r="AF595" t="s">
        <v>74</v>
      </c>
      <c r="AG595">
        <v>63</v>
      </c>
      <c r="AH595">
        <v>3</v>
      </c>
      <c r="AI595">
        <v>3</v>
      </c>
      <c r="AJ595">
        <v>1</v>
      </c>
      <c r="AK595">
        <v>13</v>
      </c>
      <c r="AL595" t="s">
        <v>11119</v>
      </c>
      <c r="AM595" t="s">
        <v>11120</v>
      </c>
      <c r="AN595" t="s">
        <v>11121</v>
      </c>
      <c r="AO595" t="s">
        <v>11122</v>
      </c>
      <c r="AP595" t="s">
        <v>11123</v>
      </c>
      <c r="AQ595" t="s">
        <v>74</v>
      </c>
      <c r="AR595" t="s">
        <v>11124</v>
      </c>
      <c r="AS595" t="s">
        <v>11125</v>
      </c>
      <c r="AT595" t="s">
        <v>74</v>
      </c>
      <c r="AU595">
        <v>2022</v>
      </c>
      <c r="AV595">
        <v>94</v>
      </c>
      <c r="AW595" t="s">
        <v>74</v>
      </c>
      <c r="AX595" t="s">
        <v>74</v>
      </c>
      <c r="AY595">
        <v>1</v>
      </c>
      <c r="AZ595" t="s">
        <v>74</v>
      </c>
      <c r="BA595" t="s">
        <v>74</v>
      </c>
      <c r="BB595" t="s">
        <v>74</v>
      </c>
      <c r="BC595" t="s">
        <v>74</v>
      </c>
      <c r="BD595" t="s">
        <v>11434</v>
      </c>
      <c r="BE595" t="s">
        <v>11435</v>
      </c>
      <c r="BF595" t="str">
        <f>HYPERLINK("http://dx.doi.org/10.1590/0001-3765202220210602","http://dx.doi.org/10.1590/0001-3765202220210602")</f>
        <v>http://dx.doi.org/10.1590/0001-3765202220210602</v>
      </c>
      <c r="BG595" t="s">
        <v>74</v>
      </c>
      <c r="BH595" t="s">
        <v>74</v>
      </c>
      <c r="BI595">
        <v>19</v>
      </c>
      <c r="BJ595" t="s">
        <v>289</v>
      </c>
      <c r="BK595" t="s">
        <v>103</v>
      </c>
      <c r="BL595" t="s">
        <v>290</v>
      </c>
      <c r="BM595" t="s">
        <v>11436</v>
      </c>
      <c r="BN595">
        <v>35648993</v>
      </c>
      <c r="BO595" t="s">
        <v>445</v>
      </c>
      <c r="BP595" t="s">
        <v>74</v>
      </c>
      <c r="BQ595" t="s">
        <v>74</v>
      </c>
      <c r="BR595" t="s">
        <v>106</v>
      </c>
      <c r="BS595" t="s">
        <v>11437</v>
      </c>
      <c r="BT595" t="str">
        <f>HYPERLINK("https%3A%2F%2Fwww.webofscience.com%2Fwos%2Fwoscc%2Ffull-record%2FWOS:000806187700001","View Full Record in Web of Science")</f>
        <v>View Full Record in Web of Science</v>
      </c>
    </row>
    <row r="596" spans="1:72" x14ac:dyDescent="0.15">
      <c r="A596" t="s">
        <v>72</v>
      </c>
      <c r="B596" t="s">
        <v>11438</v>
      </c>
      <c r="C596" t="s">
        <v>74</v>
      </c>
      <c r="D596" t="s">
        <v>74</v>
      </c>
      <c r="E596" t="s">
        <v>74</v>
      </c>
      <c r="F596" t="s">
        <v>11439</v>
      </c>
      <c r="G596" t="s">
        <v>74</v>
      </c>
      <c r="H596" t="s">
        <v>74</v>
      </c>
      <c r="I596" t="s">
        <v>11440</v>
      </c>
      <c r="J596" t="s">
        <v>11113</v>
      </c>
      <c r="K596" t="s">
        <v>74</v>
      </c>
      <c r="L596" t="s">
        <v>74</v>
      </c>
      <c r="M596" t="s">
        <v>78</v>
      </c>
      <c r="N596" t="s">
        <v>79</v>
      </c>
      <c r="O596" t="s">
        <v>74</v>
      </c>
      <c r="P596" t="s">
        <v>74</v>
      </c>
      <c r="Q596" t="s">
        <v>74</v>
      </c>
      <c r="R596" t="s">
        <v>74</v>
      </c>
      <c r="S596" t="s">
        <v>74</v>
      </c>
      <c r="T596" t="s">
        <v>11441</v>
      </c>
      <c r="U596" t="s">
        <v>11442</v>
      </c>
      <c r="V596" t="s">
        <v>11443</v>
      </c>
      <c r="W596" t="s">
        <v>11444</v>
      </c>
      <c r="X596" t="s">
        <v>11445</v>
      </c>
      <c r="Y596" t="s">
        <v>11446</v>
      </c>
      <c r="Z596" t="s">
        <v>11447</v>
      </c>
      <c r="AA596" t="s">
        <v>11448</v>
      </c>
      <c r="AB596" t="s">
        <v>11449</v>
      </c>
      <c r="AC596" t="s">
        <v>11450</v>
      </c>
      <c r="AD596" t="s">
        <v>11451</v>
      </c>
      <c r="AE596" t="s">
        <v>11452</v>
      </c>
      <c r="AF596" t="s">
        <v>74</v>
      </c>
      <c r="AG596">
        <v>66</v>
      </c>
      <c r="AH596">
        <v>2</v>
      </c>
      <c r="AI596">
        <v>2</v>
      </c>
      <c r="AJ596">
        <v>1</v>
      </c>
      <c r="AK596">
        <v>3</v>
      </c>
      <c r="AL596" t="s">
        <v>11119</v>
      </c>
      <c r="AM596" t="s">
        <v>11120</v>
      </c>
      <c r="AN596" t="s">
        <v>11121</v>
      </c>
      <c r="AO596" t="s">
        <v>11122</v>
      </c>
      <c r="AP596" t="s">
        <v>11123</v>
      </c>
      <c r="AQ596" t="s">
        <v>74</v>
      </c>
      <c r="AR596" t="s">
        <v>11124</v>
      </c>
      <c r="AS596" t="s">
        <v>11125</v>
      </c>
      <c r="AT596" t="s">
        <v>74</v>
      </c>
      <c r="AU596">
        <v>2022</v>
      </c>
      <c r="AV596">
        <v>94</v>
      </c>
      <c r="AW596" t="s">
        <v>74</v>
      </c>
      <c r="AX596" t="s">
        <v>74</v>
      </c>
      <c r="AY596">
        <v>1</v>
      </c>
      <c r="AZ596" t="s">
        <v>74</v>
      </c>
      <c r="BA596" t="s">
        <v>74</v>
      </c>
      <c r="BB596" t="s">
        <v>74</v>
      </c>
      <c r="BC596" t="s">
        <v>74</v>
      </c>
      <c r="BD596" t="s">
        <v>11453</v>
      </c>
      <c r="BE596" t="s">
        <v>11454</v>
      </c>
      <c r="BF596" t="str">
        <f>HYPERLINK("http://dx.doi.org/10.1590/0001-3765202220211586","http://dx.doi.org/10.1590/0001-3765202220211586")</f>
        <v>http://dx.doi.org/10.1590/0001-3765202220211586</v>
      </c>
      <c r="BG596" t="s">
        <v>74</v>
      </c>
      <c r="BH596" t="s">
        <v>74</v>
      </c>
      <c r="BI596">
        <v>16</v>
      </c>
      <c r="BJ596" t="s">
        <v>289</v>
      </c>
      <c r="BK596" t="s">
        <v>103</v>
      </c>
      <c r="BL596" t="s">
        <v>290</v>
      </c>
      <c r="BM596" t="s">
        <v>11455</v>
      </c>
      <c r="BN596">
        <v>35648997</v>
      </c>
      <c r="BO596" t="s">
        <v>445</v>
      </c>
      <c r="BP596" t="s">
        <v>74</v>
      </c>
      <c r="BQ596" t="s">
        <v>74</v>
      </c>
      <c r="BR596" t="s">
        <v>106</v>
      </c>
      <c r="BS596" t="s">
        <v>11456</v>
      </c>
      <c r="BT596" t="str">
        <f>HYPERLINK("https%3A%2F%2Fwww.webofscience.com%2Fwos%2Fwoscc%2Ffull-record%2FWOS:000806191600001","View Full Record in Web of Science")</f>
        <v>View Full Record in Web of Science</v>
      </c>
    </row>
    <row r="597" spans="1:72" x14ac:dyDescent="0.15">
      <c r="A597" t="s">
        <v>72</v>
      </c>
      <c r="B597" t="s">
        <v>11457</v>
      </c>
      <c r="C597" t="s">
        <v>74</v>
      </c>
      <c r="D597" t="s">
        <v>74</v>
      </c>
      <c r="E597" t="s">
        <v>74</v>
      </c>
      <c r="F597" t="s">
        <v>11458</v>
      </c>
      <c r="G597" t="s">
        <v>74</v>
      </c>
      <c r="H597" t="s">
        <v>74</v>
      </c>
      <c r="I597" t="s">
        <v>11459</v>
      </c>
      <c r="J597" t="s">
        <v>11113</v>
      </c>
      <c r="K597" t="s">
        <v>74</v>
      </c>
      <c r="L597" t="s">
        <v>74</v>
      </c>
      <c r="M597" t="s">
        <v>78</v>
      </c>
      <c r="N597" t="s">
        <v>79</v>
      </c>
      <c r="O597" t="s">
        <v>74</v>
      </c>
      <c r="P597" t="s">
        <v>74</v>
      </c>
      <c r="Q597" t="s">
        <v>74</v>
      </c>
      <c r="R597" t="s">
        <v>74</v>
      </c>
      <c r="S597" t="s">
        <v>74</v>
      </c>
      <c r="T597" t="s">
        <v>11460</v>
      </c>
      <c r="U597" t="s">
        <v>11461</v>
      </c>
      <c r="V597" t="s">
        <v>11462</v>
      </c>
      <c r="W597" t="s">
        <v>11463</v>
      </c>
      <c r="X597" t="s">
        <v>11464</v>
      </c>
      <c r="Y597" t="s">
        <v>11465</v>
      </c>
      <c r="Z597" t="s">
        <v>11466</v>
      </c>
      <c r="AA597" t="s">
        <v>11467</v>
      </c>
      <c r="AB597" t="s">
        <v>11468</v>
      </c>
      <c r="AC597" t="s">
        <v>11469</v>
      </c>
      <c r="AD597" t="s">
        <v>11470</v>
      </c>
      <c r="AE597" t="s">
        <v>11471</v>
      </c>
      <c r="AF597" t="s">
        <v>74</v>
      </c>
      <c r="AG597">
        <v>60</v>
      </c>
      <c r="AH597">
        <v>1</v>
      </c>
      <c r="AI597">
        <v>1</v>
      </c>
      <c r="AJ597">
        <v>0</v>
      </c>
      <c r="AK597">
        <v>2</v>
      </c>
      <c r="AL597" t="s">
        <v>11119</v>
      </c>
      <c r="AM597" t="s">
        <v>11120</v>
      </c>
      <c r="AN597" t="s">
        <v>11121</v>
      </c>
      <c r="AO597" t="s">
        <v>11122</v>
      </c>
      <c r="AP597" t="s">
        <v>11123</v>
      </c>
      <c r="AQ597" t="s">
        <v>74</v>
      </c>
      <c r="AR597" t="s">
        <v>11124</v>
      </c>
      <c r="AS597" t="s">
        <v>11125</v>
      </c>
      <c r="AT597" t="s">
        <v>74</v>
      </c>
      <c r="AU597">
        <v>2022</v>
      </c>
      <c r="AV597">
        <v>94</v>
      </c>
      <c r="AW597" t="s">
        <v>74</v>
      </c>
      <c r="AX597" t="s">
        <v>74</v>
      </c>
      <c r="AY597">
        <v>1</v>
      </c>
      <c r="AZ597" t="s">
        <v>74</v>
      </c>
      <c r="BA597" t="s">
        <v>74</v>
      </c>
      <c r="BB597" t="s">
        <v>74</v>
      </c>
      <c r="BC597" t="s">
        <v>74</v>
      </c>
      <c r="BD597" t="s">
        <v>11472</v>
      </c>
      <c r="BE597" t="s">
        <v>11473</v>
      </c>
      <c r="BF597" t="str">
        <f>HYPERLINK("http://dx.doi.org/10.1590/0001-3765202120210501","http://dx.doi.org/10.1590/0001-3765202120210501")</f>
        <v>http://dx.doi.org/10.1590/0001-3765202120210501</v>
      </c>
      <c r="BG597" t="s">
        <v>74</v>
      </c>
      <c r="BH597" t="s">
        <v>74</v>
      </c>
      <c r="BI597">
        <v>19</v>
      </c>
      <c r="BJ597" t="s">
        <v>289</v>
      </c>
      <c r="BK597" t="s">
        <v>103</v>
      </c>
      <c r="BL597" t="s">
        <v>290</v>
      </c>
      <c r="BM597" t="s">
        <v>11474</v>
      </c>
      <c r="BN597">
        <v>35648992</v>
      </c>
      <c r="BO597" t="s">
        <v>445</v>
      </c>
      <c r="BP597" t="s">
        <v>74</v>
      </c>
      <c r="BQ597" t="s">
        <v>74</v>
      </c>
      <c r="BR597" t="s">
        <v>106</v>
      </c>
      <c r="BS597" t="s">
        <v>11475</v>
      </c>
      <c r="BT597" t="str">
        <f>HYPERLINK("https%3A%2F%2Fwww.webofscience.com%2Fwos%2Fwoscc%2Ffull-record%2FWOS:000806186600001","View Full Record in Web of Science")</f>
        <v>View Full Record in Web of Science</v>
      </c>
    </row>
    <row r="598" spans="1:72" x14ac:dyDescent="0.15">
      <c r="A598" t="s">
        <v>72</v>
      </c>
      <c r="B598" t="s">
        <v>11476</v>
      </c>
      <c r="C598" t="s">
        <v>74</v>
      </c>
      <c r="D598" t="s">
        <v>74</v>
      </c>
      <c r="E598" t="s">
        <v>74</v>
      </c>
      <c r="F598" t="s">
        <v>11477</v>
      </c>
      <c r="G598" t="s">
        <v>74</v>
      </c>
      <c r="H598" t="s">
        <v>74</v>
      </c>
      <c r="I598" t="s">
        <v>11478</v>
      </c>
      <c r="J598" t="s">
        <v>11113</v>
      </c>
      <c r="K598" t="s">
        <v>74</v>
      </c>
      <c r="L598" t="s">
        <v>74</v>
      </c>
      <c r="M598" t="s">
        <v>78</v>
      </c>
      <c r="N598" t="s">
        <v>79</v>
      </c>
      <c r="O598" t="s">
        <v>74</v>
      </c>
      <c r="P598" t="s">
        <v>74</v>
      </c>
      <c r="Q598" t="s">
        <v>74</v>
      </c>
      <c r="R598" t="s">
        <v>74</v>
      </c>
      <c r="S598" t="s">
        <v>74</v>
      </c>
      <c r="T598" t="s">
        <v>11479</v>
      </c>
      <c r="U598" t="s">
        <v>11480</v>
      </c>
      <c r="V598" t="s">
        <v>11481</v>
      </c>
      <c r="W598" t="s">
        <v>11482</v>
      </c>
      <c r="X598" t="s">
        <v>11483</v>
      </c>
      <c r="Y598" t="s">
        <v>11484</v>
      </c>
      <c r="Z598" t="s">
        <v>11485</v>
      </c>
      <c r="AA598" t="s">
        <v>11486</v>
      </c>
      <c r="AB598" t="s">
        <v>11487</v>
      </c>
      <c r="AC598" t="s">
        <v>11488</v>
      </c>
      <c r="AD598" t="s">
        <v>11489</v>
      </c>
      <c r="AE598" t="s">
        <v>11490</v>
      </c>
      <c r="AF598" t="s">
        <v>74</v>
      </c>
      <c r="AG598">
        <v>59</v>
      </c>
      <c r="AH598">
        <v>2</v>
      </c>
      <c r="AI598">
        <v>2</v>
      </c>
      <c r="AJ598">
        <v>1</v>
      </c>
      <c r="AK598">
        <v>8</v>
      </c>
      <c r="AL598" t="s">
        <v>11119</v>
      </c>
      <c r="AM598" t="s">
        <v>11120</v>
      </c>
      <c r="AN598" t="s">
        <v>11121</v>
      </c>
      <c r="AO598" t="s">
        <v>11122</v>
      </c>
      <c r="AP598" t="s">
        <v>11123</v>
      </c>
      <c r="AQ598" t="s">
        <v>74</v>
      </c>
      <c r="AR598" t="s">
        <v>11124</v>
      </c>
      <c r="AS598" t="s">
        <v>11125</v>
      </c>
      <c r="AT598" t="s">
        <v>74</v>
      </c>
      <c r="AU598">
        <v>2022</v>
      </c>
      <c r="AV598">
        <v>94</v>
      </c>
      <c r="AW598" t="s">
        <v>74</v>
      </c>
      <c r="AX598" t="s">
        <v>74</v>
      </c>
      <c r="AY598">
        <v>1</v>
      </c>
      <c r="AZ598" t="s">
        <v>74</v>
      </c>
      <c r="BA598" t="s">
        <v>74</v>
      </c>
      <c r="BB598" t="s">
        <v>74</v>
      </c>
      <c r="BC598" t="s">
        <v>74</v>
      </c>
      <c r="BD598" t="s">
        <v>11491</v>
      </c>
      <c r="BE598" t="s">
        <v>11492</v>
      </c>
      <c r="BF598" t="str">
        <f>HYPERLINK("http://dx.doi.org/10.1590/0001-3765202220210676","http://dx.doi.org/10.1590/0001-3765202220210676")</f>
        <v>http://dx.doi.org/10.1590/0001-3765202220210676</v>
      </c>
      <c r="BG598" t="s">
        <v>74</v>
      </c>
      <c r="BH598" t="s">
        <v>74</v>
      </c>
      <c r="BI598">
        <v>24</v>
      </c>
      <c r="BJ598" t="s">
        <v>289</v>
      </c>
      <c r="BK598" t="s">
        <v>103</v>
      </c>
      <c r="BL598" t="s">
        <v>290</v>
      </c>
      <c r="BM598" t="s">
        <v>11493</v>
      </c>
      <c r="BN598">
        <v>35648994</v>
      </c>
      <c r="BO598" t="s">
        <v>445</v>
      </c>
      <c r="BP598" t="s">
        <v>74</v>
      </c>
      <c r="BQ598" t="s">
        <v>74</v>
      </c>
      <c r="BR598" t="s">
        <v>106</v>
      </c>
      <c r="BS598" t="s">
        <v>11494</v>
      </c>
      <c r="BT598" t="str">
        <f>HYPERLINK("https%3A%2F%2Fwww.webofscience.com%2Fwos%2Fwoscc%2Ffull-record%2FWOS:000806188700001","View Full Record in Web of Science")</f>
        <v>View Full Record in Web of Science</v>
      </c>
    </row>
    <row r="599" spans="1:72" x14ac:dyDescent="0.15">
      <c r="A599" t="s">
        <v>72</v>
      </c>
      <c r="B599" t="s">
        <v>11495</v>
      </c>
      <c r="C599" t="s">
        <v>74</v>
      </c>
      <c r="D599" t="s">
        <v>74</v>
      </c>
      <c r="E599" t="s">
        <v>74</v>
      </c>
      <c r="F599" t="s">
        <v>11496</v>
      </c>
      <c r="G599" t="s">
        <v>74</v>
      </c>
      <c r="H599" t="s">
        <v>74</v>
      </c>
      <c r="I599" t="s">
        <v>11497</v>
      </c>
      <c r="J599" t="s">
        <v>2748</v>
      </c>
      <c r="K599" t="s">
        <v>74</v>
      </c>
      <c r="L599" t="s">
        <v>74</v>
      </c>
      <c r="M599" t="s">
        <v>78</v>
      </c>
      <c r="N599" t="s">
        <v>79</v>
      </c>
      <c r="O599" t="s">
        <v>74</v>
      </c>
      <c r="P599" t="s">
        <v>74</v>
      </c>
      <c r="Q599" t="s">
        <v>74</v>
      </c>
      <c r="R599" t="s">
        <v>74</v>
      </c>
      <c r="S599" t="s">
        <v>74</v>
      </c>
      <c r="T599" t="s">
        <v>11498</v>
      </c>
      <c r="U599" t="s">
        <v>11499</v>
      </c>
      <c r="V599" t="s">
        <v>11500</v>
      </c>
      <c r="W599" t="s">
        <v>11501</v>
      </c>
      <c r="X599" t="s">
        <v>11502</v>
      </c>
      <c r="Y599" t="s">
        <v>11503</v>
      </c>
      <c r="Z599" t="s">
        <v>11504</v>
      </c>
      <c r="AA599" t="s">
        <v>11505</v>
      </c>
      <c r="AB599" t="s">
        <v>11506</v>
      </c>
      <c r="AC599" t="s">
        <v>74</v>
      </c>
      <c r="AD599" t="s">
        <v>74</v>
      </c>
      <c r="AE599" t="s">
        <v>74</v>
      </c>
      <c r="AF599" t="s">
        <v>74</v>
      </c>
      <c r="AG599">
        <v>39</v>
      </c>
      <c r="AH599">
        <v>1</v>
      </c>
      <c r="AI599">
        <v>1</v>
      </c>
      <c r="AJ599">
        <v>0</v>
      </c>
      <c r="AK599">
        <v>7</v>
      </c>
      <c r="AL599" t="s">
        <v>2761</v>
      </c>
      <c r="AM599" t="s">
        <v>2762</v>
      </c>
      <c r="AN599" t="s">
        <v>2787</v>
      </c>
      <c r="AO599" t="s">
        <v>2764</v>
      </c>
      <c r="AP599" t="s">
        <v>2765</v>
      </c>
      <c r="AQ599" t="s">
        <v>74</v>
      </c>
      <c r="AR599" t="s">
        <v>2766</v>
      </c>
      <c r="AS599" t="s">
        <v>2767</v>
      </c>
      <c r="AT599" t="s">
        <v>4645</v>
      </c>
      <c r="AU599">
        <v>2022</v>
      </c>
      <c r="AV599">
        <v>52</v>
      </c>
      <c r="AW599">
        <v>1</v>
      </c>
      <c r="AX599" t="s">
        <v>74</v>
      </c>
      <c r="AY599" t="s">
        <v>74</v>
      </c>
      <c r="AZ599" t="s">
        <v>74</v>
      </c>
      <c r="BA599" t="s">
        <v>74</v>
      </c>
      <c r="BB599" t="s">
        <v>74</v>
      </c>
      <c r="BC599" t="s">
        <v>74</v>
      </c>
      <c r="BD599" t="s">
        <v>74</v>
      </c>
      <c r="BE599" t="s">
        <v>11507</v>
      </c>
      <c r="BF599" t="str">
        <f>HYPERLINK("http://dx.doi.org/10.1175/JPO-D-20-0287.1","http://dx.doi.org/10.1175/JPO-D-20-0287.1")</f>
        <v>http://dx.doi.org/10.1175/JPO-D-20-0287.1</v>
      </c>
      <c r="BG599" t="s">
        <v>74</v>
      </c>
      <c r="BH599" t="s">
        <v>74</v>
      </c>
      <c r="BI599">
        <v>17</v>
      </c>
      <c r="BJ599" t="s">
        <v>1131</v>
      </c>
      <c r="BK599" t="s">
        <v>103</v>
      </c>
      <c r="BL599" t="s">
        <v>1131</v>
      </c>
      <c r="BM599" t="s">
        <v>11508</v>
      </c>
      <c r="BN599" t="s">
        <v>74</v>
      </c>
      <c r="BO599" t="s">
        <v>74</v>
      </c>
      <c r="BP599" t="s">
        <v>74</v>
      </c>
      <c r="BQ599" t="s">
        <v>74</v>
      </c>
      <c r="BR599" t="s">
        <v>106</v>
      </c>
      <c r="BS599" t="s">
        <v>11509</v>
      </c>
      <c r="BT599" t="str">
        <f>HYPERLINK("https%3A%2F%2Fwww.webofscience.com%2Fwos%2Fwoscc%2Ffull-record%2FWOS:000805169000001","View Full Record in Web of Science")</f>
        <v>View Full Record in Web of Science</v>
      </c>
    </row>
    <row r="600" spans="1:72" x14ac:dyDescent="0.15">
      <c r="A600" t="s">
        <v>72</v>
      </c>
      <c r="B600" t="s">
        <v>11510</v>
      </c>
      <c r="C600" t="s">
        <v>74</v>
      </c>
      <c r="D600" t="s">
        <v>74</v>
      </c>
      <c r="E600" t="s">
        <v>74</v>
      </c>
      <c r="F600" t="s">
        <v>11511</v>
      </c>
      <c r="G600" t="s">
        <v>74</v>
      </c>
      <c r="H600" t="s">
        <v>74</v>
      </c>
      <c r="I600" t="s">
        <v>11512</v>
      </c>
      <c r="J600" t="s">
        <v>11113</v>
      </c>
      <c r="K600" t="s">
        <v>74</v>
      </c>
      <c r="L600" t="s">
        <v>74</v>
      </c>
      <c r="M600" t="s">
        <v>78</v>
      </c>
      <c r="N600" t="s">
        <v>79</v>
      </c>
      <c r="O600" t="s">
        <v>74</v>
      </c>
      <c r="P600" t="s">
        <v>74</v>
      </c>
      <c r="Q600" t="s">
        <v>74</v>
      </c>
      <c r="R600" t="s">
        <v>74</v>
      </c>
      <c r="S600" t="s">
        <v>74</v>
      </c>
      <c r="T600" t="s">
        <v>11513</v>
      </c>
      <c r="U600" t="s">
        <v>11514</v>
      </c>
      <c r="V600" t="s">
        <v>11515</v>
      </c>
      <c r="W600" t="s">
        <v>11516</v>
      </c>
      <c r="X600" t="s">
        <v>11517</v>
      </c>
      <c r="Y600" t="s">
        <v>11518</v>
      </c>
      <c r="Z600" t="s">
        <v>11519</v>
      </c>
      <c r="AA600" t="s">
        <v>11520</v>
      </c>
      <c r="AB600" t="s">
        <v>11521</v>
      </c>
      <c r="AC600" t="s">
        <v>74</v>
      </c>
      <c r="AD600" t="s">
        <v>74</v>
      </c>
      <c r="AE600" t="s">
        <v>74</v>
      </c>
      <c r="AF600" t="s">
        <v>74</v>
      </c>
      <c r="AG600">
        <v>65</v>
      </c>
      <c r="AH600">
        <v>1</v>
      </c>
      <c r="AI600">
        <v>1</v>
      </c>
      <c r="AJ600">
        <v>0</v>
      </c>
      <c r="AK600">
        <v>3</v>
      </c>
      <c r="AL600" t="s">
        <v>11119</v>
      </c>
      <c r="AM600" t="s">
        <v>11120</v>
      </c>
      <c r="AN600" t="s">
        <v>11121</v>
      </c>
      <c r="AO600" t="s">
        <v>11122</v>
      </c>
      <c r="AP600" t="s">
        <v>11123</v>
      </c>
      <c r="AQ600" t="s">
        <v>74</v>
      </c>
      <c r="AR600" t="s">
        <v>11124</v>
      </c>
      <c r="AS600" t="s">
        <v>11125</v>
      </c>
      <c r="AT600" t="s">
        <v>74</v>
      </c>
      <c r="AU600">
        <v>2022</v>
      </c>
      <c r="AV600">
        <v>94</v>
      </c>
      <c r="AW600" t="s">
        <v>74</v>
      </c>
      <c r="AX600" t="s">
        <v>74</v>
      </c>
      <c r="AY600">
        <v>1</v>
      </c>
      <c r="AZ600" t="s">
        <v>74</v>
      </c>
      <c r="BA600" t="s">
        <v>74</v>
      </c>
      <c r="BB600" t="s">
        <v>74</v>
      </c>
      <c r="BC600" t="s">
        <v>74</v>
      </c>
      <c r="BD600" t="s">
        <v>11522</v>
      </c>
      <c r="BE600" t="s">
        <v>11523</v>
      </c>
      <c r="BF600" t="str">
        <f>HYPERLINK("http://dx.doi.org/10.1590/0001-3765202220210432","http://dx.doi.org/10.1590/0001-3765202220210432")</f>
        <v>http://dx.doi.org/10.1590/0001-3765202220210432</v>
      </c>
      <c r="BG600" t="s">
        <v>74</v>
      </c>
      <c r="BH600" t="s">
        <v>74</v>
      </c>
      <c r="BI600">
        <v>19</v>
      </c>
      <c r="BJ600" t="s">
        <v>289</v>
      </c>
      <c r="BK600" t="s">
        <v>103</v>
      </c>
      <c r="BL600" t="s">
        <v>290</v>
      </c>
      <c r="BM600" t="s">
        <v>11524</v>
      </c>
      <c r="BN600">
        <v>35648990</v>
      </c>
      <c r="BO600" t="s">
        <v>445</v>
      </c>
      <c r="BP600" t="s">
        <v>74</v>
      </c>
      <c r="BQ600" t="s">
        <v>74</v>
      </c>
      <c r="BR600" t="s">
        <v>106</v>
      </c>
      <c r="BS600" t="s">
        <v>11525</v>
      </c>
      <c r="BT600" t="str">
        <f>HYPERLINK("https%3A%2F%2Fwww.webofscience.com%2Fwos%2Fwoscc%2Ffull-record%2FWOS:000806183000001","View Full Record in Web of Science")</f>
        <v>View Full Record in Web of Science</v>
      </c>
    </row>
    <row r="601" spans="1:72" x14ac:dyDescent="0.15">
      <c r="A601" t="s">
        <v>72</v>
      </c>
      <c r="B601" t="s">
        <v>11526</v>
      </c>
      <c r="C601" t="s">
        <v>74</v>
      </c>
      <c r="D601" t="s">
        <v>74</v>
      </c>
      <c r="E601" t="s">
        <v>74</v>
      </c>
      <c r="F601" t="s">
        <v>11527</v>
      </c>
      <c r="G601" t="s">
        <v>74</v>
      </c>
      <c r="H601" t="s">
        <v>74</v>
      </c>
      <c r="I601" t="s">
        <v>11528</v>
      </c>
      <c r="J601" t="s">
        <v>2748</v>
      </c>
      <c r="K601" t="s">
        <v>74</v>
      </c>
      <c r="L601" t="s">
        <v>74</v>
      </c>
      <c r="M601" t="s">
        <v>78</v>
      </c>
      <c r="N601" t="s">
        <v>79</v>
      </c>
      <c r="O601" t="s">
        <v>74</v>
      </c>
      <c r="P601" t="s">
        <v>74</v>
      </c>
      <c r="Q601" t="s">
        <v>74</v>
      </c>
      <c r="R601" t="s">
        <v>74</v>
      </c>
      <c r="S601" t="s">
        <v>74</v>
      </c>
      <c r="T601" t="s">
        <v>11529</v>
      </c>
      <c r="U601" t="s">
        <v>11530</v>
      </c>
      <c r="V601" t="s">
        <v>11531</v>
      </c>
      <c r="W601" t="s">
        <v>11532</v>
      </c>
      <c r="X601" t="s">
        <v>11533</v>
      </c>
      <c r="Y601" t="s">
        <v>11534</v>
      </c>
      <c r="Z601" t="s">
        <v>11535</v>
      </c>
      <c r="AA601" t="s">
        <v>11536</v>
      </c>
      <c r="AB601" t="s">
        <v>11537</v>
      </c>
      <c r="AC601" t="s">
        <v>11538</v>
      </c>
      <c r="AD601" t="s">
        <v>11539</v>
      </c>
      <c r="AE601" t="s">
        <v>11540</v>
      </c>
      <c r="AF601" t="s">
        <v>74</v>
      </c>
      <c r="AG601">
        <v>93</v>
      </c>
      <c r="AH601">
        <v>28</v>
      </c>
      <c r="AI601">
        <v>28</v>
      </c>
      <c r="AJ601">
        <v>10</v>
      </c>
      <c r="AK601">
        <v>36</v>
      </c>
      <c r="AL601" t="s">
        <v>2761</v>
      </c>
      <c r="AM601" t="s">
        <v>2762</v>
      </c>
      <c r="AN601" t="s">
        <v>2763</v>
      </c>
      <c r="AO601" t="s">
        <v>2764</v>
      </c>
      <c r="AP601" t="s">
        <v>2765</v>
      </c>
      <c r="AQ601" t="s">
        <v>74</v>
      </c>
      <c r="AR601" t="s">
        <v>2766</v>
      </c>
      <c r="AS601" t="s">
        <v>2767</v>
      </c>
      <c r="AT601" t="s">
        <v>4645</v>
      </c>
      <c r="AU601">
        <v>2022</v>
      </c>
      <c r="AV601">
        <v>52</v>
      </c>
      <c r="AW601">
        <v>1</v>
      </c>
      <c r="AX601" t="s">
        <v>74</v>
      </c>
      <c r="AY601" t="s">
        <v>74</v>
      </c>
      <c r="AZ601" t="s">
        <v>74</v>
      </c>
      <c r="BA601" t="s">
        <v>74</v>
      </c>
      <c r="BB601">
        <v>75</v>
      </c>
      <c r="BC601">
        <v>97</v>
      </c>
      <c r="BD601" t="s">
        <v>74</v>
      </c>
      <c r="BE601" t="s">
        <v>11541</v>
      </c>
      <c r="BF601" t="str">
        <f>HYPERLINK("http://dx.doi.org/10.1175/JPO-D-21-0099.1","http://dx.doi.org/10.1175/JPO-D-21-0099.1")</f>
        <v>http://dx.doi.org/10.1175/JPO-D-21-0099.1</v>
      </c>
      <c r="BG601" t="s">
        <v>74</v>
      </c>
      <c r="BH601" t="s">
        <v>74</v>
      </c>
      <c r="BI601">
        <v>23</v>
      </c>
      <c r="BJ601" t="s">
        <v>1131</v>
      </c>
      <c r="BK601" t="s">
        <v>103</v>
      </c>
      <c r="BL601" t="s">
        <v>1131</v>
      </c>
      <c r="BM601" t="s">
        <v>11542</v>
      </c>
      <c r="BN601" t="s">
        <v>74</v>
      </c>
      <c r="BO601" t="s">
        <v>2069</v>
      </c>
      <c r="BP601" t="s">
        <v>74</v>
      </c>
      <c r="BQ601" t="s">
        <v>74</v>
      </c>
      <c r="BR601" t="s">
        <v>106</v>
      </c>
      <c r="BS601" t="s">
        <v>11543</v>
      </c>
      <c r="BT601" t="str">
        <f>HYPERLINK("https%3A%2F%2Fwww.webofscience.com%2Fwos%2Fwoscc%2Ffull-record%2FWOS:000799570100003","View Full Record in Web of Science")</f>
        <v>View Full Record in Web of Science</v>
      </c>
    </row>
    <row r="602" spans="1:72" x14ac:dyDescent="0.15">
      <c r="A602" t="s">
        <v>72</v>
      </c>
      <c r="B602" t="s">
        <v>11544</v>
      </c>
      <c r="C602" t="s">
        <v>74</v>
      </c>
      <c r="D602" t="s">
        <v>74</v>
      </c>
      <c r="E602" t="s">
        <v>74</v>
      </c>
      <c r="F602" t="s">
        <v>11545</v>
      </c>
      <c r="G602" t="s">
        <v>74</v>
      </c>
      <c r="H602" t="s">
        <v>74</v>
      </c>
      <c r="I602" t="s">
        <v>11546</v>
      </c>
      <c r="J602" t="s">
        <v>8773</v>
      </c>
      <c r="K602" t="s">
        <v>74</v>
      </c>
      <c r="L602" t="s">
        <v>74</v>
      </c>
      <c r="M602" t="s">
        <v>78</v>
      </c>
      <c r="N602" t="s">
        <v>79</v>
      </c>
      <c r="O602" t="s">
        <v>74</v>
      </c>
      <c r="P602" t="s">
        <v>74</v>
      </c>
      <c r="Q602" t="s">
        <v>74</v>
      </c>
      <c r="R602" t="s">
        <v>74</v>
      </c>
      <c r="S602" t="s">
        <v>74</v>
      </c>
      <c r="T602" t="s">
        <v>11547</v>
      </c>
      <c r="U602" t="s">
        <v>11548</v>
      </c>
      <c r="V602" t="s">
        <v>11549</v>
      </c>
      <c r="W602" t="s">
        <v>11550</v>
      </c>
      <c r="X602" t="s">
        <v>11551</v>
      </c>
      <c r="Y602" t="s">
        <v>11552</v>
      </c>
      <c r="Z602" t="s">
        <v>11553</v>
      </c>
      <c r="AA602" t="s">
        <v>11554</v>
      </c>
      <c r="AB602" t="s">
        <v>11555</v>
      </c>
      <c r="AC602" t="s">
        <v>11556</v>
      </c>
      <c r="AD602" t="s">
        <v>11557</v>
      </c>
      <c r="AE602" t="s">
        <v>11558</v>
      </c>
      <c r="AF602" t="s">
        <v>74</v>
      </c>
      <c r="AG602">
        <v>61</v>
      </c>
      <c r="AH602">
        <v>1</v>
      </c>
      <c r="AI602">
        <v>1</v>
      </c>
      <c r="AJ602">
        <v>5</v>
      </c>
      <c r="AK602">
        <v>15</v>
      </c>
      <c r="AL602" t="s">
        <v>8786</v>
      </c>
      <c r="AM602" t="s">
        <v>436</v>
      </c>
      <c r="AN602" t="s">
        <v>8787</v>
      </c>
      <c r="AO602" t="s">
        <v>8788</v>
      </c>
      <c r="AP602" t="s">
        <v>8789</v>
      </c>
      <c r="AQ602" t="s">
        <v>74</v>
      </c>
      <c r="AR602" t="s">
        <v>8790</v>
      </c>
      <c r="AS602" t="s">
        <v>8791</v>
      </c>
      <c r="AT602" t="s">
        <v>74</v>
      </c>
      <c r="AU602">
        <v>2022</v>
      </c>
      <c r="AV602">
        <v>72</v>
      </c>
      <c r="AW602">
        <v>4</v>
      </c>
      <c r="AX602" t="s">
        <v>74</v>
      </c>
      <c r="AY602" t="s">
        <v>74</v>
      </c>
      <c r="AZ602" t="s">
        <v>74</v>
      </c>
      <c r="BA602" t="s">
        <v>74</v>
      </c>
      <c r="BB602" t="s">
        <v>74</v>
      </c>
      <c r="BC602" t="s">
        <v>74</v>
      </c>
      <c r="BD602">
        <v>5309</v>
      </c>
      <c r="BE602" t="s">
        <v>11559</v>
      </c>
      <c r="BF602" t="str">
        <f>HYPERLINK("http://dx.doi.org/10.1099/ijsem.0.005309","http://dx.doi.org/10.1099/ijsem.0.005309")</f>
        <v>http://dx.doi.org/10.1099/ijsem.0.005309</v>
      </c>
      <c r="BG602" t="s">
        <v>74</v>
      </c>
      <c r="BH602" t="s">
        <v>74</v>
      </c>
      <c r="BI602">
        <v>9</v>
      </c>
      <c r="BJ602" t="s">
        <v>747</v>
      </c>
      <c r="BK602" t="s">
        <v>103</v>
      </c>
      <c r="BL602" t="s">
        <v>747</v>
      </c>
      <c r="BM602" t="s">
        <v>11560</v>
      </c>
      <c r="BN602">
        <v>35442878</v>
      </c>
      <c r="BO602" t="s">
        <v>74</v>
      </c>
      <c r="BP602" t="s">
        <v>74</v>
      </c>
      <c r="BQ602" t="s">
        <v>74</v>
      </c>
      <c r="BR602" t="s">
        <v>106</v>
      </c>
      <c r="BS602" t="s">
        <v>11561</v>
      </c>
      <c r="BT602" t="str">
        <f>HYPERLINK("https%3A%2F%2Fwww.webofscience.com%2Fwos%2Fwoscc%2Ffull-record%2FWOS:000800144400027","View Full Record in Web of Science")</f>
        <v>View Full Record in Web of Science</v>
      </c>
    </row>
    <row r="603" spans="1:72" x14ac:dyDescent="0.15">
      <c r="A603" t="s">
        <v>72</v>
      </c>
      <c r="B603" t="s">
        <v>11562</v>
      </c>
      <c r="C603" t="s">
        <v>74</v>
      </c>
      <c r="D603" t="s">
        <v>74</v>
      </c>
      <c r="E603" t="s">
        <v>74</v>
      </c>
      <c r="F603" t="s">
        <v>11563</v>
      </c>
      <c r="G603" t="s">
        <v>74</v>
      </c>
      <c r="H603" t="s">
        <v>74</v>
      </c>
      <c r="I603" t="s">
        <v>11564</v>
      </c>
      <c r="J603" t="s">
        <v>11565</v>
      </c>
      <c r="K603" t="s">
        <v>74</v>
      </c>
      <c r="L603" t="s">
        <v>74</v>
      </c>
      <c r="M603" t="s">
        <v>78</v>
      </c>
      <c r="N603" t="s">
        <v>1113</v>
      </c>
      <c r="O603" t="s">
        <v>74</v>
      </c>
      <c r="P603" t="s">
        <v>74</v>
      </c>
      <c r="Q603" t="s">
        <v>74</v>
      </c>
      <c r="R603" t="s">
        <v>74</v>
      </c>
      <c r="S603" t="s">
        <v>74</v>
      </c>
      <c r="T603" t="s">
        <v>74</v>
      </c>
      <c r="U603" t="s">
        <v>11566</v>
      </c>
      <c r="V603" t="s">
        <v>11567</v>
      </c>
      <c r="W603" t="s">
        <v>11568</v>
      </c>
      <c r="X603" t="s">
        <v>11569</v>
      </c>
      <c r="Y603" t="s">
        <v>11570</v>
      </c>
      <c r="Z603" t="s">
        <v>11571</v>
      </c>
      <c r="AA603" t="s">
        <v>74</v>
      </c>
      <c r="AB603" t="s">
        <v>74</v>
      </c>
      <c r="AC603" t="s">
        <v>11572</v>
      </c>
      <c r="AD603" t="s">
        <v>8039</v>
      </c>
      <c r="AE603" t="s">
        <v>11573</v>
      </c>
      <c r="AF603" t="s">
        <v>74</v>
      </c>
      <c r="AG603">
        <v>150</v>
      </c>
      <c r="AH603">
        <v>2</v>
      </c>
      <c r="AI603">
        <v>2</v>
      </c>
      <c r="AJ603">
        <v>15</v>
      </c>
      <c r="AK603">
        <v>33</v>
      </c>
      <c r="AL603" t="s">
        <v>11574</v>
      </c>
      <c r="AM603" t="s">
        <v>11575</v>
      </c>
      <c r="AN603" t="s">
        <v>11576</v>
      </c>
      <c r="AO603" t="s">
        <v>11577</v>
      </c>
      <c r="AP603" t="s">
        <v>11578</v>
      </c>
      <c r="AQ603" t="s">
        <v>74</v>
      </c>
      <c r="AR603" t="s">
        <v>11579</v>
      </c>
      <c r="AS603" t="s">
        <v>11580</v>
      </c>
      <c r="AT603" t="s">
        <v>74</v>
      </c>
      <c r="AU603">
        <v>2022</v>
      </c>
      <c r="AV603">
        <v>50</v>
      </c>
      <c r="AW603" t="s">
        <v>74</v>
      </c>
      <c r="AX603" t="s">
        <v>74</v>
      </c>
      <c r="AY603" t="s">
        <v>74</v>
      </c>
      <c r="AZ603" t="s">
        <v>74</v>
      </c>
      <c r="BA603" t="s">
        <v>74</v>
      </c>
      <c r="BB603">
        <v>323</v>
      </c>
      <c r="BC603">
        <v>343</v>
      </c>
      <c r="BD603" t="s">
        <v>74</v>
      </c>
      <c r="BE603" t="s">
        <v>11581</v>
      </c>
      <c r="BF603" t="str">
        <f>HYPERLINK("http://dx.doi.org/10.1146/annurev-earth-032320-085507","http://dx.doi.org/10.1146/annurev-earth-032320-085507")</f>
        <v>http://dx.doi.org/10.1146/annurev-earth-032320-085507</v>
      </c>
      <c r="BG603" t="s">
        <v>74</v>
      </c>
      <c r="BH603" t="s">
        <v>74</v>
      </c>
      <c r="BI603">
        <v>21</v>
      </c>
      <c r="BJ603" t="s">
        <v>11582</v>
      </c>
      <c r="BK603" t="s">
        <v>103</v>
      </c>
      <c r="BL603" t="s">
        <v>11583</v>
      </c>
      <c r="BM603" t="s">
        <v>11584</v>
      </c>
      <c r="BN603" t="s">
        <v>74</v>
      </c>
      <c r="BO603" t="s">
        <v>74</v>
      </c>
      <c r="BP603" t="s">
        <v>74</v>
      </c>
      <c r="BQ603" t="s">
        <v>74</v>
      </c>
      <c r="BR603" t="s">
        <v>106</v>
      </c>
      <c r="BS603" t="s">
        <v>11585</v>
      </c>
      <c r="BT603" t="str">
        <f>HYPERLINK("https%3A%2F%2Fwww.webofscience.com%2Fwos%2Fwoscc%2Ffull-record%2FWOS:000804955000014","View Full Record in Web of Science")</f>
        <v>View Full Record in Web of Science</v>
      </c>
    </row>
    <row r="604" spans="1:72" x14ac:dyDescent="0.15">
      <c r="A604" t="s">
        <v>72</v>
      </c>
      <c r="B604" t="s">
        <v>11586</v>
      </c>
      <c r="C604" t="s">
        <v>74</v>
      </c>
      <c r="D604" t="s">
        <v>74</v>
      </c>
      <c r="E604" t="s">
        <v>74</v>
      </c>
      <c r="F604" t="s">
        <v>11587</v>
      </c>
      <c r="G604" t="s">
        <v>74</v>
      </c>
      <c r="H604" t="s">
        <v>74</v>
      </c>
      <c r="I604" t="s">
        <v>11588</v>
      </c>
      <c r="J604" t="s">
        <v>11589</v>
      </c>
      <c r="K604" t="s">
        <v>74</v>
      </c>
      <c r="L604" t="s">
        <v>74</v>
      </c>
      <c r="M604" t="s">
        <v>78</v>
      </c>
      <c r="N604" t="s">
        <v>79</v>
      </c>
      <c r="O604" t="s">
        <v>74</v>
      </c>
      <c r="P604" t="s">
        <v>74</v>
      </c>
      <c r="Q604" t="s">
        <v>74</v>
      </c>
      <c r="R604" t="s">
        <v>74</v>
      </c>
      <c r="S604" t="s">
        <v>74</v>
      </c>
      <c r="T604" t="s">
        <v>11590</v>
      </c>
      <c r="U604" t="s">
        <v>11591</v>
      </c>
      <c r="V604" t="s">
        <v>11592</v>
      </c>
      <c r="W604" t="s">
        <v>11593</v>
      </c>
      <c r="X604" t="s">
        <v>11594</v>
      </c>
      <c r="Y604" t="s">
        <v>11595</v>
      </c>
      <c r="Z604" t="s">
        <v>11596</v>
      </c>
      <c r="AA604" t="s">
        <v>11597</v>
      </c>
      <c r="AB604" t="s">
        <v>11598</v>
      </c>
      <c r="AC604" t="s">
        <v>11599</v>
      </c>
      <c r="AD604" t="s">
        <v>11600</v>
      </c>
      <c r="AE604" t="s">
        <v>11601</v>
      </c>
      <c r="AF604" t="s">
        <v>74</v>
      </c>
      <c r="AG604">
        <v>122</v>
      </c>
      <c r="AH604">
        <v>2</v>
      </c>
      <c r="AI604">
        <v>3</v>
      </c>
      <c r="AJ604">
        <v>4</v>
      </c>
      <c r="AK604">
        <v>9</v>
      </c>
      <c r="AL604" t="s">
        <v>1552</v>
      </c>
      <c r="AM604" t="s">
        <v>436</v>
      </c>
      <c r="AN604" t="s">
        <v>1553</v>
      </c>
      <c r="AO604" t="s">
        <v>11602</v>
      </c>
      <c r="AP604" t="s">
        <v>11603</v>
      </c>
      <c r="AQ604" t="s">
        <v>74</v>
      </c>
      <c r="AR604" t="s">
        <v>11604</v>
      </c>
      <c r="AS604" t="s">
        <v>11605</v>
      </c>
      <c r="AT604" t="s">
        <v>4645</v>
      </c>
      <c r="AU604">
        <v>2022</v>
      </c>
      <c r="AV604">
        <v>183</v>
      </c>
      <c r="AW604" t="s">
        <v>74</v>
      </c>
      <c r="AX604" t="s">
        <v>74</v>
      </c>
      <c r="AY604" t="s">
        <v>74</v>
      </c>
      <c r="AZ604" t="s">
        <v>74</v>
      </c>
      <c r="BA604" t="s">
        <v>74</v>
      </c>
      <c r="BB604">
        <v>103</v>
      </c>
      <c r="BC604">
        <v>116</v>
      </c>
      <c r="BD604" t="s">
        <v>74</v>
      </c>
      <c r="BE604" t="s">
        <v>11606</v>
      </c>
      <c r="BF604" t="str">
        <f>HYPERLINK("http://dx.doi.org/10.1016/j.anbehav.2021.11.006","http://dx.doi.org/10.1016/j.anbehav.2021.11.006")</f>
        <v>http://dx.doi.org/10.1016/j.anbehav.2021.11.006</v>
      </c>
      <c r="BG604" t="s">
        <v>74</v>
      </c>
      <c r="BH604" t="s">
        <v>74</v>
      </c>
      <c r="BI604">
        <v>14</v>
      </c>
      <c r="BJ604" t="s">
        <v>11607</v>
      </c>
      <c r="BK604" t="s">
        <v>103</v>
      </c>
      <c r="BL604" t="s">
        <v>11607</v>
      </c>
      <c r="BM604" t="s">
        <v>11608</v>
      </c>
      <c r="BN604" t="s">
        <v>74</v>
      </c>
      <c r="BO604" t="s">
        <v>2069</v>
      </c>
      <c r="BP604" t="s">
        <v>74</v>
      </c>
      <c r="BQ604" t="s">
        <v>74</v>
      </c>
      <c r="BR604" t="s">
        <v>106</v>
      </c>
      <c r="BS604" t="s">
        <v>11609</v>
      </c>
      <c r="BT604" t="str">
        <f>HYPERLINK("https%3A%2F%2Fwww.webofscience.com%2Fwos%2Fwoscc%2Ffull-record%2FWOS:000798731100001","View Full Record in Web of Science")</f>
        <v>View Full Record in Web of Science</v>
      </c>
    </row>
    <row r="605" spans="1:72" x14ac:dyDescent="0.15">
      <c r="A605" t="s">
        <v>72</v>
      </c>
      <c r="B605" t="s">
        <v>11610</v>
      </c>
      <c r="C605" t="s">
        <v>74</v>
      </c>
      <c r="D605" t="s">
        <v>74</v>
      </c>
      <c r="E605" t="s">
        <v>74</v>
      </c>
      <c r="F605" t="s">
        <v>11611</v>
      </c>
      <c r="G605" t="s">
        <v>74</v>
      </c>
      <c r="H605" t="s">
        <v>74</v>
      </c>
      <c r="I605" t="s">
        <v>11612</v>
      </c>
      <c r="J605" t="s">
        <v>11613</v>
      </c>
      <c r="K605" t="s">
        <v>74</v>
      </c>
      <c r="L605" t="s">
        <v>74</v>
      </c>
      <c r="M605" t="s">
        <v>78</v>
      </c>
      <c r="N605" t="s">
        <v>52</v>
      </c>
      <c r="O605" t="s">
        <v>74</v>
      </c>
      <c r="P605" t="s">
        <v>74</v>
      </c>
      <c r="Q605" t="s">
        <v>74</v>
      </c>
      <c r="R605" t="s">
        <v>74</v>
      </c>
      <c r="S605" t="s">
        <v>74</v>
      </c>
      <c r="T605" t="s">
        <v>74</v>
      </c>
      <c r="U605" t="s">
        <v>74</v>
      </c>
      <c r="V605" t="s">
        <v>74</v>
      </c>
      <c r="W605" t="s">
        <v>11614</v>
      </c>
      <c r="X605" t="s">
        <v>11615</v>
      </c>
      <c r="Y605" t="s">
        <v>74</v>
      </c>
      <c r="Z605" t="s">
        <v>74</v>
      </c>
      <c r="AA605" t="s">
        <v>74</v>
      </c>
      <c r="AB605" t="s">
        <v>74</v>
      </c>
      <c r="AC605" t="s">
        <v>74</v>
      </c>
      <c r="AD605" t="s">
        <v>74</v>
      </c>
      <c r="AE605" t="s">
        <v>74</v>
      </c>
      <c r="AF605" t="s">
        <v>74</v>
      </c>
      <c r="AG605">
        <v>0</v>
      </c>
      <c r="AH605">
        <v>0</v>
      </c>
      <c r="AI605">
        <v>0</v>
      </c>
      <c r="AJ605">
        <v>0</v>
      </c>
      <c r="AK605">
        <v>1</v>
      </c>
      <c r="AL605" t="s">
        <v>11616</v>
      </c>
      <c r="AM605" t="s">
        <v>11617</v>
      </c>
      <c r="AN605" t="s">
        <v>11618</v>
      </c>
      <c r="AO605" t="s">
        <v>11619</v>
      </c>
      <c r="AP605" t="s">
        <v>74</v>
      </c>
      <c r="AQ605" t="s">
        <v>74</v>
      </c>
      <c r="AR605" t="s">
        <v>11620</v>
      </c>
      <c r="AS605" t="s">
        <v>11621</v>
      </c>
      <c r="AT605" t="s">
        <v>74</v>
      </c>
      <c r="AU605">
        <v>2022</v>
      </c>
      <c r="AV605">
        <v>19</v>
      </c>
      <c r="AW605" t="s">
        <v>74</v>
      </c>
      <c r="AX605" t="s">
        <v>74</v>
      </c>
      <c r="AY605" t="s">
        <v>74</v>
      </c>
      <c r="AZ605" t="s">
        <v>74</v>
      </c>
      <c r="BA605" t="s">
        <v>74</v>
      </c>
      <c r="BB605">
        <v>75</v>
      </c>
      <c r="BC605">
        <v>75</v>
      </c>
      <c r="BD605" t="s">
        <v>74</v>
      </c>
      <c r="BE605" t="s">
        <v>74</v>
      </c>
      <c r="BF605" t="s">
        <v>74</v>
      </c>
      <c r="BG605" t="s">
        <v>74</v>
      </c>
      <c r="BH605" t="s">
        <v>74</v>
      </c>
      <c r="BI605">
        <v>1</v>
      </c>
      <c r="BJ605" t="s">
        <v>11622</v>
      </c>
      <c r="BK605" t="s">
        <v>103</v>
      </c>
      <c r="BL605" t="s">
        <v>11622</v>
      </c>
      <c r="BM605" t="s">
        <v>11623</v>
      </c>
      <c r="BN605" t="s">
        <v>74</v>
      </c>
      <c r="BO605" t="s">
        <v>74</v>
      </c>
      <c r="BP605" t="s">
        <v>74</v>
      </c>
      <c r="BQ605" t="s">
        <v>74</v>
      </c>
      <c r="BR605" t="s">
        <v>106</v>
      </c>
      <c r="BS605" t="s">
        <v>11624</v>
      </c>
      <c r="BT605" t="str">
        <f>HYPERLINK("https%3A%2F%2Fwww.webofscience.com%2Fwos%2Fwoscc%2Ffull-record%2FWOS:000799968400016","View Full Record in Web of Science")</f>
        <v>View Full Record in Web of Science</v>
      </c>
    </row>
    <row r="606" spans="1:72" x14ac:dyDescent="0.15">
      <c r="A606" t="s">
        <v>72</v>
      </c>
      <c r="B606" t="s">
        <v>11625</v>
      </c>
      <c r="C606" t="s">
        <v>74</v>
      </c>
      <c r="D606" t="s">
        <v>74</v>
      </c>
      <c r="E606" t="s">
        <v>74</v>
      </c>
      <c r="F606" t="s">
        <v>11626</v>
      </c>
      <c r="G606" t="s">
        <v>74</v>
      </c>
      <c r="H606" t="s">
        <v>74</v>
      </c>
      <c r="I606" t="s">
        <v>11627</v>
      </c>
      <c r="J606" t="s">
        <v>2774</v>
      </c>
      <c r="K606" t="s">
        <v>74</v>
      </c>
      <c r="L606" t="s">
        <v>74</v>
      </c>
      <c r="M606" t="s">
        <v>78</v>
      </c>
      <c r="N606" t="s">
        <v>79</v>
      </c>
      <c r="O606" t="s">
        <v>74</v>
      </c>
      <c r="P606" t="s">
        <v>74</v>
      </c>
      <c r="Q606" t="s">
        <v>74</v>
      </c>
      <c r="R606" t="s">
        <v>74</v>
      </c>
      <c r="S606" t="s">
        <v>74</v>
      </c>
      <c r="T606" t="s">
        <v>11628</v>
      </c>
      <c r="U606" t="s">
        <v>11629</v>
      </c>
      <c r="V606" t="s">
        <v>11630</v>
      </c>
      <c r="W606" t="s">
        <v>11631</v>
      </c>
      <c r="X606" t="s">
        <v>11632</v>
      </c>
      <c r="Y606" t="s">
        <v>11633</v>
      </c>
      <c r="Z606" t="s">
        <v>11634</v>
      </c>
      <c r="AA606" t="s">
        <v>11635</v>
      </c>
      <c r="AB606" t="s">
        <v>11636</v>
      </c>
      <c r="AC606" t="s">
        <v>11637</v>
      </c>
      <c r="AD606" t="s">
        <v>11638</v>
      </c>
      <c r="AE606" t="s">
        <v>11639</v>
      </c>
      <c r="AF606" t="s">
        <v>74</v>
      </c>
      <c r="AG606">
        <v>66</v>
      </c>
      <c r="AH606">
        <v>12</v>
      </c>
      <c r="AI606">
        <v>13</v>
      </c>
      <c r="AJ606">
        <v>4</v>
      </c>
      <c r="AK606">
        <v>17</v>
      </c>
      <c r="AL606" t="s">
        <v>2761</v>
      </c>
      <c r="AM606" t="s">
        <v>2762</v>
      </c>
      <c r="AN606" t="s">
        <v>2787</v>
      </c>
      <c r="AO606" t="s">
        <v>2788</v>
      </c>
      <c r="AP606" t="s">
        <v>2789</v>
      </c>
      <c r="AQ606" t="s">
        <v>74</v>
      </c>
      <c r="AR606" t="s">
        <v>2790</v>
      </c>
      <c r="AS606" t="s">
        <v>2791</v>
      </c>
      <c r="AT606" t="s">
        <v>4645</v>
      </c>
      <c r="AU606">
        <v>2022</v>
      </c>
      <c r="AV606">
        <v>35</v>
      </c>
      <c r="AW606">
        <v>2</v>
      </c>
      <c r="AX606" t="s">
        <v>74</v>
      </c>
      <c r="AY606" t="s">
        <v>74</v>
      </c>
      <c r="AZ606" t="s">
        <v>74</v>
      </c>
      <c r="BA606" t="s">
        <v>74</v>
      </c>
      <c r="BB606">
        <v>815</v>
      </c>
      <c r="BC606">
        <v>832</v>
      </c>
      <c r="BD606" t="s">
        <v>74</v>
      </c>
      <c r="BE606" t="s">
        <v>11640</v>
      </c>
      <c r="BF606" t="str">
        <f>HYPERLINK("http://dx.doi.org/10.1175/JCLI-D-21-0346.1","http://dx.doi.org/10.1175/JCLI-D-21-0346.1")</f>
        <v>http://dx.doi.org/10.1175/JCLI-D-21-0346.1</v>
      </c>
      <c r="BG606" t="s">
        <v>74</v>
      </c>
      <c r="BH606" t="s">
        <v>74</v>
      </c>
      <c r="BI606">
        <v>18</v>
      </c>
      <c r="BJ606" t="s">
        <v>514</v>
      </c>
      <c r="BK606" t="s">
        <v>103</v>
      </c>
      <c r="BL606" t="s">
        <v>514</v>
      </c>
      <c r="BM606" t="s">
        <v>11641</v>
      </c>
      <c r="BN606" t="s">
        <v>74</v>
      </c>
      <c r="BO606" t="s">
        <v>74</v>
      </c>
      <c r="BP606" t="s">
        <v>74</v>
      </c>
      <c r="BQ606" t="s">
        <v>74</v>
      </c>
      <c r="BR606" t="s">
        <v>106</v>
      </c>
      <c r="BS606" t="s">
        <v>11642</v>
      </c>
      <c r="BT606" t="str">
        <f>HYPERLINK("https%3A%2F%2Fwww.webofscience.com%2Fwos%2Fwoscc%2Ffull-record%2FWOS:000799188000020","View Full Record in Web of Science")</f>
        <v>View Full Record in Web of Science</v>
      </c>
    </row>
    <row r="607" spans="1:72" x14ac:dyDescent="0.15">
      <c r="A607" t="s">
        <v>72</v>
      </c>
      <c r="B607" t="s">
        <v>11643</v>
      </c>
      <c r="C607" t="s">
        <v>74</v>
      </c>
      <c r="D607" t="s">
        <v>74</v>
      </c>
      <c r="E607" t="s">
        <v>74</v>
      </c>
      <c r="F607" t="s">
        <v>11644</v>
      </c>
      <c r="G607" t="s">
        <v>74</v>
      </c>
      <c r="H607" t="s">
        <v>74</v>
      </c>
      <c r="I607" t="s">
        <v>11645</v>
      </c>
      <c r="J607" t="s">
        <v>2774</v>
      </c>
      <c r="K607" t="s">
        <v>74</v>
      </c>
      <c r="L607" t="s">
        <v>74</v>
      </c>
      <c r="M607" t="s">
        <v>78</v>
      </c>
      <c r="N607" t="s">
        <v>79</v>
      </c>
      <c r="O607" t="s">
        <v>74</v>
      </c>
      <c r="P607" t="s">
        <v>74</v>
      </c>
      <c r="Q607" t="s">
        <v>74</v>
      </c>
      <c r="R607" t="s">
        <v>74</v>
      </c>
      <c r="S607" t="s">
        <v>74</v>
      </c>
      <c r="T607" t="s">
        <v>11646</v>
      </c>
      <c r="U607" t="s">
        <v>11647</v>
      </c>
      <c r="V607" t="s">
        <v>11648</v>
      </c>
      <c r="W607" t="s">
        <v>11649</v>
      </c>
      <c r="X607" t="s">
        <v>11650</v>
      </c>
      <c r="Y607" t="s">
        <v>11651</v>
      </c>
      <c r="Z607" t="s">
        <v>11652</v>
      </c>
      <c r="AA607" t="s">
        <v>11653</v>
      </c>
      <c r="AB607" t="s">
        <v>11654</v>
      </c>
      <c r="AC607" t="s">
        <v>11655</v>
      </c>
      <c r="AD607" t="s">
        <v>11656</v>
      </c>
      <c r="AE607" t="s">
        <v>11657</v>
      </c>
      <c r="AF607" t="s">
        <v>74</v>
      </c>
      <c r="AG607">
        <v>118</v>
      </c>
      <c r="AH607">
        <v>7</v>
      </c>
      <c r="AI607">
        <v>7</v>
      </c>
      <c r="AJ607">
        <v>0</v>
      </c>
      <c r="AK607">
        <v>11</v>
      </c>
      <c r="AL607" t="s">
        <v>2761</v>
      </c>
      <c r="AM607" t="s">
        <v>2762</v>
      </c>
      <c r="AN607" t="s">
        <v>2763</v>
      </c>
      <c r="AO607" t="s">
        <v>2788</v>
      </c>
      <c r="AP607" t="s">
        <v>2789</v>
      </c>
      <c r="AQ607" t="s">
        <v>74</v>
      </c>
      <c r="AR607" t="s">
        <v>2790</v>
      </c>
      <c r="AS607" t="s">
        <v>2791</v>
      </c>
      <c r="AT607" t="s">
        <v>4645</v>
      </c>
      <c r="AU607">
        <v>2022</v>
      </c>
      <c r="AV607">
        <v>35</v>
      </c>
      <c r="AW607">
        <v>2</v>
      </c>
      <c r="AX607" t="s">
        <v>74</v>
      </c>
      <c r="AY607" t="s">
        <v>74</v>
      </c>
      <c r="AZ607" t="s">
        <v>74</v>
      </c>
      <c r="BA607" t="s">
        <v>74</v>
      </c>
      <c r="BB607">
        <v>851</v>
      </c>
      <c r="BC607">
        <v>875</v>
      </c>
      <c r="BD607" t="s">
        <v>74</v>
      </c>
      <c r="BE607" t="s">
        <v>11658</v>
      </c>
      <c r="BF607" t="str">
        <f>HYPERLINK("http://dx.doi.org/10.1175/JCLI-D-20-0603.1","http://dx.doi.org/10.1175/JCLI-D-20-0603.1")</f>
        <v>http://dx.doi.org/10.1175/JCLI-D-20-0603.1</v>
      </c>
      <c r="BG607" t="s">
        <v>74</v>
      </c>
      <c r="BH607" t="s">
        <v>74</v>
      </c>
      <c r="BI607">
        <v>25</v>
      </c>
      <c r="BJ607" t="s">
        <v>514</v>
      </c>
      <c r="BK607" t="s">
        <v>103</v>
      </c>
      <c r="BL607" t="s">
        <v>514</v>
      </c>
      <c r="BM607" t="s">
        <v>11641</v>
      </c>
      <c r="BN607" t="s">
        <v>74</v>
      </c>
      <c r="BO607" t="s">
        <v>11659</v>
      </c>
      <c r="BP607" t="s">
        <v>74</v>
      </c>
      <c r="BQ607" t="s">
        <v>74</v>
      </c>
      <c r="BR607" t="s">
        <v>106</v>
      </c>
      <c r="BS607" t="s">
        <v>11660</v>
      </c>
      <c r="BT607" t="str">
        <f>HYPERLINK("https%3A%2F%2Fwww.webofscience.com%2Fwos%2Fwoscc%2Ffull-record%2FWOS:000799188000022","View Full Record in Web of Science")</f>
        <v>View Full Record in Web of Science</v>
      </c>
    </row>
    <row r="608" spans="1:72" x14ac:dyDescent="0.15">
      <c r="A608" t="s">
        <v>72</v>
      </c>
      <c r="B608" t="s">
        <v>11661</v>
      </c>
      <c r="C608" t="s">
        <v>74</v>
      </c>
      <c r="D608" t="s">
        <v>74</v>
      </c>
      <c r="E608" t="s">
        <v>74</v>
      </c>
      <c r="F608" t="s">
        <v>11662</v>
      </c>
      <c r="G608" t="s">
        <v>74</v>
      </c>
      <c r="H608" t="s">
        <v>74</v>
      </c>
      <c r="I608" t="s">
        <v>11663</v>
      </c>
      <c r="J608" t="s">
        <v>11113</v>
      </c>
      <c r="K608" t="s">
        <v>74</v>
      </c>
      <c r="L608" t="s">
        <v>74</v>
      </c>
      <c r="M608" t="s">
        <v>78</v>
      </c>
      <c r="N608" t="s">
        <v>79</v>
      </c>
      <c r="O608" t="s">
        <v>74</v>
      </c>
      <c r="P608" t="s">
        <v>74</v>
      </c>
      <c r="Q608" t="s">
        <v>74</v>
      </c>
      <c r="R608" t="s">
        <v>74</v>
      </c>
      <c r="S608" t="s">
        <v>74</v>
      </c>
      <c r="T608" t="s">
        <v>11664</v>
      </c>
      <c r="U608" t="s">
        <v>11665</v>
      </c>
      <c r="V608" t="s">
        <v>11666</v>
      </c>
      <c r="W608" t="s">
        <v>11667</v>
      </c>
      <c r="X608" t="s">
        <v>11668</v>
      </c>
      <c r="Y608" t="s">
        <v>11669</v>
      </c>
      <c r="Z608" t="s">
        <v>11670</v>
      </c>
      <c r="AA608" t="s">
        <v>11671</v>
      </c>
      <c r="AB608" t="s">
        <v>11672</v>
      </c>
      <c r="AC608" t="s">
        <v>11673</v>
      </c>
      <c r="AD608" t="s">
        <v>11674</v>
      </c>
      <c r="AE608" t="s">
        <v>11675</v>
      </c>
      <c r="AF608" t="s">
        <v>74</v>
      </c>
      <c r="AG608">
        <v>40</v>
      </c>
      <c r="AH608">
        <v>1</v>
      </c>
      <c r="AI608">
        <v>1</v>
      </c>
      <c r="AJ608">
        <v>1</v>
      </c>
      <c r="AK608">
        <v>10</v>
      </c>
      <c r="AL608" t="s">
        <v>11119</v>
      </c>
      <c r="AM608" t="s">
        <v>11120</v>
      </c>
      <c r="AN608" t="s">
        <v>11121</v>
      </c>
      <c r="AO608" t="s">
        <v>11122</v>
      </c>
      <c r="AP608" t="s">
        <v>11123</v>
      </c>
      <c r="AQ608" t="s">
        <v>74</v>
      </c>
      <c r="AR608" t="s">
        <v>11124</v>
      </c>
      <c r="AS608" t="s">
        <v>11125</v>
      </c>
      <c r="AT608" t="s">
        <v>74</v>
      </c>
      <c r="AU608">
        <v>2022</v>
      </c>
      <c r="AV608">
        <v>94</v>
      </c>
      <c r="AW608" t="s">
        <v>74</v>
      </c>
      <c r="AX608" t="s">
        <v>74</v>
      </c>
      <c r="AY608">
        <v>1</v>
      </c>
      <c r="AZ608" t="s">
        <v>74</v>
      </c>
      <c r="BA608" t="s">
        <v>74</v>
      </c>
      <c r="BB608" t="s">
        <v>74</v>
      </c>
      <c r="BC608" t="s">
        <v>74</v>
      </c>
      <c r="BD608" t="s">
        <v>11676</v>
      </c>
      <c r="BE608" t="s">
        <v>11677</v>
      </c>
      <c r="BF608" t="str">
        <f>HYPERLINK("http://dx.doi.org/10.1590/0001-3765202220210810","http://dx.doi.org/10.1590/0001-3765202220210810")</f>
        <v>http://dx.doi.org/10.1590/0001-3765202220210810</v>
      </c>
      <c r="BG608" t="s">
        <v>74</v>
      </c>
      <c r="BH608" t="s">
        <v>74</v>
      </c>
      <c r="BI608">
        <v>15</v>
      </c>
      <c r="BJ608" t="s">
        <v>289</v>
      </c>
      <c r="BK608" t="s">
        <v>103</v>
      </c>
      <c r="BL608" t="s">
        <v>290</v>
      </c>
      <c r="BM608" t="s">
        <v>11678</v>
      </c>
      <c r="BN608">
        <v>35442299</v>
      </c>
      <c r="BO608" t="s">
        <v>445</v>
      </c>
      <c r="BP608" t="s">
        <v>74</v>
      </c>
      <c r="BQ608" t="s">
        <v>74</v>
      </c>
      <c r="BR608" t="s">
        <v>106</v>
      </c>
      <c r="BS608" t="s">
        <v>11679</v>
      </c>
      <c r="BT608" t="str">
        <f>HYPERLINK("https%3A%2F%2Fwww.webofscience.com%2Fwos%2Fwoscc%2Ffull-record%2FWOS:000798818400001","View Full Record in Web of Science")</f>
        <v>View Full Record in Web of Science</v>
      </c>
    </row>
    <row r="609" spans="1:72" x14ac:dyDescent="0.15">
      <c r="A609" t="s">
        <v>72</v>
      </c>
      <c r="B609" t="s">
        <v>11680</v>
      </c>
      <c r="C609" t="s">
        <v>74</v>
      </c>
      <c r="D609" t="s">
        <v>74</v>
      </c>
      <c r="E609" t="s">
        <v>74</v>
      </c>
      <c r="F609" t="s">
        <v>11681</v>
      </c>
      <c r="G609" t="s">
        <v>74</v>
      </c>
      <c r="H609" t="s">
        <v>74</v>
      </c>
      <c r="I609" t="s">
        <v>11682</v>
      </c>
      <c r="J609" t="s">
        <v>11113</v>
      </c>
      <c r="K609" t="s">
        <v>74</v>
      </c>
      <c r="L609" t="s">
        <v>74</v>
      </c>
      <c r="M609" t="s">
        <v>78</v>
      </c>
      <c r="N609" t="s">
        <v>79</v>
      </c>
      <c r="O609" t="s">
        <v>74</v>
      </c>
      <c r="P609" t="s">
        <v>74</v>
      </c>
      <c r="Q609" t="s">
        <v>74</v>
      </c>
      <c r="R609" t="s">
        <v>74</v>
      </c>
      <c r="S609" t="s">
        <v>74</v>
      </c>
      <c r="T609" t="s">
        <v>11683</v>
      </c>
      <c r="U609" t="s">
        <v>11684</v>
      </c>
      <c r="V609" t="s">
        <v>11685</v>
      </c>
      <c r="W609" t="s">
        <v>11686</v>
      </c>
      <c r="X609" t="s">
        <v>11687</v>
      </c>
      <c r="Y609" t="s">
        <v>11688</v>
      </c>
      <c r="Z609" t="s">
        <v>11689</v>
      </c>
      <c r="AA609" t="s">
        <v>11690</v>
      </c>
      <c r="AB609" t="s">
        <v>11691</v>
      </c>
      <c r="AC609" t="s">
        <v>11692</v>
      </c>
      <c r="AD609" t="s">
        <v>11693</v>
      </c>
      <c r="AE609" t="s">
        <v>11694</v>
      </c>
      <c r="AF609" t="s">
        <v>74</v>
      </c>
      <c r="AG609">
        <v>136</v>
      </c>
      <c r="AH609">
        <v>2</v>
      </c>
      <c r="AI609">
        <v>2</v>
      </c>
      <c r="AJ609">
        <v>1</v>
      </c>
      <c r="AK609">
        <v>11</v>
      </c>
      <c r="AL609" t="s">
        <v>11119</v>
      </c>
      <c r="AM609" t="s">
        <v>11120</v>
      </c>
      <c r="AN609" t="s">
        <v>11121</v>
      </c>
      <c r="AO609" t="s">
        <v>11122</v>
      </c>
      <c r="AP609" t="s">
        <v>11123</v>
      </c>
      <c r="AQ609" t="s">
        <v>74</v>
      </c>
      <c r="AR609" t="s">
        <v>11124</v>
      </c>
      <c r="AS609" t="s">
        <v>11125</v>
      </c>
      <c r="AT609" t="s">
        <v>74</v>
      </c>
      <c r="AU609">
        <v>2022</v>
      </c>
      <c r="AV609">
        <v>94</v>
      </c>
      <c r="AW609" t="s">
        <v>74</v>
      </c>
      <c r="AX609" t="s">
        <v>74</v>
      </c>
      <c r="AY609">
        <v>1</v>
      </c>
      <c r="AZ609" t="s">
        <v>74</v>
      </c>
      <c r="BA609" t="s">
        <v>74</v>
      </c>
      <c r="BB609" t="s">
        <v>74</v>
      </c>
      <c r="BC609" t="s">
        <v>74</v>
      </c>
      <c r="BD609" t="s">
        <v>11695</v>
      </c>
      <c r="BE609" t="s">
        <v>11696</v>
      </c>
      <c r="BF609" t="str">
        <f>HYPERLINK("http://dx.doi.org/10.1590/0001-3765202220210811","http://dx.doi.org/10.1590/0001-3765202220210811")</f>
        <v>http://dx.doi.org/10.1590/0001-3765202220210811</v>
      </c>
      <c r="BG609" t="s">
        <v>74</v>
      </c>
      <c r="BH609" t="s">
        <v>74</v>
      </c>
      <c r="BI609">
        <v>18</v>
      </c>
      <c r="BJ609" t="s">
        <v>289</v>
      </c>
      <c r="BK609" t="s">
        <v>103</v>
      </c>
      <c r="BL609" t="s">
        <v>290</v>
      </c>
      <c r="BM609" t="s">
        <v>11697</v>
      </c>
      <c r="BN609">
        <v>35442300</v>
      </c>
      <c r="BO609" t="s">
        <v>132</v>
      </c>
      <c r="BP609" t="s">
        <v>74</v>
      </c>
      <c r="BQ609" t="s">
        <v>74</v>
      </c>
      <c r="BR609" t="s">
        <v>106</v>
      </c>
      <c r="BS609" t="s">
        <v>11698</v>
      </c>
      <c r="BT609" t="str">
        <f>HYPERLINK("https%3A%2F%2Fwww.webofscience.com%2Fwos%2Fwoscc%2Ffull-record%2FWOS:000798818900001","View Full Record in Web of Science")</f>
        <v>View Full Record in Web of Science</v>
      </c>
    </row>
    <row r="610" spans="1:72" x14ac:dyDescent="0.15">
      <c r="A610" t="s">
        <v>72</v>
      </c>
      <c r="B610" t="s">
        <v>11699</v>
      </c>
      <c r="C610" t="s">
        <v>74</v>
      </c>
      <c r="D610" t="s">
        <v>74</v>
      </c>
      <c r="E610" t="s">
        <v>74</v>
      </c>
      <c r="F610" t="s">
        <v>11700</v>
      </c>
      <c r="G610" t="s">
        <v>74</v>
      </c>
      <c r="H610" t="s">
        <v>74</v>
      </c>
      <c r="I610" t="s">
        <v>11701</v>
      </c>
      <c r="J610" t="s">
        <v>11113</v>
      </c>
      <c r="K610" t="s">
        <v>74</v>
      </c>
      <c r="L610" t="s">
        <v>74</v>
      </c>
      <c r="M610" t="s">
        <v>78</v>
      </c>
      <c r="N610" t="s">
        <v>79</v>
      </c>
      <c r="O610" t="s">
        <v>74</v>
      </c>
      <c r="P610" t="s">
        <v>74</v>
      </c>
      <c r="Q610" t="s">
        <v>74</v>
      </c>
      <c r="R610" t="s">
        <v>74</v>
      </c>
      <c r="S610" t="s">
        <v>74</v>
      </c>
      <c r="T610" t="s">
        <v>11702</v>
      </c>
      <c r="U610" t="s">
        <v>11703</v>
      </c>
      <c r="V610" t="s">
        <v>11704</v>
      </c>
      <c r="W610" t="s">
        <v>11705</v>
      </c>
      <c r="X610" t="s">
        <v>11706</v>
      </c>
      <c r="Y610" t="s">
        <v>11707</v>
      </c>
      <c r="Z610" t="s">
        <v>11708</v>
      </c>
      <c r="AA610" t="s">
        <v>74</v>
      </c>
      <c r="AB610" t="s">
        <v>11709</v>
      </c>
      <c r="AC610" t="s">
        <v>11710</v>
      </c>
      <c r="AD610" t="s">
        <v>11711</v>
      </c>
      <c r="AE610" t="s">
        <v>11712</v>
      </c>
      <c r="AF610" t="s">
        <v>74</v>
      </c>
      <c r="AG610">
        <v>41</v>
      </c>
      <c r="AH610">
        <v>0</v>
      </c>
      <c r="AI610">
        <v>0</v>
      </c>
      <c r="AJ610">
        <v>0</v>
      </c>
      <c r="AK610">
        <v>4</v>
      </c>
      <c r="AL610" t="s">
        <v>11119</v>
      </c>
      <c r="AM610" t="s">
        <v>11120</v>
      </c>
      <c r="AN610" t="s">
        <v>11121</v>
      </c>
      <c r="AO610" t="s">
        <v>11122</v>
      </c>
      <c r="AP610" t="s">
        <v>11123</v>
      </c>
      <c r="AQ610" t="s">
        <v>74</v>
      </c>
      <c r="AR610" t="s">
        <v>11124</v>
      </c>
      <c r="AS610" t="s">
        <v>11125</v>
      </c>
      <c r="AT610" t="s">
        <v>74</v>
      </c>
      <c r="AU610">
        <v>2022</v>
      </c>
      <c r="AV610">
        <v>94</v>
      </c>
      <c r="AW610" t="s">
        <v>74</v>
      </c>
      <c r="AX610" t="s">
        <v>74</v>
      </c>
      <c r="AY610">
        <v>1</v>
      </c>
      <c r="AZ610" t="s">
        <v>74</v>
      </c>
      <c r="BA610" t="s">
        <v>74</v>
      </c>
      <c r="BB610" t="s">
        <v>74</v>
      </c>
      <c r="BC610" t="s">
        <v>74</v>
      </c>
      <c r="BD610" t="s">
        <v>11713</v>
      </c>
      <c r="BE610" t="s">
        <v>11714</v>
      </c>
      <c r="BF610" t="str">
        <f>HYPERLINK("http://dx.doi.org/10.1590/0001-3765202220210814","http://dx.doi.org/10.1590/0001-3765202220210814")</f>
        <v>http://dx.doi.org/10.1590/0001-3765202220210814</v>
      </c>
      <c r="BG610" t="s">
        <v>74</v>
      </c>
      <c r="BH610" t="s">
        <v>74</v>
      </c>
      <c r="BI610">
        <v>15</v>
      </c>
      <c r="BJ610" t="s">
        <v>289</v>
      </c>
      <c r="BK610" t="s">
        <v>103</v>
      </c>
      <c r="BL610" t="s">
        <v>290</v>
      </c>
      <c r="BM610" t="s">
        <v>11715</v>
      </c>
      <c r="BN610">
        <v>35442301</v>
      </c>
      <c r="BO610" t="s">
        <v>445</v>
      </c>
      <c r="BP610" t="s">
        <v>74</v>
      </c>
      <c r="BQ610" t="s">
        <v>74</v>
      </c>
      <c r="BR610" t="s">
        <v>106</v>
      </c>
      <c r="BS610" t="s">
        <v>11716</v>
      </c>
      <c r="BT610" t="str">
        <f>HYPERLINK("https%3A%2F%2Fwww.webofscience.com%2Fwos%2Fwoscc%2Ffull-record%2FWOS:000798819200001","View Full Record in Web of Science")</f>
        <v>View Full Record in Web of Science</v>
      </c>
    </row>
    <row r="611" spans="1:72" x14ac:dyDescent="0.15">
      <c r="A611" t="s">
        <v>72</v>
      </c>
      <c r="B611" t="s">
        <v>11717</v>
      </c>
      <c r="C611" t="s">
        <v>74</v>
      </c>
      <c r="D611" t="s">
        <v>74</v>
      </c>
      <c r="E611" t="s">
        <v>74</v>
      </c>
      <c r="F611" t="s">
        <v>11718</v>
      </c>
      <c r="G611" t="s">
        <v>74</v>
      </c>
      <c r="H611" t="s">
        <v>74</v>
      </c>
      <c r="I611" t="s">
        <v>11719</v>
      </c>
      <c r="J611" t="s">
        <v>11113</v>
      </c>
      <c r="K611" t="s">
        <v>74</v>
      </c>
      <c r="L611" t="s">
        <v>74</v>
      </c>
      <c r="M611" t="s">
        <v>78</v>
      </c>
      <c r="N611" t="s">
        <v>79</v>
      </c>
      <c r="O611" t="s">
        <v>74</v>
      </c>
      <c r="P611" t="s">
        <v>74</v>
      </c>
      <c r="Q611" t="s">
        <v>74</v>
      </c>
      <c r="R611" t="s">
        <v>74</v>
      </c>
      <c r="S611" t="s">
        <v>74</v>
      </c>
      <c r="T611" t="s">
        <v>11720</v>
      </c>
      <c r="U611" t="s">
        <v>11721</v>
      </c>
      <c r="V611" t="s">
        <v>11722</v>
      </c>
      <c r="W611" t="s">
        <v>11723</v>
      </c>
      <c r="X611" t="s">
        <v>11724</v>
      </c>
      <c r="Y611" t="s">
        <v>11725</v>
      </c>
      <c r="Z611" t="s">
        <v>11726</v>
      </c>
      <c r="AA611" t="s">
        <v>11727</v>
      </c>
      <c r="AB611" t="s">
        <v>11728</v>
      </c>
      <c r="AC611" t="s">
        <v>11729</v>
      </c>
      <c r="AD611" t="s">
        <v>11730</v>
      </c>
      <c r="AE611" t="s">
        <v>11731</v>
      </c>
      <c r="AF611" t="s">
        <v>74</v>
      </c>
      <c r="AG611">
        <v>62</v>
      </c>
      <c r="AH611">
        <v>1</v>
      </c>
      <c r="AI611">
        <v>1</v>
      </c>
      <c r="AJ611">
        <v>0</v>
      </c>
      <c r="AK611">
        <v>4</v>
      </c>
      <c r="AL611" t="s">
        <v>11119</v>
      </c>
      <c r="AM611" t="s">
        <v>11120</v>
      </c>
      <c r="AN611" t="s">
        <v>11121</v>
      </c>
      <c r="AO611" t="s">
        <v>11122</v>
      </c>
      <c r="AP611" t="s">
        <v>11123</v>
      </c>
      <c r="AQ611" t="s">
        <v>74</v>
      </c>
      <c r="AR611" t="s">
        <v>11124</v>
      </c>
      <c r="AS611" t="s">
        <v>11125</v>
      </c>
      <c r="AT611" t="s">
        <v>74</v>
      </c>
      <c r="AU611">
        <v>2022</v>
      </c>
      <c r="AV611">
        <v>94</v>
      </c>
      <c r="AW611" t="s">
        <v>74</v>
      </c>
      <c r="AX611" t="s">
        <v>74</v>
      </c>
      <c r="AY611">
        <v>1</v>
      </c>
      <c r="AZ611" t="s">
        <v>74</v>
      </c>
      <c r="BA611" t="s">
        <v>74</v>
      </c>
      <c r="BB611" t="s">
        <v>74</v>
      </c>
      <c r="BC611" t="s">
        <v>74</v>
      </c>
      <c r="BD611" t="s">
        <v>11732</v>
      </c>
      <c r="BE611" t="s">
        <v>11733</v>
      </c>
      <c r="BF611" t="str">
        <f>HYPERLINK("http://dx.doi.org/10.1590/0001-3765202220210800","http://dx.doi.org/10.1590/0001-3765202220210800")</f>
        <v>http://dx.doi.org/10.1590/0001-3765202220210800</v>
      </c>
      <c r="BG611" t="s">
        <v>74</v>
      </c>
      <c r="BH611" t="s">
        <v>74</v>
      </c>
      <c r="BI611">
        <v>17</v>
      </c>
      <c r="BJ611" t="s">
        <v>289</v>
      </c>
      <c r="BK611" t="s">
        <v>103</v>
      </c>
      <c r="BL611" t="s">
        <v>290</v>
      </c>
      <c r="BM611" t="s">
        <v>11734</v>
      </c>
      <c r="BN611">
        <v>35442298</v>
      </c>
      <c r="BO611" t="s">
        <v>154</v>
      </c>
      <c r="BP611" t="s">
        <v>74</v>
      </c>
      <c r="BQ611" t="s">
        <v>74</v>
      </c>
      <c r="BR611" t="s">
        <v>106</v>
      </c>
      <c r="BS611" t="s">
        <v>11735</v>
      </c>
      <c r="BT611" t="str">
        <f>HYPERLINK("https%3A%2F%2Fwww.webofscience.com%2Fwos%2Fwoscc%2Ffull-record%2FWOS:000798817300001","View Full Record in Web of Science")</f>
        <v>View Full Record in Web of Science</v>
      </c>
    </row>
    <row r="612" spans="1:72" x14ac:dyDescent="0.15">
      <c r="A612" t="s">
        <v>72</v>
      </c>
      <c r="B612" t="s">
        <v>11736</v>
      </c>
      <c r="C612" t="s">
        <v>74</v>
      </c>
      <c r="D612" t="s">
        <v>74</v>
      </c>
      <c r="E612" t="s">
        <v>74</v>
      </c>
      <c r="F612" t="s">
        <v>11737</v>
      </c>
      <c r="G612" t="s">
        <v>74</v>
      </c>
      <c r="H612" t="s">
        <v>74</v>
      </c>
      <c r="I612" t="s">
        <v>11738</v>
      </c>
      <c r="J612" t="s">
        <v>11113</v>
      </c>
      <c r="K612" t="s">
        <v>74</v>
      </c>
      <c r="L612" t="s">
        <v>74</v>
      </c>
      <c r="M612" t="s">
        <v>78</v>
      </c>
      <c r="N612" t="s">
        <v>79</v>
      </c>
      <c r="O612" t="s">
        <v>74</v>
      </c>
      <c r="P612" t="s">
        <v>74</v>
      </c>
      <c r="Q612" t="s">
        <v>74</v>
      </c>
      <c r="R612" t="s">
        <v>74</v>
      </c>
      <c r="S612" t="s">
        <v>74</v>
      </c>
      <c r="T612" t="s">
        <v>11739</v>
      </c>
      <c r="U612" t="s">
        <v>11740</v>
      </c>
      <c r="V612" t="s">
        <v>11741</v>
      </c>
      <c r="W612" t="s">
        <v>11742</v>
      </c>
      <c r="X612" t="s">
        <v>11743</v>
      </c>
      <c r="Y612" t="s">
        <v>11744</v>
      </c>
      <c r="Z612" t="s">
        <v>11745</v>
      </c>
      <c r="AA612" t="s">
        <v>11746</v>
      </c>
      <c r="AB612" t="s">
        <v>11747</v>
      </c>
      <c r="AC612" t="s">
        <v>11748</v>
      </c>
      <c r="AD612" t="s">
        <v>11749</v>
      </c>
      <c r="AE612" t="s">
        <v>11750</v>
      </c>
      <c r="AF612" t="s">
        <v>74</v>
      </c>
      <c r="AG612">
        <v>60</v>
      </c>
      <c r="AH612">
        <v>2</v>
      </c>
      <c r="AI612">
        <v>2</v>
      </c>
      <c r="AJ612">
        <v>0</v>
      </c>
      <c r="AK612">
        <v>4</v>
      </c>
      <c r="AL612" t="s">
        <v>11119</v>
      </c>
      <c r="AM612" t="s">
        <v>11120</v>
      </c>
      <c r="AN612" t="s">
        <v>11121</v>
      </c>
      <c r="AO612" t="s">
        <v>11122</v>
      </c>
      <c r="AP612" t="s">
        <v>11123</v>
      </c>
      <c r="AQ612" t="s">
        <v>74</v>
      </c>
      <c r="AR612" t="s">
        <v>11124</v>
      </c>
      <c r="AS612" t="s">
        <v>11125</v>
      </c>
      <c r="AT612" t="s">
        <v>74</v>
      </c>
      <c r="AU612">
        <v>2022</v>
      </c>
      <c r="AV612">
        <v>94</v>
      </c>
      <c r="AW612" t="s">
        <v>74</v>
      </c>
      <c r="AX612" t="s">
        <v>74</v>
      </c>
      <c r="AY612">
        <v>1</v>
      </c>
      <c r="AZ612" t="s">
        <v>74</v>
      </c>
      <c r="BA612" t="s">
        <v>74</v>
      </c>
      <c r="BB612" t="s">
        <v>74</v>
      </c>
      <c r="BC612" t="s">
        <v>74</v>
      </c>
      <c r="BD612">
        <v>920210803</v>
      </c>
      <c r="BE612" t="s">
        <v>11751</v>
      </c>
      <c r="BF612" t="str">
        <f>HYPERLINK("http://dx.doi.org/10.1590/0001-3765202220210803","http://dx.doi.org/10.1590/0001-3765202220210803")</f>
        <v>http://dx.doi.org/10.1590/0001-3765202220210803</v>
      </c>
      <c r="BG612" t="s">
        <v>74</v>
      </c>
      <c r="BH612" t="s">
        <v>74</v>
      </c>
      <c r="BI612">
        <v>20</v>
      </c>
      <c r="BJ612" t="s">
        <v>289</v>
      </c>
      <c r="BK612" t="s">
        <v>103</v>
      </c>
      <c r="BL612" t="s">
        <v>290</v>
      </c>
      <c r="BM612" t="s">
        <v>11752</v>
      </c>
      <c r="BN612">
        <v>35416856</v>
      </c>
      <c r="BO612" t="s">
        <v>132</v>
      </c>
      <c r="BP612" t="s">
        <v>74</v>
      </c>
      <c r="BQ612" t="s">
        <v>74</v>
      </c>
      <c r="BR612" t="s">
        <v>106</v>
      </c>
      <c r="BS612" t="s">
        <v>11753</v>
      </c>
      <c r="BT612" t="str">
        <f>HYPERLINK("https%3A%2F%2Fwww.webofscience.com%2Fwos%2Fwoscc%2Ffull-record%2FWOS:000798817900001","View Full Record in Web of Science")</f>
        <v>View Full Record in Web of Science</v>
      </c>
    </row>
    <row r="613" spans="1:72" x14ac:dyDescent="0.15">
      <c r="A613" t="s">
        <v>72</v>
      </c>
      <c r="B613" t="s">
        <v>11754</v>
      </c>
      <c r="C613" t="s">
        <v>74</v>
      </c>
      <c r="D613" t="s">
        <v>74</v>
      </c>
      <c r="E613" t="s">
        <v>74</v>
      </c>
      <c r="F613" t="s">
        <v>11755</v>
      </c>
      <c r="G613" t="s">
        <v>74</v>
      </c>
      <c r="H613" t="s">
        <v>74</v>
      </c>
      <c r="I613" t="s">
        <v>11756</v>
      </c>
      <c r="J613" t="s">
        <v>9196</v>
      </c>
      <c r="K613" t="s">
        <v>74</v>
      </c>
      <c r="L613" t="s">
        <v>74</v>
      </c>
      <c r="M613" t="s">
        <v>78</v>
      </c>
      <c r="N613" t="s">
        <v>79</v>
      </c>
      <c r="O613" t="s">
        <v>74</v>
      </c>
      <c r="P613" t="s">
        <v>74</v>
      </c>
      <c r="Q613" t="s">
        <v>74</v>
      </c>
      <c r="R613" t="s">
        <v>74</v>
      </c>
      <c r="S613" t="s">
        <v>74</v>
      </c>
      <c r="T613" t="s">
        <v>11757</v>
      </c>
      <c r="U613" t="s">
        <v>11758</v>
      </c>
      <c r="V613" t="s">
        <v>11759</v>
      </c>
      <c r="W613" t="s">
        <v>11760</v>
      </c>
      <c r="X613" t="s">
        <v>11761</v>
      </c>
      <c r="Y613" t="s">
        <v>11762</v>
      </c>
      <c r="Z613" t="s">
        <v>11763</v>
      </c>
      <c r="AA613" t="s">
        <v>11764</v>
      </c>
      <c r="AB613" t="s">
        <v>11765</v>
      </c>
      <c r="AC613" t="s">
        <v>11766</v>
      </c>
      <c r="AD613" t="s">
        <v>11767</v>
      </c>
      <c r="AE613" t="s">
        <v>11768</v>
      </c>
      <c r="AF613" t="s">
        <v>74</v>
      </c>
      <c r="AG613">
        <v>39</v>
      </c>
      <c r="AH613">
        <v>10</v>
      </c>
      <c r="AI613">
        <v>10</v>
      </c>
      <c r="AJ613">
        <v>6</v>
      </c>
      <c r="AK613">
        <v>31</v>
      </c>
      <c r="AL613" t="s">
        <v>1667</v>
      </c>
      <c r="AM613" t="s">
        <v>1668</v>
      </c>
      <c r="AN613" t="s">
        <v>1669</v>
      </c>
      <c r="AO613" t="s">
        <v>9209</v>
      </c>
      <c r="AP613" t="s">
        <v>9210</v>
      </c>
      <c r="AQ613" t="s">
        <v>74</v>
      </c>
      <c r="AR613" t="s">
        <v>9211</v>
      </c>
      <c r="AS613" t="s">
        <v>9212</v>
      </c>
      <c r="AT613" t="s">
        <v>74</v>
      </c>
      <c r="AU613">
        <v>2022</v>
      </c>
      <c r="AV613">
        <v>60</v>
      </c>
      <c r="AW613" t="s">
        <v>74</v>
      </c>
      <c r="AX613" t="s">
        <v>74</v>
      </c>
      <c r="AY613" t="s">
        <v>74</v>
      </c>
      <c r="AZ613" t="s">
        <v>74</v>
      </c>
      <c r="BA613" t="s">
        <v>74</v>
      </c>
      <c r="BB613" t="s">
        <v>74</v>
      </c>
      <c r="BC613" t="s">
        <v>74</v>
      </c>
      <c r="BD613">
        <v>4304714</v>
      </c>
      <c r="BE613" t="s">
        <v>11769</v>
      </c>
      <c r="BF613" t="str">
        <f>HYPERLINK("http://dx.doi.org/10.1109/TGRS.2022.3169892","http://dx.doi.org/10.1109/TGRS.2022.3169892")</f>
        <v>http://dx.doi.org/10.1109/TGRS.2022.3169892</v>
      </c>
      <c r="BG613" t="s">
        <v>74</v>
      </c>
      <c r="BH613" t="s">
        <v>74</v>
      </c>
      <c r="BI613">
        <v>14</v>
      </c>
      <c r="BJ613" t="s">
        <v>9214</v>
      </c>
      <c r="BK613" t="s">
        <v>103</v>
      </c>
      <c r="BL613" t="s">
        <v>9215</v>
      </c>
      <c r="BM613" t="s">
        <v>11770</v>
      </c>
      <c r="BN613" t="s">
        <v>74</v>
      </c>
      <c r="BO613" t="s">
        <v>74</v>
      </c>
      <c r="BP613" t="s">
        <v>74</v>
      </c>
      <c r="BQ613" t="s">
        <v>74</v>
      </c>
      <c r="BR613" t="s">
        <v>106</v>
      </c>
      <c r="BS613" t="s">
        <v>11771</v>
      </c>
      <c r="BT613" t="str">
        <f>HYPERLINK("https%3A%2F%2Fwww.webofscience.com%2Fwos%2Fwoscc%2Ffull-record%2FWOS:000797510100005","View Full Record in Web of Science")</f>
        <v>View Full Record in Web of Science</v>
      </c>
    </row>
    <row r="614" spans="1:72" x14ac:dyDescent="0.15">
      <c r="A614" t="s">
        <v>72</v>
      </c>
      <c r="B614" t="s">
        <v>11772</v>
      </c>
      <c r="C614" t="s">
        <v>74</v>
      </c>
      <c r="D614" t="s">
        <v>74</v>
      </c>
      <c r="E614" t="s">
        <v>74</v>
      </c>
      <c r="F614" t="s">
        <v>11773</v>
      </c>
      <c r="G614" t="s">
        <v>74</v>
      </c>
      <c r="H614" t="s">
        <v>74</v>
      </c>
      <c r="I614" t="s">
        <v>11774</v>
      </c>
      <c r="J614" t="s">
        <v>11113</v>
      </c>
      <c r="K614" t="s">
        <v>74</v>
      </c>
      <c r="L614" t="s">
        <v>74</v>
      </c>
      <c r="M614" t="s">
        <v>78</v>
      </c>
      <c r="N614" t="s">
        <v>79</v>
      </c>
      <c r="O614" t="s">
        <v>74</v>
      </c>
      <c r="P614" t="s">
        <v>74</v>
      </c>
      <c r="Q614" t="s">
        <v>74</v>
      </c>
      <c r="R614" t="s">
        <v>74</v>
      </c>
      <c r="S614" t="s">
        <v>74</v>
      </c>
      <c r="T614" t="s">
        <v>11775</v>
      </c>
      <c r="U614" t="s">
        <v>11776</v>
      </c>
      <c r="V614" t="s">
        <v>11777</v>
      </c>
      <c r="W614" t="s">
        <v>11778</v>
      </c>
      <c r="X614" t="s">
        <v>11779</v>
      </c>
      <c r="Y614" t="s">
        <v>11780</v>
      </c>
      <c r="Z614" t="s">
        <v>11781</v>
      </c>
      <c r="AA614" t="s">
        <v>11782</v>
      </c>
      <c r="AB614" t="s">
        <v>11783</v>
      </c>
      <c r="AC614" t="s">
        <v>11784</v>
      </c>
      <c r="AD614" t="s">
        <v>11785</v>
      </c>
      <c r="AE614" t="s">
        <v>11786</v>
      </c>
      <c r="AF614" t="s">
        <v>74</v>
      </c>
      <c r="AG614">
        <v>62</v>
      </c>
      <c r="AH614">
        <v>1</v>
      </c>
      <c r="AI614">
        <v>1</v>
      </c>
      <c r="AJ614">
        <v>0</v>
      </c>
      <c r="AK614">
        <v>2</v>
      </c>
      <c r="AL614" t="s">
        <v>11119</v>
      </c>
      <c r="AM614" t="s">
        <v>11120</v>
      </c>
      <c r="AN614" t="s">
        <v>11121</v>
      </c>
      <c r="AO614" t="s">
        <v>11122</v>
      </c>
      <c r="AP614" t="s">
        <v>11123</v>
      </c>
      <c r="AQ614" t="s">
        <v>74</v>
      </c>
      <c r="AR614" t="s">
        <v>11124</v>
      </c>
      <c r="AS614" t="s">
        <v>11125</v>
      </c>
      <c r="AT614" t="s">
        <v>74</v>
      </c>
      <c r="AU614">
        <v>2022</v>
      </c>
      <c r="AV614">
        <v>94</v>
      </c>
      <c r="AW614" t="s">
        <v>74</v>
      </c>
      <c r="AX614" t="s">
        <v>74</v>
      </c>
      <c r="AY614">
        <v>1</v>
      </c>
      <c r="AZ614" t="s">
        <v>74</v>
      </c>
      <c r="BA614" t="s">
        <v>74</v>
      </c>
      <c r="BB614" t="s">
        <v>74</v>
      </c>
      <c r="BC614" t="s">
        <v>74</v>
      </c>
      <c r="BD614" t="s">
        <v>11787</v>
      </c>
      <c r="BE614" t="s">
        <v>11788</v>
      </c>
      <c r="BF614" t="str">
        <f>HYPERLINK("http://dx.doi.org/10.1590/0001-3765202220210592","http://dx.doi.org/10.1590/0001-3765202220210592")</f>
        <v>http://dx.doi.org/10.1590/0001-3765202220210592</v>
      </c>
      <c r="BG614" t="s">
        <v>74</v>
      </c>
      <c r="BH614" t="s">
        <v>74</v>
      </c>
      <c r="BI614">
        <v>15</v>
      </c>
      <c r="BJ614" t="s">
        <v>289</v>
      </c>
      <c r="BK614" t="s">
        <v>103</v>
      </c>
      <c r="BL614" t="s">
        <v>290</v>
      </c>
      <c r="BM614" t="s">
        <v>11789</v>
      </c>
      <c r="BN614">
        <v>35384975</v>
      </c>
      <c r="BO614" t="s">
        <v>445</v>
      </c>
      <c r="BP614" t="s">
        <v>74</v>
      </c>
      <c r="BQ614" t="s">
        <v>74</v>
      </c>
      <c r="BR614" t="s">
        <v>106</v>
      </c>
      <c r="BS614" t="s">
        <v>11790</v>
      </c>
      <c r="BT614" t="str">
        <f>HYPERLINK("https%3A%2F%2Fwww.webofscience.com%2Fwos%2Fwoscc%2Ffull-record%2FWOS:000797794600001","View Full Record in Web of Science")</f>
        <v>View Full Record in Web of Science</v>
      </c>
    </row>
    <row r="615" spans="1:72" x14ac:dyDescent="0.15">
      <c r="A615" t="s">
        <v>72</v>
      </c>
      <c r="B615" t="s">
        <v>11791</v>
      </c>
      <c r="C615" t="s">
        <v>74</v>
      </c>
      <c r="D615" t="s">
        <v>74</v>
      </c>
      <c r="E615" t="s">
        <v>74</v>
      </c>
      <c r="F615" t="s">
        <v>11792</v>
      </c>
      <c r="G615" t="s">
        <v>74</v>
      </c>
      <c r="H615" t="s">
        <v>74</v>
      </c>
      <c r="I615" t="s">
        <v>11793</v>
      </c>
      <c r="J615" t="s">
        <v>11113</v>
      </c>
      <c r="K615" t="s">
        <v>74</v>
      </c>
      <c r="L615" t="s">
        <v>74</v>
      </c>
      <c r="M615" t="s">
        <v>78</v>
      </c>
      <c r="N615" t="s">
        <v>1113</v>
      </c>
      <c r="O615" t="s">
        <v>74</v>
      </c>
      <c r="P615" t="s">
        <v>74</v>
      </c>
      <c r="Q615" t="s">
        <v>74</v>
      </c>
      <c r="R615" t="s">
        <v>74</v>
      </c>
      <c r="S615" t="s">
        <v>74</v>
      </c>
      <c r="T615" t="s">
        <v>11794</v>
      </c>
      <c r="U615" t="s">
        <v>11795</v>
      </c>
      <c r="V615" t="s">
        <v>11796</v>
      </c>
      <c r="W615" t="s">
        <v>11797</v>
      </c>
      <c r="X615" t="s">
        <v>11798</v>
      </c>
      <c r="Y615" t="s">
        <v>11799</v>
      </c>
      <c r="Z615" t="s">
        <v>11800</v>
      </c>
      <c r="AA615" t="s">
        <v>11801</v>
      </c>
      <c r="AB615" t="s">
        <v>11802</v>
      </c>
      <c r="AC615" t="s">
        <v>11803</v>
      </c>
      <c r="AD615" t="s">
        <v>11804</v>
      </c>
      <c r="AE615" t="s">
        <v>11805</v>
      </c>
      <c r="AF615" t="s">
        <v>74</v>
      </c>
      <c r="AG615">
        <v>95</v>
      </c>
      <c r="AH615">
        <v>3</v>
      </c>
      <c r="AI615">
        <v>3</v>
      </c>
      <c r="AJ615">
        <v>3</v>
      </c>
      <c r="AK615">
        <v>10</v>
      </c>
      <c r="AL615" t="s">
        <v>11119</v>
      </c>
      <c r="AM615" t="s">
        <v>11120</v>
      </c>
      <c r="AN615" t="s">
        <v>11121</v>
      </c>
      <c r="AO615" t="s">
        <v>11122</v>
      </c>
      <c r="AP615" t="s">
        <v>11123</v>
      </c>
      <c r="AQ615" t="s">
        <v>74</v>
      </c>
      <c r="AR615" t="s">
        <v>11124</v>
      </c>
      <c r="AS615" t="s">
        <v>11125</v>
      </c>
      <c r="AT615" t="s">
        <v>74</v>
      </c>
      <c r="AU615">
        <v>2022</v>
      </c>
      <c r="AV615">
        <v>94</v>
      </c>
      <c r="AW615" t="s">
        <v>74</v>
      </c>
      <c r="AX615" t="s">
        <v>74</v>
      </c>
      <c r="AY615">
        <v>1</v>
      </c>
      <c r="AZ615" t="s">
        <v>74</v>
      </c>
      <c r="BA615" t="s">
        <v>74</v>
      </c>
      <c r="BB615" t="s">
        <v>74</v>
      </c>
      <c r="BC615" t="s">
        <v>74</v>
      </c>
      <c r="BD615">
        <v>920210840</v>
      </c>
      <c r="BE615" t="s">
        <v>11806</v>
      </c>
      <c r="BF615" t="str">
        <f>HYPERLINK("http://dx.doi.org/10.1590/0001-3765202220210840","http://dx.doi.org/10.1590/0001-3765202220210840")</f>
        <v>http://dx.doi.org/10.1590/0001-3765202220210840</v>
      </c>
      <c r="BG615" t="s">
        <v>74</v>
      </c>
      <c r="BH615" t="s">
        <v>74</v>
      </c>
      <c r="BI615">
        <v>21</v>
      </c>
      <c r="BJ615" t="s">
        <v>289</v>
      </c>
      <c r="BK615" t="s">
        <v>103</v>
      </c>
      <c r="BL615" t="s">
        <v>290</v>
      </c>
      <c r="BM615" t="s">
        <v>11807</v>
      </c>
      <c r="BN615">
        <v>35384978</v>
      </c>
      <c r="BO615" t="s">
        <v>445</v>
      </c>
      <c r="BP615" t="s">
        <v>74</v>
      </c>
      <c r="BQ615" t="s">
        <v>74</v>
      </c>
      <c r="BR615" t="s">
        <v>106</v>
      </c>
      <c r="BS615" t="s">
        <v>11808</v>
      </c>
      <c r="BT615" t="str">
        <f>HYPERLINK("https%3A%2F%2Fwww.webofscience.com%2Fwos%2Fwoscc%2Ffull-record%2FWOS:000797795800001","View Full Record in Web of Science")</f>
        <v>View Full Record in Web of Science</v>
      </c>
    </row>
    <row r="616" spans="1:72" x14ac:dyDescent="0.15">
      <c r="A616" t="s">
        <v>72</v>
      </c>
      <c r="B616" t="s">
        <v>11809</v>
      </c>
      <c r="C616" t="s">
        <v>74</v>
      </c>
      <c r="D616" t="s">
        <v>74</v>
      </c>
      <c r="E616" t="s">
        <v>74</v>
      </c>
      <c r="F616" t="s">
        <v>11810</v>
      </c>
      <c r="G616" t="s">
        <v>74</v>
      </c>
      <c r="H616" t="s">
        <v>74</v>
      </c>
      <c r="I616" t="s">
        <v>11811</v>
      </c>
      <c r="J616" t="s">
        <v>11113</v>
      </c>
      <c r="K616" t="s">
        <v>74</v>
      </c>
      <c r="L616" t="s">
        <v>74</v>
      </c>
      <c r="M616" t="s">
        <v>78</v>
      </c>
      <c r="N616" t="s">
        <v>79</v>
      </c>
      <c r="O616" t="s">
        <v>74</v>
      </c>
      <c r="P616" t="s">
        <v>74</v>
      </c>
      <c r="Q616" t="s">
        <v>74</v>
      </c>
      <c r="R616" t="s">
        <v>74</v>
      </c>
      <c r="S616" t="s">
        <v>74</v>
      </c>
      <c r="T616" t="s">
        <v>11812</v>
      </c>
      <c r="U616" t="s">
        <v>11813</v>
      </c>
      <c r="V616" t="s">
        <v>11814</v>
      </c>
      <c r="W616" t="s">
        <v>11815</v>
      </c>
      <c r="X616" t="s">
        <v>11816</v>
      </c>
      <c r="Y616" t="s">
        <v>11817</v>
      </c>
      <c r="Z616" t="s">
        <v>11818</v>
      </c>
      <c r="AA616" t="s">
        <v>74</v>
      </c>
      <c r="AB616" t="s">
        <v>11819</v>
      </c>
      <c r="AC616" t="s">
        <v>11820</v>
      </c>
      <c r="AD616" t="s">
        <v>11821</v>
      </c>
      <c r="AE616" t="s">
        <v>11822</v>
      </c>
      <c r="AF616" t="s">
        <v>74</v>
      </c>
      <c r="AG616">
        <v>33</v>
      </c>
      <c r="AH616">
        <v>1</v>
      </c>
      <c r="AI616">
        <v>1</v>
      </c>
      <c r="AJ616">
        <v>2</v>
      </c>
      <c r="AK616">
        <v>5</v>
      </c>
      <c r="AL616" t="s">
        <v>11119</v>
      </c>
      <c r="AM616" t="s">
        <v>11120</v>
      </c>
      <c r="AN616" t="s">
        <v>11121</v>
      </c>
      <c r="AO616" t="s">
        <v>11122</v>
      </c>
      <c r="AP616" t="s">
        <v>11123</v>
      </c>
      <c r="AQ616" t="s">
        <v>74</v>
      </c>
      <c r="AR616" t="s">
        <v>11124</v>
      </c>
      <c r="AS616" t="s">
        <v>11125</v>
      </c>
      <c r="AT616" t="s">
        <v>74</v>
      </c>
      <c r="AU616">
        <v>2022</v>
      </c>
      <c r="AV616">
        <v>94</v>
      </c>
      <c r="AW616" t="s">
        <v>74</v>
      </c>
      <c r="AX616" t="s">
        <v>74</v>
      </c>
      <c r="AY616">
        <v>1</v>
      </c>
      <c r="AZ616" t="s">
        <v>74</v>
      </c>
      <c r="BA616" t="s">
        <v>74</v>
      </c>
      <c r="BB616" t="s">
        <v>74</v>
      </c>
      <c r="BC616" t="s">
        <v>74</v>
      </c>
      <c r="BD616" t="s">
        <v>11823</v>
      </c>
      <c r="BE616" t="s">
        <v>11824</v>
      </c>
      <c r="BF616" t="str">
        <f>HYPERLINK("http://dx.doi.org/10.1590/0001-3765202220210566","http://dx.doi.org/10.1590/0001-3765202220210566")</f>
        <v>http://dx.doi.org/10.1590/0001-3765202220210566</v>
      </c>
      <c r="BG616" t="s">
        <v>74</v>
      </c>
      <c r="BH616" t="s">
        <v>74</v>
      </c>
      <c r="BI616">
        <v>10</v>
      </c>
      <c r="BJ616" t="s">
        <v>289</v>
      </c>
      <c r="BK616" t="s">
        <v>103</v>
      </c>
      <c r="BL616" t="s">
        <v>290</v>
      </c>
      <c r="BM616" t="s">
        <v>11825</v>
      </c>
      <c r="BN616">
        <v>35384974</v>
      </c>
      <c r="BO616" t="s">
        <v>211</v>
      </c>
      <c r="BP616" t="s">
        <v>74</v>
      </c>
      <c r="BQ616" t="s">
        <v>74</v>
      </c>
      <c r="BR616" t="s">
        <v>106</v>
      </c>
      <c r="BS616" t="s">
        <v>11826</v>
      </c>
      <c r="BT616" t="str">
        <f>HYPERLINK("https%3A%2F%2Fwww.webofscience.com%2Fwos%2Fwoscc%2Ffull-record%2FWOS:000797793400001","View Full Record in Web of Science")</f>
        <v>View Full Record in Web of Science</v>
      </c>
    </row>
    <row r="617" spans="1:72" x14ac:dyDescent="0.15">
      <c r="A617" t="s">
        <v>72</v>
      </c>
      <c r="B617" t="s">
        <v>11827</v>
      </c>
      <c r="C617" t="s">
        <v>74</v>
      </c>
      <c r="D617" t="s">
        <v>74</v>
      </c>
      <c r="E617" t="s">
        <v>74</v>
      </c>
      <c r="F617" t="s">
        <v>11828</v>
      </c>
      <c r="G617" t="s">
        <v>74</v>
      </c>
      <c r="H617" t="s">
        <v>74</v>
      </c>
      <c r="I617" t="s">
        <v>11829</v>
      </c>
      <c r="J617" t="s">
        <v>11113</v>
      </c>
      <c r="K617" t="s">
        <v>74</v>
      </c>
      <c r="L617" t="s">
        <v>74</v>
      </c>
      <c r="M617" t="s">
        <v>78</v>
      </c>
      <c r="N617" t="s">
        <v>79</v>
      </c>
      <c r="O617" t="s">
        <v>74</v>
      </c>
      <c r="P617" t="s">
        <v>74</v>
      </c>
      <c r="Q617" t="s">
        <v>74</v>
      </c>
      <c r="R617" t="s">
        <v>74</v>
      </c>
      <c r="S617" t="s">
        <v>74</v>
      </c>
      <c r="T617" t="s">
        <v>11830</v>
      </c>
      <c r="U617" t="s">
        <v>11831</v>
      </c>
      <c r="V617" t="s">
        <v>11832</v>
      </c>
      <c r="W617" t="s">
        <v>11833</v>
      </c>
      <c r="X617" t="s">
        <v>11834</v>
      </c>
      <c r="Y617" t="s">
        <v>11835</v>
      </c>
      <c r="Z617" t="s">
        <v>11836</v>
      </c>
      <c r="AA617" t="s">
        <v>11837</v>
      </c>
      <c r="AB617" t="s">
        <v>11838</v>
      </c>
      <c r="AC617" t="s">
        <v>11839</v>
      </c>
      <c r="AD617" t="s">
        <v>11840</v>
      </c>
      <c r="AE617" t="s">
        <v>11841</v>
      </c>
      <c r="AF617" t="s">
        <v>74</v>
      </c>
      <c r="AG617">
        <v>63</v>
      </c>
      <c r="AH617">
        <v>1</v>
      </c>
      <c r="AI617">
        <v>1</v>
      </c>
      <c r="AJ617">
        <v>3</v>
      </c>
      <c r="AK617">
        <v>24</v>
      </c>
      <c r="AL617" t="s">
        <v>11119</v>
      </c>
      <c r="AM617" t="s">
        <v>11120</v>
      </c>
      <c r="AN617" t="s">
        <v>11121</v>
      </c>
      <c r="AO617" t="s">
        <v>11122</v>
      </c>
      <c r="AP617" t="s">
        <v>11123</v>
      </c>
      <c r="AQ617" t="s">
        <v>74</v>
      </c>
      <c r="AR617" t="s">
        <v>11124</v>
      </c>
      <c r="AS617" t="s">
        <v>11125</v>
      </c>
      <c r="AT617" t="s">
        <v>74</v>
      </c>
      <c r="AU617">
        <v>2022</v>
      </c>
      <c r="AV617">
        <v>94</v>
      </c>
      <c r="AW617" t="s">
        <v>74</v>
      </c>
      <c r="AX617" t="s">
        <v>74</v>
      </c>
      <c r="AY617">
        <v>1</v>
      </c>
      <c r="AZ617" t="s">
        <v>74</v>
      </c>
      <c r="BA617" t="s">
        <v>74</v>
      </c>
      <c r="BB617" t="s">
        <v>74</v>
      </c>
      <c r="BC617" t="s">
        <v>74</v>
      </c>
      <c r="BD617" t="s">
        <v>11842</v>
      </c>
      <c r="BE617" t="s">
        <v>11843</v>
      </c>
      <c r="BF617" t="str">
        <f>HYPERLINK("http://dx.doi.org/10.1590/0001-3765202220210596","http://dx.doi.org/10.1590/0001-3765202220210596")</f>
        <v>http://dx.doi.org/10.1590/0001-3765202220210596</v>
      </c>
      <c r="BG617" t="s">
        <v>74</v>
      </c>
      <c r="BH617" t="s">
        <v>74</v>
      </c>
      <c r="BI617">
        <v>14</v>
      </c>
      <c r="BJ617" t="s">
        <v>289</v>
      </c>
      <c r="BK617" t="s">
        <v>103</v>
      </c>
      <c r="BL617" t="s">
        <v>290</v>
      </c>
      <c r="BM617" t="s">
        <v>11844</v>
      </c>
      <c r="BN617">
        <v>35544838</v>
      </c>
      <c r="BO617" t="s">
        <v>445</v>
      </c>
      <c r="BP617" t="s">
        <v>74</v>
      </c>
      <c r="BQ617" t="s">
        <v>74</v>
      </c>
      <c r="BR617" t="s">
        <v>106</v>
      </c>
      <c r="BS617" t="s">
        <v>11845</v>
      </c>
      <c r="BT617" t="str">
        <f>HYPERLINK("https%3A%2F%2Fwww.webofscience.com%2Fwos%2Fwoscc%2Ffull-record%2FWOS:000796830700001","View Full Record in Web of Science")</f>
        <v>View Full Record in Web of Science</v>
      </c>
    </row>
    <row r="618" spans="1:72" x14ac:dyDescent="0.15">
      <c r="A618" t="s">
        <v>72</v>
      </c>
      <c r="B618" t="s">
        <v>11846</v>
      </c>
      <c r="C618" t="s">
        <v>74</v>
      </c>
      <c r="D618" t="s">
        <v>74</v>
      </c>
      <c r="E618" t="s">
        <v>74</v>
      </c>
      <c r="F618" t="s">
        <v>11847</v>
      </c>
      <c r="G618" t="s">
        <v>74</v>
      </c>
      <c r="H618" t="s">
        <v>74</v>
      </c>
      <c r="I618" t="s">
        <v>11848</v>
      </c>
      <c r="J618" t="s">
        <v>11113</v>
      </c>
      <c r="K618" t="s">
        <v>74</v>
      </c>
      <c r="L618" t="s">
        <v>74</v>
      </c>
      <c r="M618" t="s">
        <v>78</v>
      </c>
      <c r="N618" t="s">
        <v>79</v>
      </c>
      <c r="O618" t="s">
        <v>74</v>
      </c>
      <c r="P618" t="s">
        <v>74</v>
      </c>
      <c r="Q618" t="s">
        <v>74</v>
      </c>
      <c r="R618" t="s">
        <v>74</v>
      </c>
      <c r="S618" t="s">
        <v>74</v>
      </c>
      <c r="T618" t="s">
        <v>11849</v>
      </c>
      <c r="U618" t="s">
        <v>11850</v>
      </c>
      <c r="V618" t="s">
        <v>11851</v>
      </c>
      <c r="W618" t="s">
        <v>11852</v>
      </c>
      <c r="X618" t="s">
        <v>11370</v>
      </c>
      <c r="Y618" t="s">
        <v>11853</v>
      </c>
      <c r="Z618" t="s">
        <v>11372</v>
      </c>
      <c r="AA618" t="s">
        <v>11854</v>
      </c>
      <c r="AB618" t="s">
        <v>11855</v>
      </c>
      <c r="AC618" t="s">
        <v>11856</v>
      </c>
      <c r="AD618" t="s">
        <v>11857</v>
      </c>
      <c r="AE618" t="s">
        <v>11858</v>
      </c>
      <c r="AF618" t="s">
        <v>74</v>
      </c>
      <c r="AG618">
        <v>60</v>
      </c>
      <c r="AH618">
        <v>4</v>
      </c>
      <c r="AI618">
        <v>4</v>
      </c>
      <c r="AJ618">
        <v>0</v>
      </c>
      <c r="AK618">
        <v>3</v>
      </c>
      <c r="AL618" t="s">
        <v>11119</v>
      </c>
      <c r="AM618" t="s">
        <v>11120</v>
      </c>
      <c r="AN618" t="s">
        <v>11121</v>
      </c>
      <c r="AO618" t="s">
        <v>11122</v>
      </c>
      <c r="AP618" t="s">
        <v>11123</v>
      </c>
      <c r="AQ618" t="s">
        <v>74</v>
      </c>
      <c r="AR618" t="s">
        <v>11124</v>
      </c>
      <c r="AS618" t="s">
        <v>11125</v>
      </c>
      <c r="AT618" t="s">
        <v>74</v>
      </c>
      <c r="AU618">
        <v>2022</v>
      </c>
      <c r="AV618">
        <v>94</v>
      </c>
      <c r="AW618" t="s">
        <v>74</v>
      </c>
      <c r="AX618" t="s">
        <v>74</v>
      </c>
      <c r="AY618">
        <v>1</v>
      </c>
      <c r="AZ618" t="s">
        <v>74</v>
      </c>
      <c r="BA618" t="s">
        <v>74</v>
      </c>
      <c r="BB618" t="s">
        <v>74</v>
      </c>
      <c r="BC618" t="s">
        <v>74</v>
      </c>
      <c r="BD618" t="s">
        <v>11859</v>
      </c>
      <c r="BE618" t="s">
        <v>11860</v>
      </c>
      <c r="BF618" t="str">
        <f>HYPERLINK("http://dx.doi.org/10.1590/0001-3765202220210795","http://dx.doi.org/10.1590/0001-3765202220210795")</f>
        <v>http://dx.doi.org/10.1590/0001-3765202220210795</v>
      </c>
      <c r="BG618" t="s">
        <v>74</v>
      </c>
      <c r="BH618" t="s">
        <v>74</v>
      </c>
      <c r="BI618">
        <v>15</v>
      </c>
      <c r="BJ618" t="s">
        <v>289</v>
      </c>
      <c r="BK618" t="s">
        <v>103</v>
      </c>
      <c r="BL618" t="s">
        <v>290</v>
      </c>
      <c r="BM618" t="s">
        <v>11861</v>
      </c>
      <c r="BN618">
        <v>35384977</v>
      </c>
      <c r="BO618" t="s">
        <v>132</v>
      </c>
      <c r="BP618" t="s">
        <v>74</v>
      </c>
      <c r="BQ618" t="s">
        <v>74</v>
      </c>
      <c r="BR618" t="s">
        <v>106</v>
      </c>
      <c r="BS618" t="s">
        <v>11862</v>
      </c>
      <c r="BT618" t="str">
        <f>HYPERLINK("https%3A%2F%2Fwww.webofscience.com%2Fwos%2Fwoscc%2Ffull-record%2FWOS:000797795500001","View Full Record in Web of Science")</f>
        <v>View Full Record in Web of Science</v>
      </c>
    </row>
    <row r="619" spans="1:72" x14ac:dyDescent="0.15">
      <c r="A619" t="s">
        <v>72</v>
      </c>
      <c r="B619" t="s">
        <v>11863</v>
      </c>
      <c r="C619" t="s">
        <v>74</v>
      </c>
      <c r="D619" t="s">
        <v>74</v>
      </c>
      <c r="E619" t="s">
        <v>74</v>
      </c>
      <c r="F619" t="s">
        <v>11864</v>
      </c>
      <c r="G619" t="s">
        <v>74</v>
      </c>
      <c r="H619" t="s">
        <v>74</v>
      </c>
      <c r="I619" t="s">
        <v>11865</v>
      </c>
      <c r="J619" t="s">
        <v>11113</v>
      </c>
      <c r="K619" t="s">
        <v>74</v>
      </c>
      <c r="L619" t="s">
        <v>74</v>
      </c>
      <c r="M619" t="s">
        <v>78</v>
      </c>
      <c r="N619" t="s">
        <v>79</v>
      </c>
      <c r="O619" t="s">
        <v>74</v>
      </c>
      <c r="P619" t="s">
        <v>74</v>
      </c>
      <c r="Q619" t="s">
        <v>74</v>
      </c>
      <c r="R619" t="s">
        <v>74</v>
      </c>
      <c r="S619" t="s">
        <v>74</v>
      </c>
      <c r="T619" t="s">
        <v>11866</v>
      </c>
      <c r="U619" t="s">
        <v>11867</v>
      </c>
      <c r="V619" t="s">
        <v>11868</v>
      </c>
      <c r="W619" t="s">
        <v>11869</v>
      </c>
      <c r="X619" t="s">
        <v>11870</v>
      </c>
      <c r="Y619" t="s">
        <v>11871</v>
      </c>
      <c r="Z619" t="s">
        <v>11872</v>
      </c>
      <c r="AA619" t="s">
        <v>11873</v>
      </c>
      <c r="AB619" t="s">
        <v>11874</v>
      </c>
      <c r="AC619" t="s">
        <v>11875</v>
      </c>
      <c r="AD619" t="s">
        <v>11876</v>
      </c>
      <c r="AE619" t="s">
        <v>11877</v>
      </c>
      <c r="AF619" t="s">
        <v>74</v>
      </c>
      <c r="AG619">
        <v>168</v>
      </c>
      <c r="AH619">
        <v>3</v>
      </c>
      <c r="AI619">
        <v>3</v>
      </c>
      <c r="AJ619">
        <v>3</v>
      </c>
      <c r="AK619">
        <v>12</v>
      </c>
      <c r="AL619" t="s">
        <v>11119</v>
      </c>
      <c r="AM619" t="s">
        <v>11120</v>
      </c>
      <c r="AN619" t="s">
        <v>11121</v>
      </c>
      <c r="AO619" t="s">
        <v>11122</v>
      </c>
      <c r="AP619" t="s">
        <v>11123</v>
      </c>
      <c r="AQ619" t="s">
        <v>74</v>
      </c>
      <c r="AR619" t="s">
        <v>11124</v>
      </c>
      <c r="AS619" t="s">
        <v>11125</v>
      </c>
      <c r="AT619" t="s">
        <v>74</v>
      </c>
      <c r="AU619">
        <v>2022</v>
      </c>
      <c r="AV619">
        <v>94</v>
      </c>
      <c r="AW619" t="s">
        <v>74</v>
      </c>
      <c r="AX619" t="s">
        <v>74</v>
      </c>
      <c r="AY619">
        <v>1</v>
      </c>
      <c r="AZ619" t="s">
        <v>74</v>
      </c>
      <c r="BA619" t="s">
        <v>74</v>
      </c>
      <c r="BB619" t="s">
        <v>74</v>
      </c>
      <c r="BC619" t="s">
        <v>74</v>
      </c>
      <c r="BD619" t="s">
        <v>11878</v>
      </c>
      <c r="BE619" t="s">
        <v>11879</v>
      </c>
      <c r="BF619" t="str">
        <f>HYPERLINK("http://dx.doi.org/10.1590/0001-3765202220210825","http://dx.doi.org/10.1590/0001-3765202220210825")</f>
        <v>http://dx.doi.org/10.1590/0001-3765202220210825</v>
      </c>
      <c r="BG619" t="s">
        <v>74</v>
      </c>
      <c r="BH619" t="s">
        <v>74</v>
      </c>
      <c r="BI619">
        <v>29</v>
      </c>
      <c r="BJ619" t="s">
        <v>289</v>
      </c>
      <c r="BK619" t="s">
        <v>103</v>
      </c>
      <c r="BL619" t="s">
        <v>290</v>
      </c>
      <c r="BM619" t="s">
        <v>11880</v>
      </c>
      <c r="BN619">
        <v>35544840</v>
      </c>
      <c r="BO619" t="s">
        <v>445</v>
      </c>
      <c r="BP619" t="s">
        <v>74</v>
      </c>
      <c r="BQ619" t="s">
        <v>74</v>
      </c>
      <c r="BR619" t="s">
        <v>106</v>
      </c>
      <c r="BS619" t="s">
        <v>11881</v>
      </c>
      <c r="BT619" t="str">
        <f>HYPERLINK("https%3A%2F%2Fwww.webofscience.com%2Fwos%2Fwoscc%2Ffull-record%2FWOS:000796831700001","View Full Record in Web of Science")</f>
        <v>View Full Record in Web of Science</v>
      </c>
    </row>
    <row r="620" spans="1:72" x14ac:dyDescent="0.15">
      <c r="A620" t="s">
        <v>72</v>
      </c>
      <c r="B620" t="s">
        <v>11882</v>
      </c>
      <c r="C620" t="s">
        <v>74</v>
      </c>
      <c r="D620" t="s">
        <v>74</v>
      </c>
      <c r="E620" t="s">
        <v>74</v>
      </c>
      <c r="F620" t="s">
        <v>11883</v>
      </c>
      <c r="G620" t="s">
        <v>74</v>
      </c>
      <c r="H620" t="s">
        <v>74</v>
      </c>
      <c r="I620" t="s">
        <v>11884</v>
      </c>
      <c r="J620" t="s">
        <v>11113</v>
      </c>
      <c r="K620" t="s">
        <v>74</v>
      </c>
      <c r="L620" t="s">
        <v>74</v>
      </c>
      <c r="M620" t="s">
        <v>78</v>
      </c>
      <c r="N620" t="s">
        <v>79</v>
      </c>
      <c r="O620" t="s">
        <v>74</v>
      </c>
      <c r="P620" t="s">
        <v>74</v>
      </c>
      <c r="Q620" t="s">
        <v>74</v>
      </c>
      <c r="R620" t="s">
        <v>74</v>
      </c>
      <c r="S620" t="s">
        <v>74</v>
      </c>
      <c r="T620" t="s">
        <v>11885</v>
      </c>
      <c r="U620" t="s">
        <v>74</v>
      </c>
      <c r="V620" t="s">
        <v>11886</v>
      </c>
      <c r="W620" t="s">
        <v>11887</v>
      </c>
      <c r="X620" t="s">
        <v>11888</v>
      </c>
      <c r="Y620" t="s">
        <v>11889</v>
      </c>
      <c r="Z620" t="s">
        <v>11890</v>
      </c>
      <c r="AA620" t="s">
        <v>74</v>
      </c>
      <c r="AB620" t="s">
        <v>11891</v>
      </c>
      <c r="AC620" t="s">
        <v>74</v>
      </c>
      <c r="AD620" t="s">
        <v>74</v>
      </c>
      <c r="AE620" t="s">
        <v>74</v>
      </c>
      <c r="AF620" t="s">
        <v>74</v>
      </c>
      <c r="AG620">
        <v>64</v>
      </c>
      <c r="AH620">
        <v>4</v>
      </c>
      <c r="AI620">
        <v>4</v>
      </c>
      <c r="AJ620">
        <v>2</v>
      </c>
      <c r="AK620">
        <v>14</v>
      </c>
      <c r="AL620" t="s">
        <v>11119</v>
      </c>
      <c r="AM620" t="s">
        <v>11120</v>
      </c>
      <c r="AN620" t="s">
        <v>11121</v>
      </c>
      <c r="AO620" t="s">
        <v>11122</v>
      </c>
      <c r="AP620" t="s">
        <v>11123</v>
      </c>
      <c r="AQ620" t="s">
        <v>74</v>
      </c>
      <c r="AR620" t="s">
        <v>11124</v>
      </c>
      <c r="AS620" t="s">
        <v>11125</v>
      </c>
      <c r="AT620" t="s">
        <v>74</v>
      </c>
      <c r="AU620">
        <v>2022</v>
      </c>
      <c r="AV620">
        <v>94</v>
      </c>
      <c r="AW620" t="s">
        <v>74</v>
      </c>
      <c r="AX620" t="s">
        <v>74</v>
      </c>
      <c r="AY620">
        <v>1</v>
      </c>
      <c r="AZ620" t="s">
        <v>74</v>
      </c>
      <c r="BA620" t="s">
        <v>74</v>
      </c>
      <c r="BB620" t="s">
        <v>74</v>
      </c>
      <c r="BC620" t="s">
        <v>74</v>
      </c>
      <c r="BD620" t="s">
        <v>11892</v>
      </c>
      <c r="BE620" t="s">
        <v>11893</v>
      </c>
      <c r="BF620" t="str">
        <f>HYPERLINK("http://dx.doi.org/10.1590/0001-3765202220210539","http://dx.doi.org/10.1590/0001-3765202220210539")</f>
        <v>http://dx.doi.org/10.1590/0001-3765202220210539</v>
      </c>
      <c r="BG620" t="s">
        <v>74</v>
      </c>
      <c r="BH620" t="s">
        <v>74</v>
      </c>
      <c r="BI620">
        <v>27</v>
      </c>
      <c r="BJ620" t="s">
        <v>289</v>
      </c>
      <c r="BK620" t="s">
        <v>1034</v>
      </c>
      <c r="BL620" t="s">
        <v>290</v>
      </c>
      <c r="BM620" t="s">
        <v>11894</v>
      </c>
      <c r="BN620">
        <v>35384973</v>
      </c>
      <c r="BO620" t="s">
        <v>154</v>
      </c>
      <c r="BP620" t="s">
        <v>74</v>
      </c>
      <c r="BQ620" t="s">
        <v>74</v>
      </c>
      <c r="BR620" t="s">
        <v>106</v>
      </c>
      <c r="BS620" t="s">
        <v>11895</v>
      </c>
      <c r="BT620" t="str">
        <f>HYPERLINK("https%3A%2F%2Fwww.webofscience.com%2Fwos%2Fwoscc%2Ffull-record%2FWOS:000797792700001","View Full Record in Web of Science")</f>
        <v>View Full Record in Web of Science</v>
      </c>
    </row>
    <row r="621" spans="1:72" x14ac:dyDescent="0.15">
      <c r="A621" t="s">
        <v>72</v>
      </c>
      <c r="B621" t="s">
        <v>11896</v>
      </c>
      <c r="C621" t="s">
        <v>74</v>
      </c>
      <c r="D621" t="s">
        <v>74</v>
      </c>
      <c r="E621" t="s">
        <v>74</v>
      </c>
      <c r="F621" t="s">
        <v>11897</v>
      </c>
      <c r="G621" t="s">
        <v>74</v>
      </c>
      <c r="H621" t="s">
        <v>74</v>
      </c>
      <c r="I621" t="s">
        <v>11898</v>
      </c>
      <c r="J621" t="s">
        <v>11899</v>
      </c>
      <c r="K621" t="s">
        <v>74</v>
      </c>
      <c r="L621" t="s">
        <v>74</v>
      </c>
      <c r="M621" t="s">
        <v>78</v>
      </c>
      <c r="N621" t="s">
        <v>79</v>
      </c>
      <c r="O621" t="s">
        <v>74</v>
      </c>
      <c r="P621" t="s">
        <v>74</v>
      </c>
      <c r="Q621" t="s">
        <v>74</v>
      </c>
      <c r="R621" t="s">
        <v>74</v>
      </c>
      <c r="S621" t="s">
        <v>74</v>
      </c>
      <c r="T621" t="s">
        <v>11900</v>
      </c>
      <c r="U621" t="s">
        <v>11901</v>
      </c>
      <c r="V621" t="s">
        <v>11902</v>
      </c>
      <c r="W621" t="s">
        <v>11903</v>
      </c>
      <c r="X621" t="s">
        <v>74</v>
      </c>
      <c r="Y621" t="s">
        <v>11904</v>
      </c>
      <c r="Z621" t="s">
        <v>11905</v>
      </c>
      <c r="AA621" t="s">
        <v>74</v>
      </c>
      <c r="AB621" t="s">
        <v>11906</v>
      </c>
      <c r="AC621" t="s">
        <v>74</v>
      </c>
      <c r="AD621" t="s">
        <v>74</v>
      </c>
      <c r="AE621" t="s">
        <v>74</v>
      </c>
      <c r="AF621" t="s">
        <v>74</v>
      </c>
      <c r="AG621">
        <v>52</v>
      </c>
      <c r="AH621">
        <v>0</v>
      </c>
      <c r="AI621">
        <v>0</v>
      </c>
      <c r="AJ621">
        <v>0</v>
      </c>
      <c r="AK621">
        <v>2</v>
      </c>
      <c r="AL621" t="s">
        <v>11907</v>
      </c>
      <c r="AM621" t="s">
        <v>11908</v>
      </c>
      <c r="AN621" t="s">
        <v>11909</v>
      </c>
      <c r="AO621" t="s">
        <v>11910</v>
      </c>
      <c r="AP621" t="s">
        <v>11911</v>
      </c>
      <c r="AQ621" t="s">
        <v>74</v>
      </c>
      <c r="AR621" t="s">
        <v>11912</v>
      </c>
      <c r="AS621" t="s">
        <v>11913</v>
      </c>
      <c r="AT621" t="s">
        <v>74</v>
      </c>
      <c r="AU621">
        <v>2022</v>
      </c>
      <c r="AV621">
        <v>69</v>
      </c>
      <c r="AW621">
        <v>141</v>
      </c>
      <c r="AX621" t="s">
        <v>74</v>
      </c>
      <c r="AY621" t="s">
        <v>74</v>
      </c>
      <c r="AZ621" t="s">
        <v>74</v>
      </c>
      <c r="BA621" t="s">
        <v>74</v>
      </c>
      <c r="BB621">
        <v>9</v>
      </c>
      <c r="BC621">
        <v>19</v>
      </c>
      <c r="BD621" t="s">
        <v>74</v>
      </c>
      <c r="BE621" t="s">
        <v>11914</v>
      </c>
      <c r="BF621" t="str">
        <f>HYPERLINK("http://dx.doi.org/10.17402/495","http://dx.doi.org/10.17402/495")</f>
        <v>http://dx.doi.org/10.17402/495</v>
      </c>
      <c r="BG621" t="s">
        <v>74</v>
      </c>
      <c r="BH621" t="s">
        <v>74</v>
      </c>
      <c r="BI621">
        <v>11</v>
      </c>
      <c r="BJ621" t="s">
        <v>8377</v>
      </c>
      <c r="BK621" t="s">
        <v>724</v>
      </c>
      <c r="BL621" t="s">
        <v>4397</v>
      </c>
      <c r="BM621" t="s">
        <v>11915</v>
      </c>
      <c r="BN621" t="s">
        <v>74</v>
      </c>
      <c r="BO621" t="s">
        <v>74</v>
      </c>
      <c r="BP621" t="s">
        <v>74</v>
      </c>
      <c r="BQ621" t="s">
        <v>74</v>
      </c>
      <c r="BR621" t="s">
        <v>106</v>
      </c>
      <c r="BS621" t="s">
        <v>11916</v>
      </c>
      <c r="BT621" t="str">
        <f>HYPERLINK("https%3A%2F%2Fwww.webofscience.com%2Fwos%2Fwoscc%2Ffull-record%2FWOS:000797053600002","View Full Record in Web of Science")</f>
        <v>View Full Record in Web of Science</v>
      </c>
    </row>
    <row r="622" spans="1:72" x14ac:dyDescent="0.15">
      <c r="A622" t="s">
        <v>72</v>
      </c>
      <c r="B622" t="s">
        <v>11917</v>
      </c>
      <c r="C622" t="s">
        <v>74</v>
      </c>
      <c r="D622" t="s">
        <v>74</v>
      </c>
      <c r="E622" t="s">
        <v>74</v>
      </c>
      <c r="F622" t="s">
        <v>11918</v>
      </c>
      <c r="G622" t="s">
        <v>74</v>
      </c>
      <c r="H622" t="s">
        <v>74</v>
      </c>
      <c r="I622" t="s">
        <v>11919</v>
      </c>
      <c r="J622" t="s">
        <v>11113</v>
      </c>
      <c r="K622" t="s">
        <v>74</v>
      </c>
      <c r="L622" t="s">
        <v>74</v>
      </c>
      <c r="M622" t="s">
        <v>78</v>
      </c>
      <c r="N622" t="s">
        <v>79</v>
      </c>
      <c r="O622" t="s">
        <v>74</v>
      </c>
      <c r="P622" t="s">
        <v>74</v>
      </c>
      <c r="Q622" t="s">
        <v>74</v>
      </c>
      <c r="R622" t="s">
        <v>74</v>
      </c>
      <c r="S622" t="s">
        <v>74</v>
      </c>
      <c r="T622" t="s">
        <v>11920</v>
      </c>
      <c r="U622" t="s">
        <v>11921</v>
      </c>
      <c r="V622" t="s">
        <v>11922</v>
      </c>
      <c r="W622" t="s">
        <v>11923</v>
      </c>
      <c r="X622" t="s">
        <v>11924</v>
      </c>
      <c r="Y622" t="s">
        <v>11925</v>
      </c>
      <c r="Z622" t="s">
        <v>11926</v>
      </c>
      <c r="AA622" t="s">
        <v>11927</v>
      </c>
      <c r="AB622" t="s">
        <v>11928</v>
      </c>
      <c r="AC622" t="s">
        <v>11929</v>
      </c>
      <c r="AD622" t="s">
        <v>11930</v>
      </c>
      <c r="AE622" t="s">
        <v>11931</v>
      </c>
      <c r="AF622" t="s">
        <v>74</v>
      </c>
      <c r="AG622">
        <v>52</v>
      </c>
      <c r="AH622">
        <v>0</v>
      </c>
      <c r="AI622">
        <v>0</v>
      </c>
      <c r="AJ622">
        <v>2</v>
      </c>
      <c r="AK622">
        <v>4</v>
      </c>
      <c r="AL622" t="s">
        <v>11119</v>
      </c>
      <c r="AM622" t="s">
        <v>11120</v>
      </c>
      <c r="AN622" t="s">
        <v>11121</v>
      </c>
      <c r="AO622" t="s">
        <v>11122</v>
      </c>
      <c r="AP622" t="s">
        <v>11123</v>
      </c>
      <c r="AQ622" t="s">
        <v>74</v>
      </c>
      <c r="AR622" t="s">
        <v>11124</v>
      </c>
      <c r="AS622" t="s">
        <v>11125</v>
      </c>
      <c r="AT622" t="s">
        <v>74</v>
      </c>
      <c r="AU622">
        <v>2022</v>
      </c>
      <c r="AV622">
        <v>94</v>
      </c>
      <c r="AW622" t="s">
        <v>74</v>
      </c>
      <c r="AX622" t="s">
        <v>74</v>
      </c>
      <c r="AY622">
        <v>1</v>
      </c>
      <c r="AZ622" t="s">
        <v>74</v>
      </c>
      <c r="BA622" t="s">
        <v>74</v>
      </c>
      <c r="BB622" t="s">
        <v>74</v>
      </c>
      <c r="BC622" t="s">
        <v>74</v>
      </c>
      <c r="BD622" t="s">
        <v>11932</v>
      </c>
      <c r="BE622" t="s">
        <v>11933</v>
      </c>
      <c r="BF622" t="str">
        <f>HYPERLINK("http://dx.doi.org/10.1590/0001-3765202220210600","http://dx.doi.org/10.1590/0001-3765202220210600")</f>
        <v>http://dx.doi.org/10.1590/0001-3765202220210600</v>
      </c>
      <c r="BG622" t="s">
        <v>74</v>
      </c>
      <c r="BH622" t="s">
        <v>74</v>
      </c>
      <c r="BI622">
        <v>18</v>
      </c>
      <c r="BJ622" t="s">
        <v>289</v>
      </c>
      <c r="BK622" t="s">
        <v>103</v>
      </c>
      <c r="BL622" t="s">
        <v>290</v>
      </c>
      <c r="BM622" t="s">
        <v>11934</v>
      </c>
      <c r="BN622">
        <v>35508018</v>
      </c>
      <c r="BO622" t="s">
        <v>445</v>
      </c>
      <c r="BP622" t="s">
        <v>74</v>
      </c>
      <c r="BQ622" t="s">
        <v>74</v>
      </c>
      <c r="BR622" t="s">
        <v>106</v>
      </c>
      <c r="BS622" t="s">
        <v>11935</v>
      </c>
      <c r="BT622" t="str">
        <f>HYPERLINK("https%3A%2F%2Fwww.webofscience.com%2Fwos%2Fwoscc%2Ffull-record%2FWOS:000795867800001","View Full Record in Web of Science")</f>
        <v>View Full Record in Web of Science</v>
      </c>
    </row>
    <row r="623" spans="1:72" x14ac:dyDescent="0.15">
      <c r="A623" t="s">
        <v>72</v>
      </c>
      <c r="B623" t="s">
        <v>11936</v>
      </c>
      <c r="C623" t="s">
        <v>74</v>
      </c>
      <c r="D623" t="s">
        <v>74</v>
      </c>
      <c r="E623" t="s">
        <v>74</v>
      </c>
      <c r="F623" t="s">
        <v>11937</v>
      </c>
      <c r="G623" t="s">
        <v>74</v>
      </c>
      <c r="H623" t="s">
        <v>74</v>
      </c>
      <c r="I623" t="s">
        <v>11938</v>
      </c>
      <c r="J623" t="s">
        <v>11113</v>
      </c>
      <c r="K623" t="s">
        <v>74</v>
      </c>
      <c r="L623" t="s">
        <v>74</v>
      </c>
      <c r="M623" t="s">
        <v>78</v>
      </c>
      <c r="N623" t="s">
        <v>79</v>
      </c>
      <c r="O623" t="s">
        <v>74</v>
      </c>
      <c r="P623" t="s">
        <v>74</v>
      </c>
      <c r="Q623" t="s">
        <v>74</v>
      </c>
      <c r="R623" t="s">
        <v>74</v>
      </c>
      <c r="S623" t="s">
        <v>74</v>
      </c>
      <c r="T623" t="s">
        <v>11939</v>
      </c>
      <c r="U623" t="s">
        <v>11940</v>
      </c>
      <c r="V623" t="s">
        <v>11941</v>
      </c>
      <c r="W623" t="s">
        <v>11942</v>
      </c>
      <c r="X623" t="s">
        <v>11943</v>
      </c>
      <c r="Y623" t="s">
        <v>11944</v>
      </c>
      <c r="Z623" t="s">
        <v>11945</v>
      </c>
      <c r="AA623" t="s">
        <v>11946</v>
      </c>
      <c r="AB623" t="s">
        <v>11947</v>
      </c>
      <c r="AC623" t="s">
        <v>11948</v>
      </c>
      <c r="AD623" t="s">
        <v>11949</v>
      </c>
      <c r="AE623" t="s">
        <v>11950</v>
      </c>
      <c r="AF623" t="s">
        <v>74</v>
      </c>
      <c r="AG623">
        <v>67</v>
      </c>
      <c r="AH623">
        <v>1</v>
      </c>
      <c r="AI623">
        <v>1</v>
      </c>
      <c r="AJ623">
        <v>2</v>
      </c>
      <c r="AK623">
        <v>14</v>
      </c>
      <c r="AL623" t="s">
        <v>11119</v>
      </c>
      <c r="AM623" t="s">
        <v>11120</v>
      </c>
      <c r="AN623" t="s">
        <v>11121</v>
      </c>
      <c r="AO623" t="s">
        <v>11122</v>
      </c>
      <c r="AP623" t="s">
        <v>11123</v>
      </c>
      <c r="AQ623" t="s">
        <v>74</v>
      </c>
      <c r="AR623" t="s">
        <v>11124</v>
      </c>
      <c r="AS623" t="s">
        <v>11125</v>
      </c>
      <c r="AT623" t="s">
        <v>74</v>
      </c>
      <c r="AU623">
        <v>2022</v>
      </c>
      <c r="AV623">
        <v>94</v>
      </c>
      <c r="AW623" t="s">
        <v>74</v>
      </c>
      <c r="AX623" t="s">
        <v>74</v>
      </c>
      <c r="AY623">
        <v>1</v>
      </c>
      <c r="AZ623" t="s">
        <v>74</v>
      </c>
      <c r="BA623" t="s">
        <v>74</v>
      </c>
      <c r="BB623" t="s">
        <v>74</v>
      </c>
      <c r="BC623" t="s">
        <v>74</v>
      </c>
      <c r="BD623" t="s">
        <v>11951</v>
      </c>
      <c r="BE623" t="s">
        <v>11952</v>
      </c>
      <c r="BF623" t="str">
        <f>HYPERLINK("http://dx.doi.org/10.1590/0001-3765202220210805","http://dx.doi.org/10.1590/0001-3765202220210805")</f>
        <v>http://dx.doi.org/10.1590/0001-3765202220210805</v>
      </c>
      <c r="BG623" t="s">
        <v>74</v>
      </c>
      <c r="BH623" t="s">
        <v>74</v>
      </c>
      <c r="BI623">
        <v>20</v>
      </c>
      <c r="BJ623" t="s">
        <v>289</v>
      </c>
      <c r="BK623" t="s">
        <v>103</v>
      </c>
      <c r="BL623" t="s">
        <v>290</v>
      </c>
      <c r="BM623" t="s">
        <v>11953</v>
      </c>
      <c r="BN623">
        <v>35508022</v>
      </c>
      <c r="BO623" t="s">
        <v>445</v>
      </c>
      <c r="BP623" t="s">
        <v>74</v>
      </c>
      <c r="BQ623" t="s">
        <v>74</v>
      </c>
      <c r="BR623" t="s">
        <v>106</v>
      </c>
      <c r="BS623" t="s">
        <v>11954</v>
      </c>
      <c r="BT623" t="str">
        <f>HYPERLINK("https%3A%2F%2Fwww.webofscience.com%2Fwos%2Fwoscc%2Ffull-record%2FWOS:000795869400001","View Full Record in Web of Science")</f>
        <v>View Full Record in Web of Science</v>
      </c>
    </row>
    <row r="624" spans="1:72" x14ac:dyDescent="0.15">
      <c r="A624" t="s">
        <v>72</v>
      </c>
      <c r="B624" t="s">
        <v>11955</v>
      </c>
      <c r="C624" t="s">
        <v>74</v>
      </c>
      <c r="D624" t="s">
        <v>74</v>
      </c>
      <c r="E624" t="s">
        <v>74</v>
      </c>
      <c r="F624" t="s">
        <v>11956</v>
      </c>
      <c r="G624" t="s">
        <v>74</v>
      </c>
      <c r="H624" t="s">
        <v>74</v>
      </c>
      <c r="I624" t="s">
        <v>11957</v>
      </c>
      <c r="J624" t="s">
        <v>11113</v>
      </c>
      <c r="K624" t="s">
        <v>74</v>
      </c>
      <c r="L624" t="s">
        <v>74</v>
      </c>
      <c r="M624" t="s">
        <v>78</v>
      </c>
      <c r="N624" t="s">
        <v>79</v>
      </c>
      <c r="O624" t="s">
        <v>74</v>
      </c>
      <c r="P624" t="s">
        <v>74</v>
      </c>
      <c r="Q624" t="s">
        <v>74</v>
      </c>
      <c r="R624" t="s">
        <v>74</v>
      </c>
      <c r="S624" t="s">
        <v>74</v>
      </c>
      <c r="T624" t="s">
        <v>11958</v>
      </c>
      <c r="U624" t="s">
        <v>11959</v>
      </c>
      <c r="V624" t="s">
        <v>11960</v>
      </c>
      <c r="W624" t="s">
        <v>11961</v>
      </c>
      <c r="X624" t="s">
        <v>11962</v>
      </c>
      <c r="Y624" t="s">
        <v>11963</v>
      </c>
      <c r="Z624" t="s">
        <v>11964</v>
      </c>
      <c r="AA624" t="s">
        <v>11965</v>
      </c>
      <c r="AB624" t="s">
        <v>11966</v>
      </c>
      <c r="AC624" t="s">
        <v>11967</v>
      </c>
      <c r="AD624" t="s">
        <v>11968</v>
      </c>
      <c r="AE624" t="s">
        <v>11969</v>
      </c>
      <c r="AF624" t="s">
        <v>74</v>
      </c>
      <c r="AG624">
        <v>66</v>
      </c>
      <c r="AH624">
        <v>2</v>
      </c>
      <c r="AI624">
        <v>2</v>
      </c>
      <c r="AJ624">
        <v>1</v>
      </c>
      <c r="AK624">
        <v>3</v>
      </c>
      <c r="AL624" t="s">
        <v>11119</v>
      </c>
      <c r="AM624" t="s">
        <v>11120</v>
      </c>
      <c r="AN624" t="s">
        <v>11121</v>
      </c>
      <c r="AO624" t="s">
        <v>11122</v>
      </c>
      <c r="AP624" t="s">
        <v>11123</v>
      </c>
      <c r="AQ624" t="s">
        <v>74</v>
      </c>
      <c r="AR624" t="s">
        <v>11124</v>
      </c>
      <c r="AS624" t="s">
        <v>11125</v>
      </c>
      <c r="AT624" t="s">
        <v>74</v>
      </c>
      <c r="AU624">
        <v>2022</v>
      </c>
      <c r="AV624">
        <v>94</v>
      </c>
      <c r="AW624" t="s">
        <v>74</v>
      </c>
      <c r="AX624" t="s">
        <v>74</v>
      </c>
      <c r="AY624">
        <v>1</v>
      </c>
      <c r="AZ624" t="s">
        <v>74</v>
      </c>
      <c r="BA624" t="s">
        <v>74</v>
      </c>
      <c r="BB624" t="s">
        <v>74</v>
      </c>
      <c r="BC624" t="s">
        <v>74</v>
      </c>
      <c r="BD624" t="s">
        <v>11970</v>
      </c>
      <c r="BE624" t="s">
        <v>11971</v>
      </c>
      <c r="BF624" t="str">
        <f>HYPERLINK("http://dx.doi.org/10.1590/0001-3765202220210436","http://dx.doi.org/10.1590/0001-3765202220210436")</f>
        <v>http://dx.doi.org/10.1590/0001-3765202220210436</v>
      </c>
      <c r="BG624" t="s">
        <v>74</v>
      </c>
      <c r="BH624" t="s">
        <v>74</v>
      </c>
      <c r="BI624">
        <v>12</v>
      </c>
      <c r="BJ624" t="s">
        <v>289</v>
      </c>
      <c r="BK624" t="s">
        <v>103</v>
      </c>
      <c r="BL624" t="s">
        <v>290</v>
      </c>
      <c r="BM624" t="s">
        <v>11972</v>
      </c>
      <c r="BN624">
        <v>35508015</v>
      </c>
      <c r="BO624" t="s">
        <v>445</v>
      </c>
      <c r="BP624" t="s">
        <v>74</v>
      </c>
      <c r="BQ624" t="s">
        <v>74</v>
      </c>
      <c r="BR624" t="s">
        <v>106</v>
      </c>
      <c r="BS624" t="s">
        <v>11973</v>
      </c>
      <c r="BT624" t="str">
        <f>HYPERLINK("https%3A%2F%2Fwww.webofscience.com%2Fwos%2Fwoscc%2Ffull-record%2FWOS:000795866900001","View Full Record in Web of Science")</f>
        <v>View Full Record in Web of Science</v>
      </c>
    </row>
    <row r="625" spans="1:72" x14ac:dyDescent="0.15">
      <c r="A625" t="s">
        <v>72</v>
      </c>
      <c r="B625" t="s">
        <v>11974</v>
      </c>
      <c r="C625" t="s">
        <v>74</v>
      </c>
      <c r="D625" t="s">
        <v>74</v>
      </c>
      <c r="E625" t="s">
        <v>74</v>
      </c>
      <c r="F625" t="s">
        <v>11975</v>
      </c>
      <c r="G625" t="s">
        <v>74</v>
      </c>
      <c r="H625" t="s">
        <v>74</v>
      </c>
      <c r="I625" t="s">
        <v>11976</v>
      </c>
      <c r="J625" t="s">
        <v>11113</v>
      </c>
      <c r="K625" t="s">
        <v>74</v>
      </c>
      <c r="L625" t="s">
        <v>74</v>
      </c>
      <c r="M625" t="s">
        <v>78</v>
      </c>
      <c r="N625" t="s">
        <v>79</v>
      </c>
      <c r="O625" t="s">
        <v>74</v>
      </c>
      <c r="P625" t="s">
        <v>74</v>
      </c>
      <c r="Q625" t="s">
        <v>74</v>
      </c>
      <c r="R625" t="s">
        <v>74</v>
      </c>
      <c r="S625" t="s">
        <v>74</v>
      </c>
      <c r="T625" t="s">
        <v>11977</v>
      </c>
      <c r="U625" t="s">
        <v>11978</v>
      </c>
      <c r="V625" t="s">
        <v>11979</v>
      </c>
      <c r="W625" t="s">
        <v>11980</v>
      </c>
      <c r="X625" t="s">
        <v>11981</v>
      </c>
      <c r="Y625" t="s">
        <v>11982</v>
      </c>
      <c r="Z625" t="s">
        <v>11983</v>
      </c>
      <c r="AA625" t="s">
        <v>11984</v>
      </c>
      <c r="AB625" t="s">
        <v>11985</v>
      </c>
      <c r="AC625" t="s">
        <v>11986</v>
      </c>
      <c r="AD625" t="s">
        <v>11987</v>
      </c>
      <c r="AE625" t="s">
        <v>11988</v>
      </c>
      <c r="AF625" t="s">
        <v>74</v>
      </c>
      <c r="AG625">
        <v>55</v>
      </c>
      <c r="AH625">
        <v>1</v>
      </c>
      <c r="AI625">
        <v>1</v>
      </c>
      <c r="AJ625">
        <v>2</v>
      </c>
      <c r="AK625">
        <v>3</v>
      </c>
      <c r="AL625" t="s">
        <v>11119</v>
      </c>
      <c r="AM625" t="s">
        <v>11120</v>
      </c>
      <c r="AN625" t="s">
        <v>11121</v>
      </c>
      <c r="AO625" t="s">
        <v>11122</v>
      </c>
      <c r="AP625" t="s">
        <v>11123</v>
      </c>
      <c r="AQ625" t="s">
        <v>74</v>
      </c>
      <c r="AR625" t="s">
        <v>11124</v>
      </c>
      <c r="AS625" t="s">
        <v>11125</v>
      </c>
      <c r="AT625" t="s">
        <v>74</v>
      </c>
      <c r="AU625">
        <v>2022</v>
      </c>
      <c r="AV625">
        <v>94</v>
      </c>
      <c r="AW625" t="s">
        <v>74</v>
      </c>
      <c r="AX625" t="s">
        <v>74</v>
      </c>
      <c r="AY625">
        <v>1</v>
      </c>
      <c r="AZ625" t="s">
        <v>74</v>
      </c>
      <c r="BA625" t="s">
        <v>74</v>
      </c>
      <c r="BB625" t="s">
        <v>74</v>
      </c>
      <c r="BC625" t="s">
        <v>74</v>
      </c>
      <c r="BD625" t="s">
        <v>11989</v>
      </c>
      <c r="BE625" t="s">
        <v>11990</v>
      </c>
      <c r="BF625" t="str">
        <f>HYPERLINK("http://dx.doi.org/10.1590/0001-3765202220210551","http://dx.doi.org/10.1590/0001-3765202220210551")</f>
        <v>http://dx.doi.org/10.1590/0001-3765202220210551</v>
      </c>
      <c r="BG625" t="s">
        <v>74</v>
      </c>
      <c r="BH625" t="s">
        <v>74</v>
      </c>
      <c r="BI625">
        <v>18</v>
      </c>
      <c r="BJ625" t="s">
        <v>289</v>
      </c>
      <c r="BK625" t="s">
        <v>103</v>
      </c>
      <c r="BL625" t="s">
        <v>290</v>
      </c>
      <c r="BM625" t="s">
        <v>11991</v>
      </c>
      <c r="BN625">
        <v>35508016</v>
      </c>
      <c r="BO625" t="s">
        <v>445</v>
      </c>
      <c r="BP625" t="s">
        <v>74</v>
      </c>
      <c r="BQ625" t="s">
        <v>74</v>
      </c>
      <c r="BR625" t="s">
        <v>106</v>
      </c>
      <c r="BS625" t="s">
        <v>11992</v>
      </c>
      <c r="BT625" t="str">
        <f>HYPERLINK("https%3A%2F%2Fwww.webofscience.com%2Fwos%2Fwoscc%2Ffull-record%2FWOS:000795867100001","View Full Record in Web of Science")</f>
        <v>View Full Record in Web of Science</v>
      </c>
    </row>
    <row r="626" spans="1:72" x14ac:dyDescent="0.15">
      <c r="A626" t="s">
        <v>72</v>
      </c>
      <c r="B626" t="s">
        <v>11993</v>
      </c>
      <c r="C626" t="s">
        <v>74</v>
      </c>
      <c r="D626" t="s">
        <v>74</v>
      </c>
      <c r="E626" t="s">
        <v>74</v>
      </c>
      <c r="F626" t="s">
        <v>11994</v>
      </c>
      <c r="G626" t="s">
        <v>74</v>
      </c>
      <c r="H626" t="s">
        <v>74</v>
      </c>
      <c r="I626" t="s">
        <v>11995</v>
      </c>
      <c r="J626" t="s">
        <v>11113</v>
      </c>
      <c r="K626" t="s">
        <v>74</v>
      </c>
      <c r="L626" t="s">
        <v>74</v>
      </c>
      <c r="M626" t="s">
        <v>78</v>
      </c>
      <c r="N626" t="s">
        <v>79</v>
      </c>
      <c r="O626" t="s">
        <v>74</v>
      </c>
      <c r="P626" t="s">
        <v>74</v>
      </c>
      <c r="Q626" t="s">
        <v>74</v>
      </c>
      <c r="R626" t="s">
        <v>74</v>
      </c>
      <c r="S626" t="s">
        <v>74</v>
      </c>
      <c r="T626" t="s">
        <v>11996</v>
      </c>
      <c r="U626" t="s">
        <v>11997</v>
      </c>
      <c r="V626" t="s">
        <v>11998</v>
      </c>
      <c r="W626" t="s">
        <v>11999</v>
      </c>
      <c r="X626" t="s">
        <v>12000</v>
      </c>
      <c r="Y626" t="s">
        <v>12001</v>
      </c>
      <c r="Z626" t="s">
        <v>12002</v>
      </c>
      <c r="AA626" t="s">
        <v>11357</v>
      </c>
      <c r="AB626" t="s">
        <v>12003</v>
      </c>
      <c r="AC626" t="s">
        <v>12004</v>
      </c>
      <c r="AD626" t="s">
        <v>12005</v>
      </c>
      <c r="AE626" t="s">
        <v>12006</v>
      </c>
      <c r="AF626" t="s">
        <v>74</v>
      </c>
      <c r="AG626">
        <v>47</v>
      </c>
      <c r="AH626">
        <v>0</v>
      </c>
      <c r="AI626">
        <v>0</v>
      </c>
      <c r="AJ626">
        <v>1</v>
      </c>
      <c r="AK626">
        <v>5</v>
      </c>
      <c r="AL626" t="s">
        <v>11119</v>
      </c>
      <c r="AM626" t="s">
        <v>11120</v>
      </c>
      <c r="AN626" t="s">
        <v>11121</v>
      </c>
      <c r="AO626" t="s">
        <v>11122</v>
      </c>
      <c r="AP626" t="s">
        <v>11123</v>
      </c>
      <c r="AQ626" t="s">
        <v>74</v>
      </c>
      <c r="AR626" t="s">
        <v>11124</v>
      </c>
      <c r="AS626" t="s">
        <v>11125</v>
      </c>
      <c r="AT626" t="s">
        <v>74</v>
      </c>
      <c r="AU626">
        <v>2022</v>
      </c>
      <c r="AV626">
        <v>94</v>
      </c>
      <c r="AW626" t="s">
        <v>74</v>
      </c>
      <c r="AX626" t="s">
        <v>74</v>
      </c>
      <c r="AY626">
        <v>1</v>
      </c>
      <c r="AZ626" t="s">
        <v>74</v>
      </c>
      <c r="BA626" t="s">
        <v>74</v>
      </c>
      <c r="BB626" t="s">
        <v>74</v>
      </c>
      <c r="BC626" t="s">
        <v>74</v>
      </c>
      <c r="BD626" t="s">
        <v>12007</v>
      </c>
      <c r="BE626" t="s">
        <v>12008</v>
      </c>
      <c r="BF626" t="str">
        <f>HYPERLINK("http://dx.doi.org/10.1590/0001-3765202220210628","http://dx.doi.org/10.1590/0001-3765202220210628")</f>
        <v>http://dx.doi.org/10.1590/0001-3765202220210628</v>
      </c>
      <c r="BG626" t="s">
        <v>74</v>
      </c>
      <c r="BH626" t="s">
        <v>74</v>
      </c>
      <c r="BI626">
        <v>16</v>
      </c>
      <c r="BJ626" t="s">
        <v>289</v>
      </c>
      <c r="BK626" t="s">
        <v>103</v>
      </c>
      <c r="BL626" t="s">
        <v>290</v>
      </c>
      <c r="BM626" t="s">
        <v>12009</v>
      </c>
      <c r="BN626">
        <v>35508020</v>
      </c>
      <c r="BO626" t="s">
        <v>292</v>
      </c>
      <c r="BP626" t="s">
        <v>74</v>
      </c>
      <c r="BQ626" t="s">
        <v>74</v>
      </c>
      <c r="BR626" t="s">
        <v>106</v>
      </c>
      <c r="BS626" t="s">
        <v>12010</v>
      </c>
      <c r="BT626" t="str">
        <f>HYPERLINK("https%3A%2F%2Fwww.webofscience.com%2Fwos%2Fwoscc%2Ffull-record%2FWOS:000795868600001","View Full Record in Web of Science")</f>
        <v>View Full Record in Web of Science</v>
      </c>
    </row>
    <row r="627" spans="1:72" x14ac:dyDescent="0.15">
      <c r="A627" t="s">
        <v>72</v>
      </c>
      <c r="B627" t="s">
        <v>12011</v>
      </c>
      <c r="C627" t="s">
        <v>74</v>
      </c>
      <c r="D627" t="s">
        <v>74</v>
      </c>
      <c r="E627" t="s">
        <v>74</v>
      </c>
      <c r="F627" t="s">
        <v>12012</v>
      </c>
      <c r="G627" t="s">
        <v>74</v>
      </c>
      <c r="H627" t="s">
        <v>74</v>
      </c>
      <c r="I627" t="s">
        <v>12013</v>
      </c>
      <c r="J627" t="s">
        <v>11113</v>
      </c>
      <c r="K627" t="s">
        <v>74</v>
      </c>
      <c r="L627" t="s">
        <v>74</v>
      </c>
      <c r="M627" t="s">
        <v>78</v>
      </c>
      <c r="N627" t="s">
        <v>79</v>
      </c>
      <c r="O627" t="s">
        <v>74</v>
      </c>
      <c r="P627" t="s">
        <v>74</v>
      </c>
      <c r="Q627" t="s">
        <v>74</v>
      </c>
      <c r="R627" t="s">
        <v>74</v>
      </c>
      <c r="S627" t="s">
        <v>74</v>
      </c>
      <c r="T627" t="s">
        <v>12014</v>
      </c>
      <c r="U627" t="s">
        <v>12015</v>
      </c>
      <c r="V627" t="s">
        <v>12016</v>
      </c>
      <c r="W627" t="s">
        <v>12017</v>
      </c>
      <c r="X627" t="s">
        <v>12018</v>
      </c>
      <c r="Y627" t="s">
        <v>12019</v>
      </c>
      <c r="Z627" t="s">
        <v>12020</v>
      </c>
      <c r="AA627" t="s">
        <v>74</v>
      </c>
      <c r="AB627" t="s">
        <v>12021</v>
      </c>
      <c r="AC627" t="s">
        <v>12022</v>
      </c>
      <c r="AD627" t="s">
        <v>74</v>
      </c>
      <c r="AE627" t="s">
        <v>12023</v>
      </c>
      <c r="AF627" t="s">
        <v>74</v>
      </c>
      <c r="AG627">
        <v>52</v>
      </c>
      <c r="AH627">
        <v>0</v>
      </c>
      <c r="AI627">
        <v>0</v>
      </c>
      <c r="AJ627">
        <v>1</v>
      </c>
      <c r="AK627">
        <v>2</v>
      </c>
      <c r="AL627" t="s">
        <v>11119</v>
      </c>
      <c r="AM627" t="s">
        <v>11120</v>
      </c>
      <c r="AN627" t="s">
        <v>11121</v>
      </c>
      <c r="AO627" t="s">
        <v>11122</v>
      </c>
      <c r="AP627" t="s">
        <v>11123</v>
      </c>
      <c r="AQ627" t="s">
        <v>74</v>
      </c>
      <c r="AR627" t="s">
        <v>11124</v>
      </c>
      <c r="AS627" t="s">
        <v>11125</v>
      </c>
      <c r="AT627" t="s">
        <v>74</v>
      </c>
      <c r="AU627">
        <v>2022</v>
      </c>
      <c r="AV627">
        <v>94</v>
      </c>
      <c r="AW627" t="s">
        <v>74</v>
      </c>
      <c r="AX627" t="s">
        <v>74</v>
      </c>
      <c r="AY627">
        <v>1</v>
      </c>
      <c r="AZ627" t="s">
        <v>74</v>
      </c>
      <c r="BA627" t="s">
        <v>74</v>
      </c>
      <c r="BB627" t="s">
        <v>74</v>
      </c>
      <c r="BC627" t="s">
        <v>74</v>
      </c>
      <c r="BD627" t="s">
        <v>12024</v>
      </c>
      <c r="BE627" t="s">
        <v>12025</v>
      </c>
      <c r="BF627" t="str">
        <f>HYPERLINK("http://dx.doi.org/10.1590/0001-3765202220210579","http://dx.doi.org/10.1590/0001-3765202220210579")</f>
        <v>http://dx.doi.org/10.1590/0001-3765202220210579</v>
      </c>
      <c r="BG627" t="s">
        <v>74</v>
      </c>
      <c r="BH627" t="s">
        <v>74</v>
      </c>
      <c r="BI627">
        <v>13</v>
      </c>
      <c r="BJ627" t="s">
        <v>289</v>
      </c>
      <c r="BK627" t="s">
        <v>103</v>
      </c>
      <c r="BL627" t="s">
        <v>290</v>
      </c>
      <c r="BM627" t="s">
        <v>12026</v>
      </c>
      <c r="BN627">
        <v>35508017</v>
      </c>
      <c r="BO627" t="s">
        <v>445</v>
      </c>
      <c r="BP627" t="s">
        <v>74</v>
      </c>
      <c r="BQ627" t="s">
        <v>74</v>
      </c>
      <c r="BR627" t="s">
        <v>106</v>
      </c>
      <c r="BS627" t="s">
        <v>12027</v>
      </c>
      <c r="BT627" t="str">
        <f>HYPERLINK("https%3A%2F%2Fwww.webofscience.com%2Fwos%2Fwoscc%2Ffull-record%2FWOS:000795867400001","View Full Record in Web of Science")</f>
        <v>View Full Record in Web of Science</v>
      </c>
    </row>
    <row r="628" spans="1:72" x14ac:dyDescent="0.15">
      <c r="A628" t="s">
        <v>72</v>
      </c>
      <c r="B628" t="s">
        <v>12028</v>
      </c>
      <c r="C628" t="s">
        <v>74</v>
      </c>
      <c r="D628" t="s">
        <v>74</v>
      </c>
      <c r="E628" t="s">
        <v>74</v>
      </c>
      <c r="F628" t="s">
        <v>12029</v>
      </c>
      <c r="G628" t="s">
        <v>74</v>
      </c>
      <c r="H628" t="s">
        <v>74</v>
      </c>
      <c r="I628" t="s">
        <v>12030</v>
      </c>
      <c r="J628" t="s">
        <v>11113</v>
      </c>
      <c r="K628" t="s">
        <v>74</v>
      </c>
      <c r="L628" t="s">
        <v>74</v>
      </c>
      <c r="M628" t="s">
        <v>78</v>
      </c>
      <c r="N628" t="s">
        <v>79</v>
      </c>
      <c r="O628" t="s">
        <v>74</v>
      </c>
      <c r="P628" t="s">
        <v>74</v>
      </c>
      <c r="Q628" t="s">
        <v>74</v>
      </c>
      <c r="R628" t="s">
        <v>74</v>
      </c>
      <c r="S628" t="s">
        <v>74</v>
      </c>
      <c r="T628" t="s">
        <v>12031</v>
      </c>
      <c r="U628" t="s">
        <v>12032</v>
      </c>
      <c r="V628" t="s">
        <v>12033</v>
      </c>
      <c r="W628" t="s">
        <v>12034</v>
      </c>
      <c r="X628" t="s">
        <v>12035</v>
      </c>
      <c r="Y628" t="s">
        <v>12036</v>
      </c>
      <c r="Z628" t="s">
        <v>12037</v>
      </c>
      <c r="AA628" t="s">
        <v>12038</v>
      </c>
      <c r="AB628" t="s">
        <v>12039</v>
      </c>
      <c r="AC628" t="s">
        <v>12040</v>
      </c>
      <c r="AD628" t="s">
        <v>12041</v>
      </c>
      <c r="AE628" t="s">
        <v>12042</v>
      </c>
      <c r="AF628" t="s">
        <v>74</v>
      </c>
      <c r="AG628">
        <v>95</v>
      </c>
      <c r="AH628">
        <v>0</v>
      </c>
      <c r="AI628">
        <v>0</v>
      </c>
      <c r="AJ628">
        <v>4</v>
      </c>
      <c r="AK628">
        <v>13</v>
      </c>
      <c r="AL628" t="s">
        <v>11119</v>
      </c>
      <c r="AM628" t="s">
        <v>11120</v>
      </c>
      <c r="AN628" t="s">
        <v>11121</v>
      </c>
      <c r="AO628" t="s">
        <v>11122</v>
      </c>
      <c r="AP628" t="s">
        <v>11123</v>
      </c>
      <c r="AQ628" t="s">
        <v>74</v>
      </c>
      <c r="AR628" t="s">
        <v>11124</v>
      </c>
      <c r="AS628" t="s">
        <v>11125</v>
      </c>
      <c r="AT628" t="s">
        <v>74</v>
      </c>
      <c r="AU628">
        <v>2022</v>
      </c>
      <c r="AV628">
        <v>94</v>
      </c>
      <c r="AW628" t="s">
        <v>74</v>
      </c>
      <c r="AX628" t="s">
        <v>74</v>
      </c>
      <c r="AY628">
        <v>1</v>
      </c>
      <c r="AZ628" t="s">
        <v>74</v>
      </c>
      <c r="BA628" t="s">
        <v>74</v>
      </c>
      <c r="BB628" t="s">
        <v>74</v>
      </c>
      <c r="BC628" t="s">
        <v>74</v>
      </c>
      <c r="BD628" t="s">
        <v>12043</v>
      </c>
      <c r="BE628" t="s">
        <v>12044</v>
      </c>
      <c r="BF628" t="str">
        <f>HYPERLINK("http://dx.doi.org/10.1590/0001-3765202220210621","http://dx.doi.org/10.1590/0001-3765202220210621")</f>
        <v>http://dx.doi.org/10.1590/0001-3765202220210621</v>
      </c>
      <c r="BG628" t="s">
        <v>74</v>
      </c>
      <c r="BH628" t="s">
        <v>74</v>
      </c>
      <c r="BI628">
        <v>17</v>
      </c>
      <c r="BJ628" t="s">
        <v>289</v>
      </c>
      <c r="BK628" t="s">
        <v>103</v>
      </c>
      <c r="BL628" t="s">
        <v>290</v>
      </c>
      <c r="BM628" t="s">
        <v>12045</v>
      </c>
      <c r="BN628">
        <v>35508019</v>
      </c>
      <c r="BO628" t="s">
        <v>445</v>
      </c>
      <c r="BP628" t="s">
        <v>74</v>
      </c>
      <c r="BQ628" t="s">
        <v>74</v>
      </c>
      <c r="BR628" t="s">
        <v>106</v>
      </c>
      <c r="BS628" t="s">
        <v>12046</v>
      </c>
      <c r="BT628" t="str">
        <f>HYPERLINK("https%3A%2F%2Fwww.webofscience.com%2Fwos%2Fwoscc%2Ffull-record%2FWOS:000795868300001","View Full Record in Web of Science")</f>
        <v>View Full Record in Web of Science</v>
      </c>
    </row>
    <row r="629" spans="1:72" x14ac:dyDescent="0.15">
      <c r="A629" t="s">
        <v>72</v>
      </c>
      <c r="B629" t="s">
        <v>12047</v>
      </c>
      <c r="C629" t="s">
        <v>74</v>
      </c>
      <c r="D629" t="s">
        <v>74</v>
      </c>
      <c r="E629" t="s">
        <v>74</v>
      </c>
      <c r="F629" t="s">
        <v>12048</v>
      </c>
      <c r="G629" t="s">
        <v>74</v>
      </c>
      <c r="H629" t="s">
        <v>74</v>
      </c>
      <c r="I629" t="s">
        <v>12049</v>
      </c>
      <c r="J629" t="s">
        <v>11113</v>
      </c>
      <c r="K629" t="s">
        <v>74</v>
      </c>
      <c r="L629" t="s">
        <v>74</v>
      </c>
      <c r="M629" t="s">
        <v>78</v>
      </c>
      <c r="N629" t="s">
        <v>79</v>
      </c>
      <c r="O629" t="s">
        <v>74</v>
      </c>
      <c r="P629" t="s">
        <v>74</v>
      </c>
      <c r="Q629" t="s">
        <v>74</v>
      </c>
      <c r="R629" t="s">
        <v>74</v>
      </c>
      <c r="S629" t="s">
        <v>74</v>
      </c>
      <c r="T629" t="s">
        <v>12050</v>
      </c>
      <c r="U629" t="s">
        <v>12051</v>
      </c>
      <c r="V629" t="s">
        <v>12052</v>
      </c>
      <c r="W629" t="s">
        <v>12053</v>
      </c>
      <c r="X629" t="s">
        <v>11354</v>
      </c>
      <c r="Y629" t="s">
        <v>12054</v>
      </c>
      <c r="Z629" t="s">
        <v>12055</v>
      </c>
      <c r="AA629" t="s">
        <v>12056</v>
      </c>
      <c r="AB629" t="s">
        <v>12057</v>
      </c>
      <c r="AC629" t="s">
        <v>12058</v>
      </c>
      <c r="AD629" t="s">
        <v>12059</v>
      </c>
      <c r="AE629" t="s">
        <v>12060</v>
      </c>
      <c r="AF629" t="s">
        <v>74</v>
      </c>
      <c r="AG629">
        <v>56</v>
      </c>
      <c r="AH629">
        <v>2</v>
      </c>
      <c r="AI629">
        <v>2</v>
      </c>
      <c r="AJ629">
        <v>4</v>
      </c>
      <c r="AK629">
        <v>10</v>
      </c>
      <c r="AL629" t="s">
        <v>11119</v>
      </c>
      <c r="AM629" t="s">
        <v>11120</v>
      </c>
      <c r="AN629" t="s">
        <v>11121</v>
      </c>
      <c r="AO629" t="s">
        <v>11122</v>
      </c>
      <c r="AP629" t="s">
        <v>11123</v>
      </c>
      <c r="AQ629" t="s">
        <v>74</v>
      </c>
      <c r="AR629" t="s">
        <v>11124</v>
      </c>
      <c r="AS629" t="s">
        <v>11125</v>
      </c>
      <c r="AT629" t="s">
        <v>74</v>
      </c>
      <c r="AU629">
        <v>2022</v>
      </c>
      <c r="AV629">
        <v>94</v>
      </c>
      <c r="AW629" t="s">
        <v>74</v>
      </c>
      <c r="AX629" t="s">
        <v>74</v>
      </c>
      <c r="AY629">
        <v>1</v>
      </c>
      <c r="AZ629" t="s">
        <v>74</v>
      </c>
      <c r="BA629" t="s">
        <v>74</v>
      </c>
      <c r="BB629" t="s">
        <v>74</v>
      </c>
      <c r="BC629" t="s">
        <v>74</v>
      </c>
      <c r="BD629" t="s">
        <v>12061</v>
      </c>
      <c r="BE629" t="s">
        <v>12062</v>
      </c>
      <c r="BF629" t="str">
        <f>HYPERLINK("http://dx.doi.org/10.1590/0001-3765202220210351","http://dx.doi.org/10.1590/0001-3765202220210351")</f>
        <v>http://dx.doi.org/10.1590/0001-3765202220210351</v>
      </c>
      <c r="BG629" t="s">
        <v>74</v>
      </c>
      <c r="BH629" t="s">
        <v>74</v>
      </c>
      <c r="BI629">
        <v>16</v>
      </c>
      <c r="BJ629" t="s">
        <v>289</v>
      </c>
      <c r="BK629" t="s">
        <v>103</v>
      </c>
      <c r="BL629" t="s">
        <v>290</v>
      </c>
      <c r="BM629" t="s">
        <v>12063</v>
      </c>
      <c r="BN629">
        <v>35508014</v>
      </c>
      <c r="BO629" t="s">
        <v>292</v>
      </c>
      <c r="BP629" t="s">
        <v>74</v>
      </c>
      <c r="BQ629" t="s">
        <v>74</v>
      </c>
      <c r="BR629" t="s">
        <v>106</v>
      </c>
      <c r="BS629" t="s">
        <v>12064</v>
      </c>
      <c r="BT629" t="str">
        <f>HYPERLINK("https%3A%2F%2Fwww.webofscience.com%2Fwos%2Fwoscc%2Ffull-record%2FWOS:000795866500001","View Full Record in Web of Science")</f>
        <v>View Full Record in Web of Science</v>
      </c>
    </row>
    <row r="630" spans="1:72" x14ac:dyDescent="0.15">
      <c r="A630" t="s">
        <v>72</v>
      </c>
      <c r="B630" t="s">
        <v>12065</v>
      </c>
      <c r="C630" t="s">
        <v>74</v>
      </c>
      <c r="D630" t="s">
        <v>74</v>
      </c>
      <c r="E630" t="s">
        <v>74</v>
      </c>
      <c r="F630" t="s">
        <v>12066</v>
      </c>
      <c r="G630" t="s">
        <v>74</v>
      </c>
      <c r="H630" t="s">
        <v>74</v>
      </c>
      <c r="I630" t="s">
        <v>12067</v>
      </c>
      <c r="J630" t="s">
        <v>9737</v>
      </c>
      <c r="K630" t="s">
        <v>74</v>
      </c>
      <c r="L630" t="s">
        <v>74</v>
      </c>
      <c r="M630" t="s">
        <v>78</v>
      </c>
      <c r="N630" t="s">
        <v>79</v>
      </c>
      <c r="O630" t="s">
        <v>74</v>
      </c>
      <c r="P630" t="s">
        <v>74</v>
      </c>
      <c r="Q630" t="s">
        <v>74</v>
      </c>
      <c r="R630" t="s">
        <v>74</v>
      </c>
      <c r="S630" t="s">
        <v>74</v>
      </c>
      <c r="T630" t="s">
        <v>12068</v>
      </c>
      <c r="U630" t="s">
        <v>12069</v>
      </c>
      <c r="V630" t="s">
        <v>12070</v>
      </c>
      <c r="W630" t="s">
        <v>12071</v>
      </c>
      <c r="X630" t="s">
        <v>12072</v>
      </c>
      <c r="Y630" t="s">
        <v>4315</v>
      </c>
      <c r="Z630" t="s">
        <v>12073</v>
      </c>
      <c r="AA630" t="s">
        <v>12074</v>
      </c>
      <c r="AB630" t="s">
        <v>12075</v>
      </c>
      <c r="AC630" t="s">
        <v>12076</v>
      </c>
      <c r="AD630" t="s">
        <v>12077</v>
      </c>
      <c r="AE630" t="s">
        <v>12078</v>
      </c>
      <c r="AF630" t="s">
        <v>74</v>
      </c>
      <c r="AG630">
        <v>47</v>
      </c>
      <c r="AH630">
        <v>2</v>
      </c>
      <c r="AI630">
        <v>3</v>
      </c>
      <c r="AJ630">
        <v>4</v>
      </c>
      <c r="AK630">
        <v>19</v>
      </c>
      <c r="AL630" t="s">
        <v>1667</v>
      </c>
      <c r="AM630" t="s">
        <v>1668</v>
      </c>
      <c r="AN630" t="s">
        <v>1669</v>
      </c>
      <c r="AO630" t="s">
        <v>9750</v>
      </c>
      <c r="AP630" t="s">
        <v>9751</v>
      </c>
      <c r="AQ630" t="s">
        <v>74</v>
      </c>
      <c r="AR630" t="s">
        <v>9752</v>
      </c>
      <c r="AS630" t="s">
        <v>9753</v>
      </c>
      <c r="AT630" t="s">
        <v>74</v>
      </c>
      <c r="AU630">
        <v>2022</v>
      </c>
      <c r="AV630">
        <v>15</v>
      </c>
      <c r="AW630" t="s">
        <v>74</v>
      </c>
      <c r="AX630" t="s">
        <v>74</v>
      </c>
      <c r="AY630" t="s">
        <v>74</v>
      </c>
      <c r="AZ630" t="s">
        <v>74</v>
      </c>
      <c r="BA630" t="s">
        <v>74</v>
      </c>
      <c r="BB630">
        <v>3390</v>
      </c>
      <c r="BC630">
        <v>3402</v>
      </c>
      <c r="BD630" t="s">
        <v>74</v>
      </c>
      <c r="BE630" t="s">
        <v>12079</v>
      </c>
      <c r="BF630" t="str">
        <f>HYPERLINK("http://dx.doi.org/10.1109/JSTARS.2022.3166897","http://dx.doi.org/10.1109/JSTARS.2022.3166897")</f>
        <v>http://dx.doi.org/10.1109/JSTARS.2022.3166897</v>
      </c>
      <c r="BG630" t="s">
        <v>74</v>
      </c>
      <c r="BH630" t="s">
        <v>74</v>
      </c>
      <c r="BI630">
        <v>13</v>
      </c>
      <c r="BJ630" t="s">
        <v>9755</v>
      </c>
      <c r="BK630" t="s">
        <v>103</v>
      </c>
      <c r="BL630" t="s">
        <v>9756</v>
      </c>
      <c r="BM630" t="s">
        <v>12080</v>
      </c>
      <c r="BN630" t="s">
        <v>74</v>
      </c>
      <c r="BO630" t="s">
        <v>445</v>
      </c>
      <c r="BP630" t="s">
        <v>74</v>
      </c>
      <c r="BQ630" t="s">
        <v>74</v>
      </c>
      <c r="BR630" t="s">
        <v>106</v>
      </c>
      <c r="BS630" t="s">
        <v>12081</v>
      </c>
      <c r="BT630" t="str">
        <f>HYPERLINK("https%3A%2F%2Fwww.webofscience.com%2Fwos%2Fwoscc%2Ffull-record%2FWOS:000793810100006","View Full Record in Web of Science")</f>
        <v>View Full Record in Web of Science</v>
      </c>
    </row>
    <row r="631" spans="1:72" x14ac:dyDescent="0.15">
      <c r="A631" t="s">
        <v>72</v>
      </c>
      <c r="B631" t="s">
        <v>12082</v>
      </c>
      <c r="C631" t="s">
        <v>74</v>
      </c>
      <c r="D631" t="s">
        <v>74</v>
      </c>
      <c r="E631" t="s">
        <v>74</v>
      </c>
      <c r="F631" t="s">
        <v>12083</v>
      </c>
      <c r="G631" t="s">
        <v>74</v>
      </c>
      <c r="H631" t="s">
        <v>74</v>
      </c>
      <c r="I631" t="s">
        <v>12084</v>
      </c>
      <c r="J631" t="s">
        <v>12085</v>
      </c>
      <c r="K631" t="s">
        <v>74</v>
      </c>
      <c r="L631" t="s">
        <v>74</v>
      </c>
      <c r="M631" t="s">
        <v>78</v>
      </c>
      <c r="N631" t="s">
        <v>79</v>
      </c>
      <c r="O631" t="s">
        <v>74</v>
      </c>
      <c r="P631" t="s">
        <v>74</v>
      </c>
      <c r="Q631" t="s">
        <v>74</v>
      </c>
      <c r="R631" t="s">
        <v>74</v>
      </c>
      <c r="S631" t="s">
        <v>74</v>
      </c>
      <c r="T631" t="s">
        <v>12086</v>
      </c>
      <c r="U631" t="s">
        <v>12087</v>
      </c>
      <c r="V631" t="s">
        <v>12088</v>
      </c>
      <c r="W631" t="s">
        <v>12089</v>
      </c>
      <c r="X631" t="s">
        <v>12090</v>
      </c>
      <c r="Y631" t="s">
        <v>12091</v>
      </c>
      <c r="Z631" t="s">
        <v>12092</v>
      </c>
      <c r="AA631" t="s">
        <v>74</v>
      </c>
      <c r="AB631" t="s">
        <v>12093</v>
      </c>
      <c r="AC631" t="s">
        <v>12094</v>
      </c>
      <c r="AD631" t="s">
        <v>12095</v>
      </c>
      <c r="AE631" t="s">
        <v>12096</v>
      </c>
      <c r="AF631" t="s">
        <v>74</v>
      </c>
      <c r="AG631">
        <v>162</v>
      </c>
      <c r="AH631">
        <v>12</v>
      </c>
      <c r="AI631">
        <v>13</v>
      </c>
      <c r="AJ631">
        <v>9</v>
      </c>
      <c r="AK631">
        <v>40</v>
      </c>
      <c r="AL631" t="s">
        <v>11574</v>
      </c>
      <c r="AM631" t="s">
        <v>11575</v>
      </c>
      <c r="AN631" t="s">
        <v>11576</v>
      </c>
      <c r="AO631" t="s">
        <v>12097</v>
      </c>
      <c r="AP631" t="s">
        <v>12098</v>
      </c>
      <c r="AQ631" t="s">
        <v>74</v>
      </c>
      <c r="AR631" t="s">
        <v>12099</v>
      </c>
      <c r="AS631" t="s">
        <v>12100</v>
      </c>
      <c r="AT631" t="s">
        <v>74</v>
      </c>
      <c r="AU631">
        <v>2022</v>
      </c>
      <c r="AV631">
        <v>10</v>
      </c>
      <c r="AW631" t="s">
        <v>74</v>
      </c>
      <c r="AX631" t="s">
        <v>74</v>
      </c>
      <c r="AY631" t="s">
        <v>74</v>
      </c>
      <c r="AZ631" t="s">
        <v>74</v>
      </c>
      <c r="BA631" t="s">
        <v>74</v>
      </c>
      <c r="BB631">
        <v>39</v>
      </c>
      <c r="BC631">
        <v>62</v>
      </c>
      <c r="BD631" t="s">
        <v>74</v>
      </c>
      <c r="BE631" t="s">
        <v>12101</v>
      </c>
      <c r="BF631" t="str">
        <f>HYPERLINK("http://dx.doi.org/10.1146/annurev-animal-081221-064325","http://dx.doi.org/10.1146/annurev-animal-081221-064325")</f>
        <v>http://dx.doi.org/10.1146/annurev-animal-081221-064325</v>
      </c>
      <c r="BG631" t="s">
        <v>74</v>
      </c>
      <c r="BH631" t="s">
        <v>74</v>
      </c>
      <c r="BI631">
        <v>24</v>
      </c>
      <c r="BJ631" t="s">
        <v>12102</v>
      </c>
      <c r="BK631" t="s">
        <v>103</v>
      </c>
      <c r="BL631" t="s">
        <v>12103</v>
      </c>
      <c r="BM631" t="s">
        <v>12104</v>
      </c>
      <c r="BN631">
        <v>34748709</v>
      </c>
      <c r="BO631" t="s">
        <v>74</v>
      </c>
      <c r="BP631" t="s">
        <v>74</v>
      </c>
      <c r="BQ631" t="s">
        <v>74</v>
      </c>
      <c r="BR631" t="s">
        <v>106</v>
      </c>
      <c r="BS631" t="s">
        <v>12105</v>
      </c>
      <c r="BT631" t="str">
        <f>HYPERLINK("https%3A%2F%2Fwww.webofscience.com%2Fwos%2Fwoscc%2Ffull-record%2FWOS:000789904000004","View Full Record in Web of Science")</f>
        <v>View Full Record in Web of Science</v>
      </c>
    </row>
    <row r="632" spans="1:72" x14ac:dyDescent="0.15">
      <c r="A632" t="s">
        <v>72</v>
      </c>
      <c r="B632" t="s">
        <v>12106</v>
      </c>
      <c r="C632" t="s">
        <v>74</v>
      </c>
      <c r="D632" t="s">
        <v>74</v>
      </c>
      <c r="E632" t="s">
        <v>74</v>
      </c>
      <c r="F632" t="s">
        <v>12107</v>
      </c>
      <c r="G632" t="s">
        <v>74</v>
      </c>
      <c r="H632" t="s">
        <v>74</v>
      </c>
      <c r="I632" t="s">
        <v>12108</v>
      </c>
      <c r="J632" t="s">
        <v>12109</v>
      </c>
      <c r="K632" t="s">
        <v>74</v>
      </c>
      <c r="L632" t="s">
        <v>74</v>
      </c>
      <c r="M632" t="s">
        <v>78</v>
      </c>
      <c r="N632" t="s">
        <v>1113</v>
      </c>
      <c r="O632" t="s">
        <v>74</v>
      </c>
      <c r="P632" t="s">
        <v>74</v>
      </c>
      <c r="Q632" t="s">
        <v>74</v>
      </c>
      <c r="R632" t="s">
        <v>74</v>
      </c>
      <c r="S632" t="s">
        <v>74</v>
      </c>
      <c r="T632" t="s">
        <v>12110</v>
      </c>
      <c r="U632" t="s">
        <v>12111</v>
      </c>
      <c r="V632" t="s">
        <v>12112</v>
      </c>
      <c r="W632" t="s">
        <v>12113</v>
      </c>
      <c r="X632" t="s">
        <v>12114</v>
      </c>
      <c r="Y632" t="s">
        <v>12115</v>
      </c>
      <c r="Z632" t="s">
        <v>12116</v>
      </c>
      <c r="AA632" t="s">
        <v>74</v>
      </c>
      <c r="AB632" t="s">
        <v>12117</v>
      </c>
      <c r="AC632" t="s">
        <v>12118</v>
      </c>
      <c r="AD632" t="s">
        <v>12119</v>
      </c>
      <c r="AE632" t="s">
        <v>12120</v>
      </c>
      <c r="AF632" t="s">
        <v>74</v>
      </c>
      <c r="AG632">
        <v>191</v>
      </c>
      <c r="AH632">
        <v>20</v>
      </c>
      <c r="AI632">
        <v>23</v>
      </c>
      <c r="AJ632">
        <v>6</v>
      </c>
      <c r="AK632">
        <v>64</v>
      </c>
      <c r="AL632" t="s">
        <v>11574</v>
      </c>
      <c r="AM632" t="s">
        <v>11575</v>
      </c>
      <c r="AN632" t="s">
        <v>11576</v>
      </c>
      <c r="AO632" t="s">
        <v>12121</v>
      </c>
      <c r="AP632" t="s">
        <v>12122</v>
      </c>
      <c r="AQ632" t="s">
        <v>74</v>
      </c>
      <c r="AR632" t="s">
        <v>12123</v>
      </c>
      <c r="AS632" t="s">
        <v>12124</v>
      </c>
      <c r="AT632" t="s">
        <v>74</v>
      </c>
      <c r="AU632">
        <v>2022</v>
      </c>
      <c r="AV632">
        <v>14</v>
      </c>
      <c r="AW632" t="s">
        <v>74</v>
      </c>
      <c r="AX632" t="s">
        <v>74</v>
      </c>
      <c r="AY632" t="s">
        <v>74</v>
      </c>
      <c r="AZ632" t="s">
        <v>74</v>
      </c>
      <c r="BA632" t="s">
        <v>74</v>
      </c>
      <c r="BB632">
        <v>75</v>
      </c>
      <c r="BC632">
        <v>103</v>
      </c>
      <c r="BD632" t="s">
        <v>74</v>
      </c>
      <c r="BE632" t="s">
        <v>12125</v>
      </c>
      <c r="BF632" t="str">
        <f>HYPERLINK("http://dx.doi.org/10.1146/annurev-marine-042021-051211","http://dx.doi.org/10.1146/annurev-marine-042021-051211")</f>
        <v>http://dx.doi.org/10.1146/annurev-marine-042021-051211</v>
      </c>
      <c r="BG632" t="s">
        <v>74</v>
      </c>
      <c r="BH632" t="s">
        <v>74</v>
      </c>
      <c r="BI632">
        <v>29</v>
      </c>
      <c r="BJ632" t="s">
        <v>12126</v>
      </c>
      <c r="BK632" t="s">
        <v>103</v>
      </c>
      <c r="BL632" t="s">
        <v>12126</v>
      </c>
      <c r="BM632" t="s">
        <v>12127</v>
      </c>
      <c r="BN632">
        <v>34416127</v>
      </c>
      <c r="BO632" t="s">
        <v>1613</v>
      </c>
      <c r="BP632" t="s">
        <v>74</v>
      </c>
      <c r="BQ632" t="s">
        <v>74</v>
      </c>
      <c r="BR632" t="s">
        <v>106</v>
      </c>
      <c r="BS632" t="s">
        <v>12128</v>
      </c>
      <c r="BT632" t="str">
        <f>HYPERLINK("https%3A%2F%2Fwww.webofscience.com%2Fwos%2Fwoscc%2Ffull-record%2FWOS:000788648800005","View Full Record in Web of Science")</f>
        <v>View Full Record in Web of Science</v>
      </c>
    </row>
    <row r="633" spans="1:72" x14ac:dyDescent="0.15">
      <c r="A633" t="s">
        <v>72</v>
      </c>
      <c r="B633" t="s">
        <v>12129</v>
      </c>
      <c r="C633" t="s">
        <v>74</v>
      </c>
      <c r="D633" t="s">
        <v>74</v>
      </c>
      <c r="E633" t="s">
        <v>74</v>
      </c>
      <c r="F633" t="s">
        <v>12130</v>
      </c>
      <c r="G633" t="s">
        <v>74</v>
      </c>
      <c r="H633" t="s">
        <v>74</v>
      </c>
      <c r="I633" t="s">
        <v>12131</v>
      </c>
      <c r="J633" t="s">
        <v>12109</v>
      </c>
      <c r="K633" t="s">
        <v>74</v>
      </c>
      <c r="L633" t="s">
        <v>74</v>
      </c>
      <c r="M633" t="s">
        <v>78</v>
      </c>
      <c r="N633" t="s">
        <v>1113</v>
      </c>
      <c r="O633" t="s">
        <v>74</v>
      </c>
      <c r="P633" t="s">
        <v>74</v>
      </c>
      <c r="Q633" t="s">
        <v>74</v>
      </c>
      <c r="R633" t="s">
        <v>74</v>
      </c>
      <c r="S633" t="s">
        <v>74</v>
      </c>
      <c r="T633" t="s">
        <v>12132</v>
      </c>
      <c r="U633" t="s">
        <v>12133</v>
      </c>
      <c r="V633" t="s">
        <v>12134</v>
      </c>
      <c r="W633" t="s">
        <v>12135</v>
      </c>
      <c r="X633" t="s">
        <v>12136</v>
      </c>
      <c r="Y633" t="s">
        <v>12137</v>
      </c>
      <c r="Z633" t="s">
        <v>12138</v>
      </c>
      <c r="AA633" t="s">
        <v>12139</v>
      </c>
      <c r="AB633" t="s">
        <v>12140</v>
      </c>
      <c r="AC633" t="s">
        <v>12141</v>
      </c>
      <c r="AD633" t="s">
        <v>12142</v>
      </c>
      <c r="AE633" t="s">
        <v>12143</v>
      </c>
      <c r="AF633" t="s">
        <v>74</v>
      </c>
      <c r="AG633">
        <v>155</v>
      </c>
      <c r="AH633">
        <v>44</v>
      </c>
      <c r="AI633">
        <v>48</v>
      </c>
      <c r="AJ633">
        <v>37</v>
      </c>
      <c r="AK633">
        <v>163</v>
      </c>
      <c r="AL633" t="s">
        <v>11574</v>
      </c>
      <c r="AM633" t="s">
        <v>11575</v>
      </c>
      <c r="AN633" t="s">
        <v>11576</v>
      </c>
      <c r="AO633" t="s">
        <v>12121</v>
      </c>
      <c r="AP633" t="s">
        <v>12122</v>
      </c>
      <c r="AQ633" t="s">
        <v>74</v>
      </c>
      <c r="AR633" t="s">
        <v>12123</v>
      </c>
      <c r="AS633" t="s">
        <v>12124</v>
      </c>
      <c r="AT633" t="s">
        <v>74</v>
      </c>
      <c r="AU633">
        <v>2022</v>
      </c>
      <c r="AV633">
        <v>14</v>
      </c>
      <c r="AW633" t="s">
        <v>74</v>
      </c>
      <c r="AX633" t="s">
        <v>74</v>
      </c>
      <c r="AY633" t="s">
        <v>74</v>
      </c>
      <c r="AZ633" t="s">
        <v>74</v>
      </c>
      <c r="BA633" t="s">
        <v>74</v>
      </c>
      <c r="BB633">
        <v>303</v>
      </c>
      <c r="BC633">
        <v>330</v>
      </c>
      <c r="BD633" t="s">
        <v>74</v>
      </c>
      <c r="BE633" t="s">
        <v>12144</v>
      </c>
      <c r="BF633" t="str">
        <f>HYPERLINK("http://dx.doi.org/10.1146/annurev-marine-031921-013612","http://dx.doi.org/10.1146/annurev-marine-031921-013612")</f>
        <v>http://dx.doi.org/10.1146/annurev-marine-031921-013612</v>
      </c>
      <c r="BG633" t="s">
        <v>74</v>
      </c>
      <c r="BH633" t="s">
        <v>74</v>
      </c>
      <c r="BI633">
        <v>28</v>
      </c>
      <c r="BJ633" t="s">
        <v>12126</v>
      </c>
      <c r="BK633" t="s">
        <v>103</v>
      </c>
      <c r="BL633" t="s">
        <v>12126</v>
      </c>
      <c r="BM633" t="s">
        <v>12127</v>
      </c>
      <c r="BN633">
        <v>34416126</v>
      </c>
      <c r="BO633" t="s">
        <v>12145</v>
      </c>
      <c r="BP633" t="s">
        <v>1286</v>
      </c>
      <c r="BQ633" t="s">
        <v>1287</v>
      </c>
      <c r="BR633" t="s">
        <v>106</v>
      </c>
      <c r="BS633" t="s">
        <v>12146</v>
      </c>
      <c r="BT633" t="str">
        <f>HYPERLINK("https%3A%2F%2Fwww.webofscience.com%2Fwos%2Fwoscc%2Ffull-record%2FWOS:000788648800014","View Full Record in Web of Science")</f>
        <v>View Full Record in Web of Science</v>
      </c>
    </row>
    <row r="634" spans="1:72" x14ac:dyDescent="0.15">
      <c r="A634" t="s">
        <v>72</v>
      </c>
      <c r="B634" t="s">
        <v>12147</v>
      </c>
      <c r="C634" t="s">
        <v>74</v>
      </c>
      <c r="D634" t="s">
        <v>74</v>
      </c>
      <c r="E634" t="s">
        <v>74</v>
      </c>
      <c r="F634" t="s">
        <v>12148</v>
      </c>
      <c r="G634" t="s">
        <v>74</v>
      </c>
      <c r="H634" t="s">
        <v>74</v>
      </c>
      <c r="I634" t="s">
        <v>12149</v>
      </c>
      <c r="J634" t="s">
        <v>12109</v>
      </c>
      <c r="K634" t="s">
        <v>74</v>
      </c>
      <c r="L634" t="s">
        <v>74</v>
      </c>
      <c r="M634" t="s">
        <v>78</v>
      </c>
      <c r="N634" t="s">
        <v>1113</v>
      </c>
      <c r="O634" t="s">
        <v>74</v>
      </c>
      <c r="P634" t="s">
        <v>74</v>
      </c>
      <c r="Q634" t="s">
        <v>74</v>
      </c>
      <c r="R634" t="s">
        <v>74</v>
      </c>
      <c r="S634" t="s">
        <v>74</v>
      </c>
      <c r="T634" t="s">
        <v>12150</v>
      </c>
      <c r="U634" t="s">
        <v>12151</v>
      </c>
      <c r="V634" t="s">
        <v>12152</v>
      </c>
      <c r="W634" t="s">
        <v>12153</v>
      </c>
      <c r="X634" t="s">
        <v>12154</v>
      </c>
      <c r="Y634" t="s">
        <v>12155</v>
      </c>
      <c r="Z634" t="s">
        <v>12156</v>
      </c>
      <c r="AA634" t="s">
        <v>12157</v>
      </c>
      <c r="AB634" t="s">
        <v>12158</v>
      </c>
      <c r="AC634" t="s">
        <v>12159</v>
      </c>
      <c r="AD634" t="s">
        <v>12160</v>
      </c>
      <c r="AE634" t="s">
        <v>12161</v>
      </c>
      <c r="AF634" t="s">
        <v>74</v>
      </c>
      <c r="AG634">
        <v>128</v>
      </c>
      <c r="AH634">
        <v>26</v>
      </c>
      <c r="AI634">
        <v>28</v>
      </c>
      <c r="AJ634">
        <v>4</v>
      </c>
      <c r="AK634">
        <v>25</v>
      </c>
      <c r="AL634" t="s">
        <v>11574</v>
      </c>
      <c r="AM634" t="s">
        <v>11575</v>
      </c>
      <c r="AN634" t="s">
        <v>11576</v>
      </c>
      <c r="AO634" t="s">
        <v>12121</v>
      </c>
      <c r="AP634" t="s">
        <v>12122</v>
      </c>
      <c r="AQ634" t="s">
        <v>74</v>
      </c>
      <c r="AR634" t="s">
        <v>12123</v>
      </c>
      <c r="AS634" t="s">
        <v>12124</v>
      </c>
      <c r="AT634" t="s">
        <v>74</v>
      </c>
      <c r="AU634">
        <v>2022</v>
      </c>
      <c r="AV634">
        <v>14</v>
      </c>
      <c r="AW634" t="s">
        <v>74</v>
      </c>
      <c r="AX634" t="s">
        <v>74</v>
      </c>
      <c r="AY634" t="s">
        <v>74</v>
      </c>
      <c r="AZ634" t="s">
        <v>74</v>
      </c>
      <c r="BA634" t="s">
        <v>74</v>
      </c>
      <c r="BB634">
        <v>405</v>
      </c>
      <c r="BC634">
        <v>430</v>
      </c>
      <c r="BD634" t="s">
        <v>74</v>
      </c>
      <c r="BE634" t="s">
        <v>12162</v>
      </c>
      <c r="BF634" t="str">
        <f>HYPERLINK("http://dx.doi.org/10.1146/annurev-marine-010419-011012","http://dx.doi.org/10.1146/annurev-marine-010419-011012")</f>
        <v>http://dx.doi.org/10.1146/annurev-marine-010419-011012</v>
      </c>
      <c r="BG634" t="s">
        <v>74</v>
      </c>
      <c r="BH634" t="s">
        <v>74</v>
      </c>
      <c r="BI634">
        <v>26</v>
      </c>
      <c r="BJ634" t="s">
        <v>12126</v>
      </c>
      <c r="BK634" t="s">
        <v>103</v>
      </c>
      <c r="BL634" t="s">
        <v>12126</v>
      </c>
      <c r="BM634" t="s">
        <v>12127</v>
      </c>
      <c r="BN634">
        <v>34437811</v>
      </c>
      <c r="BO634" t="s">
        <v>948</v>
      </c>
      <c r="BP634" t="s">
        <v>74</v>
      </c>
      <c r="BQ634" t="s">
        <v>74</v>
      </c>
      <c r="BR634" t="s">
        <v>106</v>
      </c>
      <c r="BS634" t="s">
        <v>12163</v>
      </c>
      <c r="BT634" t="str">
        <f>HYPERLINK("https%3A%2F%2Fwww.webofscience.com%2Fwos%2Fwoscc%2Ffull-record%2FWOS:000788648800018","View Full Record in Web of Science")</f>
        <v>View Full Record in Web of Science</v>
      </c>
    </row>
    <row r="635" spans="1:72" x14ac:dyDescent="0.15">
      <c r="A635" t="s">
        <v>72</v>
      </c>
      <c r="B635" t="s">
        <v>12164</v>
      </c>
      <c r="C635" t="s">
        <v>74</v>
      </c>
      <c r="D635" t="s">
        <v>74</v>
      </c>
      <c r="E635" t="s">
        <v>74</v>
      </c>
      <c r="F635" t="s">
        <v>12165</v>
      </c>
      <c r="G635" t="s">
        <v>74</v>
      </c>
      <c r="H635" t="s">
        <v>74</v>
      </c>
      <c r="I635" t="s">
        <v>12166</v>
      </c>
      <c r="J635" t="s">
        <v>12167</v>
      </c>
      <c r="K635" t="s">
        <v>74</v>
      </c>
      <c r="L635" t="s">
        <v>74</v>
      </c>
      <c r="M635" t="s">
        <v>78</v>
      </c>
      <c r="N635" t="s">
        <v>79</v>
      </c>
      <c r="O635" t="s">
        <v>74</v>
      </c>
      <c r="P635" t="s">
        <v>74</v>
      </c>
      <c r="Q635" t="s">
        <v>74</v>
      </c>
      <c r="R635" t="s">
        <v>74</v>
      </c>
      <c r="S635" t="s">
        <v>74</v>
      </c>
      <c r="T635" t="s">
        <v>12168</v>
      </c>
      <c r="U635" t="s">
        <v>12169</v>
      </c>
      <c r="V635" t="s">
        <v>12170</v>
      </c>
      <c r="W635" t="s">
        <v>12171</v>
      </c>
      <c r="X635" t="s">
        <v>12172</v>
      </c>
      <c r="Y635" t="s">
        <v>12173</v>
      </c>
      <c r="Z635" t="s">
        <v>12174</v>
      </c>
      <c r="AA635" t="s">
        <v>74</v>
      </c>
      <c r="AB635" t="s">
        <v>12175</v>
      </c>
      <c r="AC635" t="s">
        <v>12176</v>
      </c>
      <c r="AD635" t="s">
        <v>12177</v>
      </c>
      <c r="AE635" t="s">
        <v>12178</v>
      </c>
      <c r="AF635" t="s">
        <v>74</v>
      </c>
      <c r="AG635">
        <v>51</v>
      </c>
      <c r="AH635">
        <v>2</v>
      </c>
      <c r="AI635">
        <v>2</v>
      </c>
      <c r="AJ635">
        <v>1</v>
      </c>
      <c r="AK635">
        <v>2</v>
      </c>
      <c r="AL635" t="s">
        <v>12179</v>
      </c>
      <c r="AM635" t="s">
        <v>1933</v>
      </c>
      <c r="AN635" t="s">
        <v>12180</v>
      </c>
      <c r="AO635" t="s">
        <v>12181</v>
      </c>
      <c r="AP635" t="s">
        <v>12182</v>
      </c>
      <c r="AQ635" t="s">
        <v>74</v>
      </c>
      <c r="AR635" t="s">
        <v>12183</v>
      </c>
      <c r="AS635" t="s">
        <v>12184</v>
      </c>
      <c r="AT635" t="s">
        <v>74</v>
      </c>
      <c r="AU635">
        <v>2022</v>
      </c>
      <c r="AV635">
        <v>44</v>
      </c>
      <c r="AW635">
        <v>2</v>
      </c>
      <c r="AX635" t="s">
        <v>74</v>
      </c>
      <c r="AY635" t="s">
        <v>74</v>
      </c>
      <c r="AZ635" t="s">
        <v>74</v>
      </c>
      <c r="BA635" t="s">
        <v>74</v>
      </c>
      <c r="BB635" t="s">
        <v>12185</v>
      </c>
      <c r="BC635" t="s">
        <v>12186</v>
      </c>
      <c r="BD635" t="s">
        <v>74</v>
      </c>
      <c r="BE635" t="s">
        <v>12187</v>
      </c>
      <c r="BF635" t="str">
        <f>HYPERLINK("http://dx.doi.org/10.1137/21M1395260","http://dx.doi.org/10.1137/21M1395260")</f>
        <v>http://dx.doi.org/10.1137/21M1395260</v>
      </c>
      <c r="BG635" t="s">
        <v>74</v>
      </c>
      <c r="BH635" t="s">
        <v>74</v>
      </c>
      <c r="BI635">
        <v>29</v>
      </c>
      <c r="BJ635" t="s">
        <v>12188</v>
      </c>
      <c r="BK635" t="s">
        <v>103</v>
      </c>
      <c r="BL635" t="s">
        <v>12189</v>
      </c>
      <c r="BM635" t="s">
        <v>12190</v>
      </c>
      <c r="BN635" t="s">
        <v>74</v>
      </c>
      <c r="BO635" t="s">
        <v>4950</v>
      </c>
      <c r="BP635" t="s">
        <v>74</v>
      </c>
      <c r="BQ635" t="s">
        <v>74</v>
      </c>
      <c r="BR635" t="s">
        <v>106</v>
      </c>
      <c r="BS635" t="s">
        <v>12191</v>
      </c>
      <c r="BT635" t="str">
        <f>HYPERLINK("https%3A%2F%2Fwww.webofscience.com%2Fwos%2Fwoscc%2Ffull-record%2FWOS:000788282300006","View Full Record in Web of Science")</f>
        <v>View Full Record in Web of Science</v>
      </c>
    </row>
    <row r="636" spans="1:72" x14ac:dyDescent="0.15">
      <c r="A636" t="s">
        <v>72</v>
      </c>
      <c r="B636" t="s">
        <v>12192</v>
      </c>
      <c r="C636" t="s">
        <v>74</v>
      </c>
      <c r="D636" t="s">
        <v>74</v>
      </c>
      <c r="E636" t="s">
        <v>74</v>
      </c>
      <c r="F636" t="s">
        <v>12193</v>
      </c>
      <c r="G636" t="s">
        <v>74</v>
      </c>
      <c r="H636" t="s">
        <v>74</v>
      </c>
      <c r="I636" t="s">
        <v>12194</v>
      </c>
      <c r="J636" t="s">
        <v>12195</v>
      </c>
      <c r="K636" t="s">
        <v>74</v>
      </c>
      <c r="L636" t="s">
        <v>74</v>
      </c>
      <c r="M636" t="s">
        <v>78</v>
      </c>
      <c r="N636" t="s">
        <v>79</v>
      </c>
      <c r="O636" t="s">
        <v>74</v>
      </c>
      <c r="P636" t="s">
        <v>74</v>
      </c>
      <c r="Q636" t="s">
        <v>74</v>
      </c>
      <c r="R636" t="s">
        <v>74</v>
      </c>
      <c r="S636" t="s">
        <v>74</v>
      </c>
      <c r="T636" t="s">
        <v>12196</v>
      </c>
      <c r="U636" t="s">
        <v>12197</v>
      </c>
      <c r="V636" t="s">
        <v>12198</v>
      </c>
      <c r="W636" t="s">
        <v>12199</v>
      </c>
      <c r="X636" t="s">
        <v>12200</v>
      </c>
      <c r="Y636" t="s">
        <v>12201</v>
      </c>
      <c r="Z636" t="s">
        <v>12202</v>
      </c>
      <c r="AA636" t="s">
        <v>74</v>
      </c>
      <c r="AB636" t="s">
        <v>12203</v>
      </c>
      <c r="AC636" t="s">
        <v>12204</v>
      </c>
      <c r="AD636" t="s">
        <v>12205</v>
      </c>
      <c r="AE636" t="s">
        <v>12206</v>
      </c>
      <c r="AF636" t="s">
        <v>74</v>
      </c>
      <c r="AG636">
        <v>25</v>
      </c>
      <c r="AH636">
        <v>5</v>
      </c>
      <c r="AI636">
        <v>5</v>
      </c>
      <c r="AJ636">
        <v>4</v>
      </c>
      <c r="AK636">
        <v>12</v>
      </c>
      <c r="AL636" t="s">
        <v>5820</v>
      </c>
      <c r="AM636" t="s">
        <v>5821</v>
      </c>
      <c r="AN636" t="s">
        <v>5822</v>
      </c>
      <c r="AO636" t="s">
        <v>12207</v>
      </c>
      <c r="AP636" t="s">
        <v>12208</v>
      </c>
      <c r="AQ636" t="s">
        <v>74</v>
      </c>
      <c r="AR636" t="s">
        <v>12209</v>
      </c>
      <c r="AS636" t="s">
        <v>12210</v>
      </c>
      <c r="AT636" t="s">
        <v>74</v>
      </c>
      <c r="AU636">
        <v>2022</v>
      </c>
      <c r="AV636">
        <v>88</v>
      </c>
      <c r="AW636" t="s">
        <v>74</v>
      </c>
      <c r="AX636" t="s">
        <v>74</v>
      </c>
      <c r="AY636" t="s">
        <v>74</v>
      </c>
      <c r="AZ636" t="s">
        <v>74</v>
      </c>
      <c r="BA636" t="s">
        <v>74</v>
      </c>
      <c r="BB636">
        <v>19</v>
      </c>
      <c r="BC636">
        <v>24</v>
      </c>
      <c r="BD636" t="s">
        <v>74</v>
      </c>
      <c r="BE636" t="s">
        <v>12211</v>
      </c>
      <c r="BF636" t="str">
        <f>HYPERLINK("http://dx.doi.org/10.3354/ame01981","http://dx.doi.org/10.3354/ame01981")</f>
        <v>http://dx.doi.org/10.3354/ame01981</v>
      </c>
      <c r="BG636" t="s">
        <v>74</v>
      </c>
      <c r="BH636" t="s">
        <v>74</v>
      </c>
      <c r="BI636">
        <v>6</v>
      </c>
      <c r="BJ636" t="s">
        <v>12212</v>
      </c>
      <c r="BK636" t="s">
        <v>103</v>
      </c>
      <c r="BL636" t="s">
        <v>12213</v>
      </c>
      <c r="BM636" t="s">
        <v>12214</v>
      </c>
      <c r="BN636" t="s">
        <v>74</v>
      </c>
      <c r="BO636" t="s">
        <v>796</v>
      </c>
      <c r="BP636" t="s">
        <v>74</v>
      </c>
      <c r="BQ636" t="s">
        <v>74</v>
      </c>
      <c r="BR636" t="s">
        <v>106</v>
      </c>
      <c r="BS636" t="s">
        <v>12215</v>
      </c>
      <c r="BT636" t="str">
        <f>HYPERLINK("https%3A%2F%2Fwww.webofscience.com%2Fwos%2Fwoscc%2Ffull-record%2FWOS:000790576000002","View Full Record in Web of Science")</f>
        <v>View Full Record in Web of Science</v>
      </c>
    </row>
    <row r="637" spans="1:72" x14ac:dyDescent="0.15">
      <c r="A637" t="s">
        <v>72</v>
      </c>
      <c r="B637" t="s">
        <v>12216</v>
      </c>
      <c r="C637" t="s">
        <v>74</v>
      </c>
      <c r="D637" t="s">
        <v>74</v>
      </c>
      <c r="E637" t="s">
        <v>74</v>
      </c>
      <c r="F637" t="s">
        <v>12217</v>
      </c>
      <c r="G637" t="s">
        <v>74</v>
      </c>
      <c r="H637" t="s">
        <v>74</v>
      </c>
      <c r="I637" t="s">
        <v>12218</v>
      </c>
      <c r="J637" t="s">
        <v>2683</v>
      </c>
      <c r="K637" t="s">
        <v>74</v>
      </c>
      <c r="L637" t="s">
        <v>74</v>
      </c>
      <c r="M637" t="s">
        <v>78</v>
      </c>
      <c r="N637" t="s">
        <v>79</v>
      </c>
      <c r="O637" t="s">
        <v>74</v>
      </c>
      <c r="P637" t="s">
        <v>74</v>
      </c>
      <c r="Q637" t="s">
        <v>74</v>
      </c>
      <c r="R637" t="s">
        <v>74</v>
      </c>
      <c r="S637" t="s">
        <v>74</v>
      </c>
      <c r="T637" t="s">
        <v>12219</v>
      </c>
      <c r="U637" t="s">
        <v>12220</v>
      </c>
      <c r="V637" t="s">
        <v>12221</v>
      </c>
      <c r="W637" t="s">
        <v>12222</v>
      </c>
      <c r="X637" t="s">
        <v>2688</v>
      </c>
      <c r="Y637" t="s">
        <v>12223</v>
      </c>
      <c r="Z637" t="s">
        <v>12224</v>
      </c>
      <c r="AA637" t="s">
        <v>12225</v>
      </c>
      <c r="AB637" t="s">
        <v>12226</v>
      </c>
      <c r="AC637" t="s">
        <v>74</v>
      </c>
      <c r="AD637" t="s">
        <v>74</v>
      </c>
      <c r="AE637" t="s">
        <v>74</v>
      </c>
      <c r="AF637" t="s">
        <v>74</v>
      </c>
      <c r="AG637">
        <v>27</v>
      </c>
      <c r="AH637">
        <v>0</v>
      </c>
      <c r="AI637">
        <v>0</v>
      </c>
      <c r="AJ637">
        <v>1</v>
      </c>
      <c r="AK637">
        <v>1</v>
      </c>
      <c r="AL637" t="s">
        <v>2692</v>
      </c>
      <c r="AM637" t="s">
        <v>506</v>
      </c>
      <c r="AN637" t="s">
        <v>2693</v>
      </c>
      <c r="AO637" t="s">
        <v>2694</v>
      </c>
      <c r="AP637" t="s">
        <v>2695</v>
      </c>
      <c r="AQ637" t="s">
        <v>74</v>
      </c>
      <c r="AR637" t="s">
        <v>2696</v>
      </c>
      <c r="AS637" t="s">
        <v>2697</v>
      </c>
      <c r="AT637" t="s">
        <v>4645</v>
      </c>
      <c r="AU637">
        <v>2022</v>
      </c>
      <c r="AV637">
        <v>47</v>
      </c>
      <c r="AW637">
        <v>1</v>
      </c>
      <c r="AX637" t="s">
        <v>74</v>
      </c>
      <c r="AY637" t="s">
        <v>74</v>
      </c>
      <c r="AZ637" t="s">
        <v>74</v>
      </c>
      <c r="BA637" t="s">
        <v>74</v>
      </c>
      <c r="BB637">
        <v>32</v>
      </c>
      <c r="BC637">
        <v>40</v>
      </c>
      <c r="BD637" t="s">
        <v>74</v>
      </c>
      <c r="BE637" t="s">
        <v>12227</v>
      </c>
      <c r="BF637" t="str">
        <f>HYPERLINK("http://dx.doi.org/10.3103/S1068373922010046","http://dx.doi.org/10.3103/S1068373922010046")</f>
        <v>http://dx.doi.org/10.3103/S1068373922010046</v>
      </c>
      <c r="BG637" t="s">
        <v>74</v>
      </c>
      <c r="BH637" t="s">
        <v>74</v>
      </c>
      <c r="BI637">
        <v>9</v>
      </c>
      <c r="BJ637" t="s">
        <v>514</v>
      </c>
      <c r="BK637" t="s">
        <v>103</v>
      </c>
      <c r="BL637" t="s">
        <v>514</v>
      </c>
      <c r="BM637" t="s">
        <v>12228</v>
      </c>
      <c r="BN637" t="s">
        <v>74</v>
      </c>
      <c r="BO637" t="s">
        <v>74</v>
      </c>
      <c r="BP637" t="s">
        <v>74</v>
      </c>
      <c r="BQ637" t="s">
        <v>74</v>
      </c>
      <c r="BR637" t="s">
        <v>106</v>
      </c>
      <c r="BS637" t="s">
        <v>12229</v>
      </c>
      <c r="BT637" t="str">
        <f>HYPERLINK("https%3A%2F%2Fwww.webofscience.com%2Fwos%2Fwoscc%2Ffull-record%2FWOS:000790781200004","View Full Record in Web of Science")</f>
        <v>View Full Record in Web of Science</v>
      </c>
    </row>
    <row r="638" spans="1:72" x14ac:dyDescent="0.15">
      <c r="A638" t="s">
        <v>72</v>
      </c>
      <c r="B638" t="s">
        <v>12230</v>
      </c>
      <c r="C638" t="s">
        <v>74</v>
      </c>
      <c r="D638" t="s">
        <v>74</v>
      </c>
      <c r="E638" t="s">
        <v>74</v>
      </c>
      <c r="F638" t="s">
        <v>12231</v>
      </c>
      <c r="G638" t="s">
        <v>74</v>
      </c>
      <c r="H638" t="s">
        <v>74</v>
      </c>
      <c r="I638" t="s">
        <v>12232</v>
      </c>
      <c r="J638" t="s">
        <v>9196</v>
      </c>
      <c r="K638" t="s">
        <v>74</v>
      </c>
      <c r="L638" t="s">
        <v>74</v>
      </c>
      <c r="M638" t="s">
        <v>78</v>
      </c>
      <c r="N638" t="s">
        <v>79</v>
      </c>
      <c r="O638" t="s">
        <v>74</v>
      </c>
      <c r="P638" t="s">
        <v>74</v>
      </c>
      <c r="Q638" t="s">
        <v>74</v>
      </c>
      <c r="R638" t="s">
        <v>74</v>
      </c>
      <c r="S638" t="s">
        <v>74</v>
      </c>
      <c r="T638" t="s">
        <v>12233</v>
      </c>
      <c r="U638" t="s">
        <v>12234</v>
      </c>
      <c r="V638" t="s">
        <v>12235</v>
      </c>
      <c r="W638" t="s">
        <v>12236</v>
      </c>
      <c r="X638" t="s">
        <v>12237</v>
      </c>
      <c r="Y638" t="s">
        <v>12238</v>
      </c>
      <c r="Z638" t="s">
        <v>12239</v>
      </c>
      <c r="AA638" t="s">
        <v>12240</v>
      </c>
      <c r="AB638" t="s">
        <v>12241</v>
      </c>
      <c r="AC638" t="s">
        <v>12242</v>
      </c>
      <c r="AD638" t="s">
        <v>12242</v>
      </c>
      <c r="AE638" t="s">
        <v>12243</v>
      </c>
      <c r="AF638" t="s">
        <v>74</v>
      </c>
      <c r="AG638">
        <v>27</v>
      </c>
      <c r="AH638">
        <v>4</v>
      </c>
      <c r="AI638">
        <v>4</v>
      </c>
      <c r="AJ638">
        <v>1</v>
      </c>
      <c r="AK638">
        <v>11</v>
      </c>
      <c r="AL638" t="s">
        <v>1667</v>
      </c>
      <c r="AM638" t="s">
        <v>1668</v>
      </c>
      <c r="AN638" t="s">
        <v>1669</v>
      </c>
      <c r="AO638" t="s">
        <v>9209</v>
      </c>
      <c r="AP638" t="s">
        <v>9210</v>
      </c>
      <c r="AQ638" t="s">
        <v>74</v>
      </c>
      <c r="AR638" t="s">
        <v>9211</v>
      </c>
      <c r="AS638" t="s">
        <v>9212</v>
      </c>
      <c r="AT638" t="s">
        <v>74</v>
      </c>
      <c r="AU638">
        <v>2022</v>
      </c>
      <c r="AV638">
        <v>60</v>
      </c>
      <c r="AW638" t="s">
        <v>74</v>
      </c>
      <c r="AX638" t="s">
        <v>74</v>
      </c>
      <c r="AY638" t="s">
        <v>74</v>
      </c>
      <c r="AZ638" t="s">
        <v>74</v>
      </c>
      <c r="BA638" t="s">
        <v>74</v>
      </c>
      <c r="BB638" t="s">
        <v>74</v>
      </c>
      <c r="BC638" t="s">
        <v>74</v>
      </c>
      <c r="BD638">
        <v>5224610</v>
      </c>
      <c r="BE638" t="s">
        <v>12244</v>
      </c>
      <c r="BF638" t="str">
        <f>HYPERLINK("http://dx.doi.org/10.1109/TGRS.2022.3158591","http://dx.doi.org/10.1109/TGRS.2022.3158591")</f>
        <v>http://dx.doi.org/10.1109/TGRS.2022.3158591</v>
      </c>
      <c r="BG638" t="s">
        <v>74</v>
      </c>
      <c r="BH638" t="s">
        <v>74</v>
      </c>
      <c r="BI638">
        <v>10</v>
      </c>
      <c r="BJ638" t="s">
        <v>9214</v>
      </c>
      <c r="BK638" t="s">
        <v>103</v>
      </c>
      <c r="BL638" t="s">
        <v>9215</v>
      </c>
      <c r="BM638" t="s">
        <v>12245</v>
      </c>
      <c r="BN638" t="s">
        <v>74</v>
      </c>
      <c r="BO638" t="s">
        <v>796</v>
      </c>
      <c r="BP638" t="s">
        <v>74</v>
      </c>
      <c r="BQ638" t="s">
        <v>74</v>
      </c>
      <c r="BR638" t="s">
        <v>106</v>
      </c>
      <c r="BS638" t="s">
        <v>12246</v>
      </c>
      <c r="BT638" t="str">
        <f>HYPERLINK("https%3A%2F%2Fwww.webofscience.com%2Fwos%2Fwoscc%2Ffull-record%2FWOS:000783579800014","View Full Record in Web of Science")</f>
        <v>View Full Record in Web of Science</v>
      </c>
    </row>
    <row r="639" spans="1:72" x14ac:dyDescent="0.15">
      <c r="A639" t="s">
        <v>72</v>
      </c>
      <c r="B639" t="s">
        <v>12247</v>
      </c>
      <c r="C639" t="s">
        <v>74</v>
      </c>
      <c r="D639" t="s">
        <v>74</v>
      </c>
      <c r="E639" t="s">
        <v>74</v>
      </c>
      <c r="F639" t="s">
        <v>12248</v>
      </c>
      <c r="G639" t="s">
        <v>74</v>
      </c>
      <c r="H639" t="s">
        <v>74</v>
      </c>
      <c r="I639" t="s">
        <v>12249</v>
      </c>
      <c r="J639" t="s">
        <v>12250</v>
      </c>
      <c r="K639" t="s">
        <v>74</v>
      </c>
      <c r="L639" t="s">
        <v>74</v>
      </c>
      <c r="M639" t="s">
        <v>78</v>
      </c>
      <c r="N639" t="s">
        <v>79</v>
      </c>
      <c r="O639" t="s">
        <v>74</v>
      </c>
      <c r="P639" t="s">
        <v>74</v>
      </c>
      <c r="Q639" t="s">
        <v>74</v>
      </c>
      <c r="R639" t="s">
        <v>74</v>
      </c>
      <c r="S639" t="s">
        <v>74</v>
      </c>
      <c r="T639" t="s">
        <v>12251</v>
      </c>
      <c r="U639" t="s">
        <v>12252</v>
      </c>
      <c r="V639" t="s">
        <v>12253</v>
      </c>
      <c r="W639" t="s">
        <v>12254</v>
      </c>
      <c r="X639" t="s">
        <v>12255</v>
      </c>
      <c r="Y639" t="s">
        <v>12256</v>
      </c>
      <c r="Z639" t="s">
        <v>12257</v>
      </c>
      <c r="AA639" t="s">
        <v>12258</v>
      </c>
      <c r="AB639" t="s">
        <v>12259</v>
      </c>
      <c r="AC639" t="s">
        <v>12260</v>
      </c>
      <c r="AD639" t="s">
        <v>12261</v>
      </c>
      <c r="AE639" t="s">
        <v>12262</v>
      </c>
      <c r="AF639" t="s">
        <v>74</v>
      </c>
      <c r="AG639">
        <v>77</v>
      </c>
      <c r="AH639">
        <v>3</v>
      </c>
      <c r="AI639">
        <v>3</v>
      </c>
      <c r="AJ639">
        <v>7</v>
      </c>
      <c r="AK639">
        <v>15</v>
      </c>
      <c r="AL639" t="s">
        <v>12263</v>
      </c>
      <c r="AM639" t="s">
        <v>12264</v>
      </c>
      <c r="AN639" t="s">
        <v>12265</v>
      </c>
      <c r="AO639" t="s">
        <v>12266</v>
      </c>
      <c r="AP639" t="s">
        <v>12267</v>
      </c>
      <c r="AQ639" t="s">
        <v>74</v>
      </c>
      <c r="AR639" t="s">
        <v>12268</v>
      </c>
      <c r="AS639" t="s">
        <v>12269</v>
      </c>
      <c r="AT639" t="s">
        <v>74</v>
      </c>
      <c r="AU639">
        <v>2022</v>
      </c>
      <c r="AV639">
        <v>152</v>
      </c>
      <c r="AW639" t="s">
        <v>74</v>
      </c>
      <c r="AX639" t="s">
        <v>74</v>
      </c>
      <c r="AY639" t="s">
        <v>74</v>
      </c>
      <c r="AZ639" t="s">
        <v>74</v>
      </c>
      <c r="BA639" t="s">
        <v>74</v>
      </c>
      <c r="BB639">
        <v>55</v>
      </c>
      <c r="BC639">
        <v>73</v>
      </c>
      <c r="BD639" t="s">
        <v>74</v>
      </c>
      <c r="BE639" t="s">
        <v>12270</v>
      </c>
      <c r="BF639" t="str">
        <f>HYPERLINK("http://dx.doi.org/10.26496/bjz.2022.99","http://dx.doi.org/10.26496/bjz.2022.99")</f>
        <v>http://dx.doi.org/10.26496/bjz.2022.99</v>
      </c>
      <c r="BG639" t="s">
        <v>74</v>
      </c>
      <c r="BH639" t="s">
        <v>74</v>
      </c>
      <c r="BI639">
        <v>19</v>
      </c>
      <c r="BJ639" t="s">
        <v>3187</v>
      </c>
      <c r="BK639" t="s">
        <v>103</v>
      </c>
      <c r="BL639" t="s">
        <v>3187</v>
      </c>
      <c r="BM639" t="s">
        <v>12271</v>
      </c>
      <c r="BN639" t="s">
        <v>74</v>
      </c>
      <c r="BO639" t="s">
        <v>4992</v>
      </c>
      <c r="BP639" t="s">
        <v>74</v>
      </c>
      <c r="BQ639" t="s">
        <v>74</v>
      </c>
      <c r="BR639" t="s">
        <v>106</v>
      </c>
      <c r="BS639" t="s">
        <v>12272</v>
      </c>
      <c r="BT639" t="str">
        <f>HYPERLINK("https%3A%2F%2Fwww.webofscience.com%2Fwos%2Fwoscc%2Ffull-record%2FWOS:000788774600001","View Full Record in Web of Science")</f>
        <v>View Full Record in Web of Science</v>
      </c>
    </row>
    <row r="640" spans="1:72" x14ac:dyDescent="0.15">
      <c r="A640" t="s">
        <v>72</v>
      </c>
      <c r="B640" t="s">
        <v>12273</v>
      </c>
      <c r="C640" t="s">
        <v>74</v>
      </c>
      <c r="D640" t="s">
        <v>74</v>
      </c>
      <c r="E640" t="s">
        <v>74</v>
      </c>
      <c r="F640" t="s">
        <v>12274</v>
      </c>
      <c r="G640" t="s">
        <v>74</v>
      </c>
      <c r="H640" t="s">
        <v>74</v>
      </c>
      <c r="I640" t="s">
        <v>12275</v>
      </c>
      <c r="J640" t="s">
        <v>8773</v>
      </c>
      <c r="K640" t="s">
        <v>74</v>
      </c>
      <c r="L640" t="s">
        <v>74</v>
      </c>
      <c r="M640" t="s">
        <v>78</v>
      </c>
      <c r="N640" t="s">
        <v>79</v>
      </c>
      <c r="O640" t="s">
        <v>74</v>
      </c>
      <c r="P640" t="s">
        <v>74</v>
      </c>
      <c r="Q640" t="s">
        <v>74</v>
      </c>
      <c r="R640" t="s">
        <v>74</v>
      </c>
      <c r="S640" t="s">
        <v>74</v>
      </c>
      <c r="T640" t="s">
        <v>12276</v>
      </c>
      <c r="U640" t="s">
        <v>12277</v>
      </c>
      <c r="V640" t="s">
        <v>12278</v>
      </c>
      <c r="W640" t="s">
        <v>12279</v>
      </c>
      <c r="X640" t="s">
        <v>12280</v>
      </c>
      <c r="Y640" t="s">
        <v>12281</v>
      </c>
      <c r="Z640" t="s">
        <v>12282</v>
      </c>
      <c r="AA640" t="s">
        <v>12283</v>
      </c>
      <c r="AB640" t="s">
        <v>12284</v>
      </c>
      <c r="AC640" t="s">
        <v>12285</v>
      </c>
      <c r="AD640" t="s">
        <v>12286</v>
      </c>
      <c r="AE640" t="s">
        <v>12287</v>
      </c>
      <c r="AF640" t="s">
        <v>74</v>
      </c>
      <c r="AG640">
        <v>75</v>
      </c>
      <c r="AH640">
        <v>1</v>
      </c>
      <c r="AI640">
        <v>1</v>
      </c>
      <c r="AJ640">
        <v>1</v>
      </c>
      <c r="AK640">
        <v>6</v>
      </c>
      <c r="AL640" t="s">
        <v>8786</v>
      </c>
      <c r="AM640" t="s">
        <v>436</v>
      </c>
      <c r="AN640" t="s">
        <v>8787</v>
      </c>
      <c r="AO640" t="s">
        <v>8788</v>
      </c>
      <c r="AP640" t="s">
        <v>8789</v>
      </c>
      <c r="AQ640" t="s">
        <v>74</v>
      </c>
      <c r="AR640" t="s">
        <v>8790</v>
      </c>
      <c r="AS640" t="s">
        <v>8791</v>
      </c>
      <c r="AT640" t="s">
        <v>74</v>
      </c>
      <c r="AU640">
        <v>2022</v>
      </c>
      <c r="AV640">
        <v>72</v>
      </c>
      <c r="AW640">
        <v>2</v>
      </c>
      <c r="AX640" t="s">
        <v>74</v>
      </c>
      <c r="AY640" t="s">
        <v>74</v>
      </c>
      <c r="AZ640" t="s">
        <v>74</v>
      </c>
      <c r="BA640" t="s">
        <v>74</v>
      </c>
      <c r="BB640" t="s">
        <v>74</v>
      </c>
      <c r="BC640" t="s">
        <v>74</v>
      </c>
      <c r="BD640">
        <v>5250</v>
      </c>
      <c r="BE640" t="s">
        <v>12288</v>
      </c>
      <c r="BF640" t="str">
        <f>HYPERLINK("http://dx.doi.org/10.1099/ijsem.0.005250","http://dx.doi.org/10.1099/ijsem.0.005250")</f>
        <v>http://dx.doi.org/10.1099/ijsem.0.005250</v>
      </c>
      <c r="BG640" t="s">
        <v>74</v>
      </c>
      <c r="BH640" t="s">
        <v>74</v>
      </c>
      <c r="BI640">
        <v>10</v>
      </c>
      <c r="BJ640" t="s">
        <v>747</v>
      </c>
      <c r="BK640" t="s">
        <v>103</v>
      </c>
      <c r="BL640" t="s">
        <v>747</v>
      </c>
      <c r="BM640" t="s">
        <v>12289</v>
      </c>
      <c r="BN640">
        <v>35171092</v>
      </c>
      <c r="BO640" t="s">
        <v>74</v>
      </c>
      <c r="BP640" t="s">
        <v>74</v>
      </c>
      <c r="BQ640" t="s">
        <v>74</v>
      </c>
      <c r="BR640" t="s">
        <v>106</v>
      </c>
      <c r="BS640" t="s">
        <v>12290</v>
      </c>
      <c r="BT640" t="str">
        <f>HYPERLINK("https%3A%2F%2Fwww.webofscience.com%2Fwos%2Fwoscc%2Ffull-record%2FWOS:000786094800015","View Full Record in Web of Science")</f>
        <v>View Full Record in Web of Science</v>
      </c>
    </row>
    <row r="641" spans="1:72" x14ac:dyDescent="0.15">
      <c r="A641" t="s">
        <v>72</v>
      </c>
      <c r="B641" t="s">
        <v>12291</v>
      </c>
      <c r="C641" t="s">
        <v>74</v>
      </c>
      <c r="D641" t="s">
        <v>74</v>
      </c>
      <c r="E641" t="s">
        <v>74</v>
      </c>
      <c r="F641" t="s">
        <v>12292</v>
      </c>
      <c r="G641" t="s">
        <v>74</v>
      </c>
      <c r="H641" t="s">
        <v>74</v>
      </c>
      <c r="I641" t="s">
        <v>12293</v>
      </c>
      <c r="J641" t="s">
        <v>2855</v>
      </c>
      <c r="K641" t="s">
        <v>74</v>
      </c>
      <c r="L641" t="s">
        <v>74</v>
      </c>
      <c r="M641" t="s">
        <v>78</v>
      </c>
      <c r="N641" t="s">
        <v>79</v>
      </c>
      <c r="O641" t="s">
        <v>74</v>
      </c>
      <c r="P641" t="s">
        <v>74</v>
      </c>
      <c r="Q641" t="s">
        <v>74</v>
      </c>
      <c r="R641" t="s">
        <v>74</v>
      </c>
      <c r="S641" t="s">
        <v>74</v>
      </c>
      <c r="T641" t="s">
        <v>12294</v>
      </c>
      <c r="U641" t="s">
        <v>12295</v>
      </c>
      <c r="V641" t="s">
        <v>12296</v>
      </c>
      <c r="W641" t="s">
        <v>12297</v>
      </c>
      <c r="X641" t="s">
        <v>12298</v>
      </c>
      <c r="Y641" t="s">
        <v>12299</v>
      </c>
      <c r="Z641" t="s">
        <v>12300</v>
      </c>
      <c r="AA641" t="s">
        <v>12301</v>
      </c>
      <c r="AB641" t="s">
        <v>12302</v>
      </c>
      <c r="AC641" t="s">
        <v>12303</v>
      </c>
      <c r="AD641" t="s">
        <v>12304</v>
      </c>
      <c r="AE641" t="s">
        <v>12305</v>
      </c>
      <c r="AF641" t="s">
        <v>74</v>
      </c>
      <c r="AG641">
        <v>52</v>
      </c>
      <c r="AH641">
        <v>4</v>
      </c>
      <c r="AI641">
        <v>4</v>
      </c>
      <c r="AJ641">
        <v>1</v>
      </c>
      <c r="AK641">
        <v>8</v>
      </c>
      <c r="AL641" t="s">
        <v>92</v>
      </c>
      <c r="AM641" t="s">
        <v>93</v>
      </c>
      <c r="AN641" t="s">
        <v>94</v>
      </c>
      <c r="AO641" t="s">
        <v>2868</v>
      </c>
      <c r="AP641" t="s">
        <v>2869</v>
      </c>
      <c r="AQ641" t="s">
        <v>74</v>
      </c>
      <c r="AR641" t="s">
        <v>2870</v>
      </c>
      <c r="AS641" t="s">
        <v>2871</v>
      </c>
      <c r="AT641" t="s">
        <v>4645</v>
      </c>
      <c r="AU641">
        <v>2022</v>
      </c>
      <c r="AV641">
        <v>179</v>
      </c>
      <c r="AW641" t="s">
        <v>74</v>
      </c>
      <c r="AX641" t="s">
        <v>74</v>
      </c>
      <c r="AY641" t="s">
        <v>74</v>
      </c>
      <c r="AZ641" t="s">
        <v>74</v>
      </c>
      <c r="BA641" t="s">
        <v>74</v>
      </c>
      <c r="BB641" t="s">
        <v>74</v>
      </c>
      <c r="BC641" t="s">
        <v>74</v>
      </c>
      <c r="BD641">
        <v>103680</v>
      </c>
      <c r="BE641" t="s">
        <v>12306</v>
      </c>
      <c r="BF641" t="str">
        <f>HYPERLINK("http://dx.doi.org/10.1016/j.dsr.2021.103680","http://dx.doi.org/10.1016/j.dsr.2021.103680")</f>
        <v>http://dx.doi.org/10.1016/j.dsr.2021.103680</v>
      </c>
      <c r="BG641" t="s">
        <v>74</v>
      </c>
      <c r="BH641" t="s">
        <v>74</v>
      </c>
      <c r="BI641">
        <v>10</v>
      </c>
      <c r="BJ641" t="s">
        <v>1131</v>
      </c>
      <c r="BK641" t="s">
        <v>103</v>
      </c>
      <c r="BL641" t="s">
        <v>1131</v>
      </c>
      <c r="BM641" t="s">
        <v>12307</v>
      </c>
      <c r="BN641" t="s">
        <v>74</v>
      </c>
      <c r="BO641" t="s">
        <v>74</v>
      </c>
      <c r="BP641" t="s">
        <v>74</v>
      </c>
      <c r="BQ641" t="s">
        <v>74</v>
      </c>
      <c r="BR641" t="s">
        <v>106</v>
      </c>
      <c r="BS641" t="s">
        <v>12308</v>
      </c>
      <c r="BT641" t="str">
        <f>HYPERLINK("https%3A%2F%2Fwww.webofscience.com%2Fwos%2Fwoscc%2Ffull-record%2FWOS:000782769500002","View Full Record in Web of Science")</f>
        <v>View Full Record in Web of Science</v>
      </c>
    </row>
    <row r="642" spans="1:72" x14ac:dyDescent="0.15">
      <c r="A642" t="s">
        <v>7844</v>
      </c>
      <c r="B642" t="s">
        <v>12309</v>
      </c>
      <c r="C642" t="s">
        <v>74</v>
      </c>
      <c r="D642" t="s">
        <v>12310</v>
      </c>
      <c r="E642" t="s">
        <v>74</v>
      </c>
      <c r="F642" t="s">
        <v>12311</v>
      </c>
      <c r="G642" t="s">
        <v>74</v>
      </c>
      <c r="H642" t="s">
        <v>74</v>
      </c>
      <c r="I642" t="s">
        <v>12312</v>
      </c>
      <c r="J642" t="s">
        <v>12313</v>
      </c>
      <c r="K642" t="s">
        <v>12314</v>
      </c>
      <c r="L642" t="s">
        <v>74</v>
      </c>
      <c r="M642" t="s">
        <v>78</v>
      </c>
      <c r="N642" t="s">
        <v>7851</v>
      </c>
      <c r="O642" t="s">
        <v>12315</v>
      </c>
      <c r="P642" t="s">
        <v>12316</v>
      </c>
      <c r="Q642" t="s">
        <v>12317</v>
      </c>
      <c r="R642" t="s">
        <v>74</v>
      </c>
      <c r="S642" t="s">
        <v>12318</v>
      </c>
      <c r="T642" t="s">
        <v>12319</v>
      </c>
      <c r="U642" t="s">
        <v>12320</v>
      </c>
      <c r="V642" t="s">
        <v>12321</v>
      </c>
      <c r="W642" t="s">
        <v>12322</v>
      </c>
      <c r="X642" t="s">
        <v>1598</v>
      </c>
      <c r="Y642" t="s">
        <v>12323</v>
      </c>
      <c r="Z642" t="s">
        <v>12324</v>
      </c>
      <c r="AA642" t="s">
        <v>12325</v>
      </c>
      <c r="AB642" t="s">
        <v>12326</v>
      </c>
      <c r="AC642" t="s">
        <v>74</v>
      </c>
      <c r="AD642" t="s">
        <v>74</v>
      </c>
      <c r="AE642" t="s">
        <v>74</v>
      </c>
      <c r="AF642" t="s">
        <v>74</v>
      </c>
      <c r="AG642">
        <v>12</v>
      </c>
      <c r="AH642">
        <v>1</v>
      </c>
      <c r="AI642">
        <v>1</v>
      </c>
      <c r="AJ642">
        <v>0</v>
      </c>
      <c r="AK642">
        <v>1</v>
      </c>
      <c r="AL642" t="s">
        <v>9328</v>
      </c>
      <c r="AM642" t="s">
        <v>9329</v>
      </c>
      <c r="AN642" t="s">
        <v>9330</v>
      </c>
      <c r="AO642" t="s">
        <v>12327</v>
      </c>
      <c r="AP642" t="s">
        <v>12328</v>
      </c>
      <c r="AQ642" t="s">
        <v>12329</v>
      </c>
      <c r="AR642" t="s">
        <v>12330</v>
      </c>
      <c r="AS642" t="s">
        <v>74</v>
      </c>
      <c r="AT642" t="s">
        <v>74</v>
      </c>
      <c r="AU642">
        <v>2022</v>
      </c>
      <c r="AV642">
        <v>13151</v>
      </c>
      <c r="AW642" t="s">
        <v>74</v>
      </c>
      <c r="AX642" t="s">
        <v>74</v>
      </c>
      <c r="AY642" t="s">
        <v>74</v>
      </c>
      <c r="AZ642" t="s">
        <v>74</v>
      </c>
      <c r="BA642" t="s">
        <v>74</v>
      </c>
      <c r="BB642">
        <v>405</v>
      </c>
      <c r="BC642">
        <v>416</v>
      </c>
      <c r="BD642" t="s">
        <v>74</v>
      </c>
      <c r="BE642" t="s">
        <v>12331</v>
      </c>
      <c r="BF642" t="str">
        <f>HYPERLINK("http://dx.doi.org/10.1007/978-3-030-97546-3_33","http://dx.doi.org/10.1007/978-3-030-97546-3_33")</f>
        <v>http://dx.doi.org/10.1007/978-3-030-97546-3_33</v>
      </c>
      <c r="BG642" t="s">
        <v>74</v>
      </c>
      <c r="BH642" t="s">
        <v>74</v>
      </c>
      <c r="BI642">
        <v>12</v>
      </c>
      <c r="BJ642" t="s">
        <v>9336</v>
      </c>
      <c r="BK642" t="s">
        <v>7868</v>
      </c>
      <c r="BL642" t="s">
        <v>9337</v>
      </c>
      <c r="BM642" t="s">
        <v>12332</v>
      </c>
      <c r="BN642" t="s">
        <v>74</v>
      </c>
      <c r="BO642" t="s">
        <v>74</v>
      </c>
      <c r="BP642" t="s">
        <v>74</v>
      </c>
      <c r="BQ642" t="s">
        <v>74</v>
      </c>
      <c r="BR642" t="s">
        <v>106</v>
      </c>
      <c r="BS642" t="s">
        <v>12333</v>
      </c>
      <c r="BT642" t="str">
        <f>HYPERLINK("https%3A%2F%2Fwww.webofscience.com%2Fwos%2Fwoscc%2Ffull-record%2FWOS:000787242700033","View Full Record in Web of Science")</f>
        <v>View Full Record in Web of Science</v>
      </c>
    </row>
    <row r="643" spans="1:72" x14ac:dyDescent="0.15">
      <c r="A643" t="s">
        <v>72</v>
      </c>
      <c r="B643" t="s">
        <v>12334</v>
      </c>
      <c r="C643" t="s">
        <v>74</v>
      </c>
      <c r="D643" t="s">
        <v>74</v>
      </c>
      <c r="E643" t="s">
        <v>74</v>
      </c>
      <c r="F643" t="s">
        <v>12335</v>
      </c>
      <c r="G643" t="s">
        <v>74</v>
      </c>
      <c r="H643" t="s">
        <v>74</v>
      </c>
      <c r="I643" t="s">
        <v>12336</v>
      </c>
      <c r="J643" t="s">
        <v>12337</v>
      </c>
      <c r="K643" t="s">
        <v>74</v>
      </c>
      <c r="L643" t="s">
        <v>74</v>
      </c>
      <c r="M643" t="s">
        <v>78</v>
      </c>
      <c r="N643" t="s">
        <v>79</v>
      </c>
      <c r="O643" t="s">
        <v>74</v>
      </c>
      <c r="P643" t="s">
        <v>74</v>
      </c>
      <c r="Q643" t="s">
        <v>74</v>
      </c>
      <c r="R643" t="s">
        <v>74</v>
      </c>
      <c r="S643" t="s">
        <v>74</v>
      </c>
      <c r="T643" t="s">
        <v>12338</v>
      </c>
      <c r="U643" t="s">
        <v>12339</v>
      </c>
      <c r="V643" t="s">
        <v>12340</v>
      </c>
      <c r="W643" t="s">
        <v>12341</v>
      </c>
      <c r="X643" t="s">
        <v>12342</v>
      </c>
      <c r="Y643" t="s">
        <v>12343</v>
      </c>
      <c r="Z643" t="s">
        <v>12344</v>
      </c>
      <c r="AA643" t="s">
        <v>12345</v>
      </c>
      <c r="AB643" t="s">
        <v>12346</v>
      </c>
      <c r="AC643" t="s">
        <v>12347</v>
      </c>
      <c r="AD643" t="s">
        <v>12348</v>
      </c>
      <c r="AE643" t="s">
        <v>12349</v>
      </c>
      <c r="AF643" t="s">
        <v>74</v>
      </c>
      <c r="AG643">
        <v>100</v>
      </c>
      <c r="AH643">
        <v>13</v>
      </c>
      <c r="AI643">
        <v>13</v>
      </c>
      <c r="AJ643">
        <v>11</v>
      </c>
      <c r="AK643">
        <v>26</v>
      </c>
      <c r="AL643" t="s">
        <v>814</v>
      </c>
      <c r="AM643" t="s">
        <v>93</v>
      </c>
      <c r="AN643" t="s">
        <v>815</v>
      </c>
      <c r="AO643" t="s">
        <v>74</v>
      </c>
      <c r="AP643" t="s">
        <v>12350</v>
      </c>
      <c r="AQ643" t="s">
        <v>74</v>
      </c>
      <c r="AR643" t="s">
        <v>12351</v>
      </c>
      <c r="AS643" t="s">
        <v>12352</v>
      </c>
      <c r="AT643" t="s">
        <v>4645</v>
      </c>
      <c r="AU643">
        <v>2022</v>
      </c>
      <c r="AV643">
        <v>13</v>
      </c>
      <c r="AW643" t="s">
        <v>74</v>
      </c>
      <c r="AX643" t="s">
        <v>74</v>
      </c>
      <c r="AY643" t="s">
        <v>74</v>
      </c>
      <c r="AZ643" t="s">
        <v>74</v>
      </c>
      <c r="BA643" t="s">
        <v>74</v>
      </c>
      <c r="BB643" t="s">
        <v>74</v>
      </c>
      <c r="BC643" t="s">
        <v>74</v>
      </c>
      <c r="BD643">
        <v>100153</v>
      </c>
      <c r="BE643" t="s">
        <v>12353</v>
      </c>
      <c r="BF643" t="str">
        <f>HYPERLINK("http://dx.doi.org/10.1016/j.aeaoa.2022.100153","http://dx.doi.org/10.1016/j.aeaoa.2022.100153")</f>
        <v>http://dx.doi.org/10.1016/j.aeaoa.2022.100153</v>
      </c>
      <c r="BG643" t="s">
        <v>74</v>
      </c>
      <c r="BH643" t="s">
        <v>74</v>
      </c>
      <c r="BI643">
        <v>14</v>
      </c>
      <c r="BJ643" t="s">
        <v>129</v>
      </c>
      <c r="BK643" t="s">
        <v>724</v>
      </c>
      <c r="BL643" t="s">
        <v>130</v>
      </c>
      <c r="BM643" t="s">
        <v>12354</v>
      </c>
      <c r="BN643" t="s">
        <v>74</v>
      </c>
      <c r="BO643" t="s">
        <v>371</v>
      </c>
      <c r="BP643" t="s">
        <v>74</v>
      </c>
      <c r="BQ643" t="s">
        <v>74</v>
      </c>
      <c r="BR643" t="s">
        <v>106</v>
      </c>
      <c r="BS643" t="s">
        <v>12355</v>
      </c>
      <c r="BT643" t="str">
        <f>HYPERLINK("https%3A%2F%2Fwww.webofscience.com%2Fwos%2Fwoscc%2Ffull-record%2FWOS:000776076400005","View Full Record in Web of Science")</f>
        <v>View Full Record in Web of Science</v>
      </c>
    </row>
    <row r="644" spans="1:72" x14ac:dyDescent="0.15">
      <c r="A644" t="s">
        <v>72</v>
      </c>
      <c r="B644" t="s">
        <v>12356</v>
      </c>
      <c r="C644" t="s">
        <v>74</v>
      </c>
      <c r="D644" t="s">
        <v>74</v>
      </c>
      <c r="E644" t="s">
        <v>74</v>
      </c>
      <c r="F644" t="s">
        <v>12357</v>
      </c>
      <c r="G644" t="s">
        <v>74</v>
      </c>
      <c r="H644" t="s">
        <v>74</v>
      </c>
      <c r="I644" t="s">
        <v>12358</v>
      </c>
      <c r="J644" t="s">
        <v>12359</v>
      </c>
      <c r="K644" t="s">
        <v>74</v>
      </c>
      <c r="L644" t="s">
        <v>74</v>
      </c>
      <c r="M644" t="s">
        <v>78</v>
      </c>
      <c r="N644" t="s">
        <v>79</v>
      </c>
      <c r="O644" t="s">
        <v>74</v>
      </c>
      <c r="P644" t="s">
        <v>74</v>
      </c>
      <c r="Q644" t="s">
        <v>74</v>
      </c>
      <c r="R644" t="s">
        <v>74</v>
      </c>
      <c r="S644" t="s">
        <v>74</v>
      </c>
      <c r="T644" t="s">
        <v>12360</v>
      </c>
      <c r="U644" t="s">
        <v>12361</v>
      </c>
      <c r="V644" t="s">
        <v>12362</v>
      </c>
      <c r="W644" t="s">
        <v>12363</v>
      </c>
      <c r="X644" t="s">
        <v>12364</v>
      </c>
      <c r="Y644" t="s">
        <v>12365</v>
      </c>
      <c r="Z644" t="s">
        <v>12366</v>
      </c>
      <c r="AA644" t="s">
        <v>74</v>
      </c>
      <c r="AB644" t="s">
        <v>74</v>
      </c>
      <c r="AC644" t="s">
        <v>12367</v>
      </c>
      <c r="AD644" t="s">
        <v>12368</v>
      </c>
      <c r="AE644" t="s">
        <v>12369</v>
      </c>
      <c r="AF644" t="s">
        <v>74</v>
      </c>
      <c r="AG644">
        <v>17</v>
      </c>
      <c r="AH644">
        <v>0</v>
      </c>
      <c r="AI644">
        <v>0</v>
      </c>
      <c r="AJ644">
        <v>0</v>
      </c>
      <c r="AK644">
        <v>0</v>
      </c>
      <c r="AL644" t="s">
        <v>12370</v>
      </c>
      <c r="AM644" t="s">
        <v>12371</v>
      </c>
      <c r="AN644" t="s">
        <v>12372</v>
      </c>
      <c r="AO644" t="s">
        <v>12373</v>
      </c>
      <c r="AP644" t="s">
        <v>74</v>
      </c>
      <c r="AQ644" t="s">
        <v>74</v>
      </c>
      <c r="AR644" t="s">
        <v>12374</v>
      </c>
      <c r="AS644" t="s">
        <v>12375</v>
      </c>
      <c r="AT644" t="s">
        <v>74</v>
      </c>
      <c r="AU644">
        <v>2022</v>
      </c>
      <c r="AV644">
        <v>41</v>
      </c>
      <c r="AW644">
        <v>1</v>
      </c>
      <c r="AX644" t="s">
        <v>74</v>
      </c>
      <c r="AY644" t="s">
        <v>74</v>
      </c>
      <c r="AZ644" t="s">
        <v>74</v>
      </c>
      <c r="BA644" t="s">
        <v>74</v>
      </c>
      <c r="BB644">
        <v>1</v>
      </c>
      <c r="BC644">
        <v>6</v>
      </c>
      <c r="BD644" t="s">
        <v>74</v>
      </c>
      <c r="BE644" t="s">
        <v>12376</v>
      </c>
      <c r="BF644" t="str">
        <f>HYPERLINK("http://dx.doi.org/10.5566/ias.2539","http://dx.doi.org/10.5566/ias.2539")</f>
        <v>http://dx.doi.org/10.5566/ias.2539</v>
      </c>
      <c r="BG644" t="s">
        <v>74</v>
      </c>
      <c r="BH644" t="s">
        <v>74</v>
      </c>
      <c r="BI644">
        <v>6</v>
      </c>
      <c r="BJ644" t="s">
        <v>12377</v>
      </c>
      <c r="BK644" t="s">
        <v>103</v>
      </c>
      <c r="BL644" t="s">
        <v>12378</v>
      </c>
      <c r="BM644" t="s">
        <v>12379</v>
      </c>
      <c r="BN644" t="s">
        <v>74</v>
      </c>
      <c r="BO644" t="s">
        <v>445</v>
      </c>
      <c r="BP644" t="s">
        <v>74</v>
      </c>
      <c r="BQ644" t="s">
        <v>74</v>
      </c>
      <c r="BR644" t="s">
        <v>106</v>
      </c>
      <c r="BS644" t="s">
        <v>12380</v>
      </c>
      <c r="BT644" t="str">
        <f>HYPERLINK("https%3A%2F%2Fwww.webofscience.com%2Fwos%2Fwoscc%2Ffull-record%2FWOS:000786314600001","View Full Record in Web of Science")</f>
        <v>View Full Record in Web of Science</v>
      </c>
    </row>
    <row r="645" spans="1:72" x14ac:dyDescent="0.15">
      <c r="A645" t="s">
        <v>72</v>
      </c>
      <c r="B645" t="s">
        <v>12381</v>
      </c>
      <c r="C645" t="s">
        <v>74</v>
      </c>
      <c r="D645" t="s">
        <v>74</v>
      </c>
      <c r="E645" t="s">
        <v>74</v>
      </c>
      <c r="F645" t="s">
        <v>12382</v>
      </c>
      <c r="G645" t="s">
        <v>74</v>
      </c>
      <c r="H645" t="s">
        <v>74</v>
      </c>
      <c r="I645" t="s">
        <v>12383</v>
      </c>
      <c r="J645" t="s">
        <v>8773</v>
      </c>
      <c r="K645" t="s">
        <v>74</v>
      </c>
      <c r="L645" t="s">
        <v>74</v>
      </c>
      <c r="M645" t="s">
        <v>78</v>
      </c>
      <c r="N645" t="s">
        <v>79</v>
      </c>
      <c r="O645" t="s">
        <v>74</v>
      </c>
      <c r="P645" t="s">
        <v>74</v>
      </c>
      <c r="Q645" t="s">
        <v>74</v>
      </c>
      <c r="R645" t="s">
        <v>74</v>
      </c>
      <c r="S645" t="s">
        <v>74</v>
      </c>
      <c r="T645" t="s">
        <v>12384</v>
      </c>
      <c r="U645" t="s">
        <v>12385</v>
      </c>
      <c r="V645" t="s">
        <v>12386</v>
      </c>
      <c r="W645" t="s">
        <v>12387</v>
      </c>
      <c r="X645" t="s">
        <v>12388</v>
      </c>
      <c r="Y645" t="s">
        <v>9701</v>
      </c>
      <c r="Z645" t="s">
        <v>9702</v>
      </c>
      <c r="AA645" t="s">
        <v>74</v>
      </c>
      <c r="AB645" t="s">
        <v>12389</v>
      </c>
      <c r="AC645" t="s">
        <v>12390</v>
      </c>
      <c r="AD645" t="s">
        <v>12391</v>
      </c>
      <c r="AE645" t="s">
        <v>12392</v>
      </c>
      <c r="AF645" t="s">
        <v>74</v>
      </c>
      <c r="AG645">
        <v>52</v>
      </c>
      <c r="AH645">
        <v>1</v>
      </c>
      <c r="AI645">
        <v>1</v>
      </c>
      <c r="AJ645">
        <v>0</v>
      </c>
      <c r="AK645">
        <v>1</v>
      </c>
      <c r="AL645" t="s">
        <v>8786</v>
      </c>
      <c r="AM645" t="s">
        <v>436</v>
      </c>
      <c r="AN645" t="s">
        <v>8787</v>
      </c>
      <c r="AO645" t="s">
        <v>8788</v>
      </c>
      <c r="AP645" t="s">
        <v>8789</v>
      </c>
      <c r="AQ645" t="s">
        <v>74</v>
      </c>
      <c r="AR645" t="s">
        <v>8790</v>
      </c>
      <c r="AS645" t="s">
        <v>8791</v>
      </c>
      <c r="AT645" t="s">
        <v>74</v>
      </c>
      <c r="AU645">
        <v>2022</v>
      </c>
      <c r="AV645">
        <v>72</v>
      </c>
      <c r="AW645">
        <v>3</v>
      </c>
      <c r="AX645" t="s">
        <v>74</v>
      </c>
      <c r="AY645" t="s">
        <v>74</v>
      </c>
      <c r="AZ645" t="s">
        <v>74</v>
      </c>
      <c r="BA645" t="s">
        <v>74</v>
      </c>
      <c r="BB645" t="s">
        <v>74</v>
      </c>
      <c r="BC645" t="s">
        <v>74</v>
      </c>
      <c r="BD645">
        <v>5290</v>
      </c>
      <c r="BE645" t="s">
        <v>12393</v>
      </c>
      <c r="BF645" t="str">
        <f>HYPERLINK("http://dx.doi.org/10.1099/ijsem.0.005290","http://dx.doi.org/10.1099/ijsem.0.005290")</f>
        <v>http://dx.doi.org/10.1099/ijsem.0.005290</v>
      </c>
      <c r="BG645" t="s">
        <v>74</v>
      </c>
      <c r="BH645" t="s">
        <v>74</v>
      </c>
      <c r="BI645">
        <v>9</v>
      </c>
      <c r="BJ645" t="s">
        <v>747</v>
      </c>
      <c r="BK645" t="s">
        <v>103</v>
      </c>
      <c r="BL645" t="s">
        <v>747</v>
      </c>
      <c r="BM645" t="s">
        <v>12394</v>
      </c>
      <c r="BN645">
        <v>35348450</v>
      </c>
      <c r="BO645" t="s">
        <v>74</v>
      </c>
      <c r="BP645" t="s">
        <v>74</v>
      </c>
      <c r="BQ645" t="s">
        <v>74</v>
      </c>
      <c r="BR645" t="s">
        <v>106</v>
      </c>
      <c r="BS645" t="s">
        <v>12395</v>
      </c>
      <c r="BT645" t="str">
        <f>HYPERLINK("https%3A%2F%2Fwww.webofscience.com%2Fwos%2Fwoscc%2Ffull-record%2FWOS:000785355900016","View Full Record in Web of Science")</f>
        <v>View Full Record in Web of Science</v>
      </c>
    </row>
    <row r="646" spans="1:72" x14ac:dyDescent="0.15">
      <c r="A646" t="s">
        <v>72</v>
      </c>
      <c r="B646" t="s">
        <v>12396</v>
      </c>
      <c r="C646" t="s">
        <v>74</v>
      </c>
      <c r="D646" t="s">
        <v>74</v>
      </c>
      <c r="E646" t="s">
        <v>74</v>
      </c>
      <c r="F646" t="s">
        <v>12397</v>
      </c>
      <c r="G646" t="s">
        <v>74</v>
      </c>
      <c r="H646" t="s">
        <v>74</v>
      </c>
      <c r="I646" t="s">
        <v>12398</v>
      </c>
      <c r="J646" t="s">
        <v>12399</v>
      </c>
      <c r="K646" t="s">
        <v>74</v>
      </c>
      <c r="L646" t="s">
        <v>74</v>
      </c>
      <c r="M646" t="s">
        <v>78</v>
      </c>
      <c r="N646" t="s">
        <v>79</v>
      </c>
      <c r="O646" t="s">
        <v>74</v>
      </c>
      <c r="P646" t="s">
        <v>74</v>
      </c>
      <c r="Q646" t="s">
        <v>74</v>
      </c>
      <c r="R646" t="s">
        <v>74</v>
      </c>
      <c r="S646" t="s">
        <v>74</v>
      </c>
      <c r="T646" t="s">
        <v>12400</v>
      </c>
      <c r="U646" t="s">
        <v>12401</v>
      </c>
      <c r="V646" t="s">
        <v>12402</v>
      </c>
      <c r="W646" t="s">
        <v>12403</v>
      </c>
      <c r="X646" t="s">
        <v>12404</v>
      </c>
      <c r="Y646" t="s">
        <v>12405</v>
      </c>
      <c r="Z646" t="s">
        <v>12406</v>
      </c>
      <c r="AA646" t="s">
        <v>12407</v>
      </c>
      <c r="AB646" t="s">
        <v>12408</v>
      </c>
      <c r="AC646" t="s">
        <v>12409</v>
      </c>
      <c r="AD646" t="s">
        <v>12410</v>
      </c>
      <c r="AE646" t="s">
        <v>12411</v>
      </c>
      <c r="AF646" t="s">
        <v>74</v>
      </c>
      <c r="AG646">
        <v>31</v>
      </c>
      <c r="AH646">
        <v>0</v>
      </c>
      <c r="AI646">
        <v>0</v>
      </c>
      <c r="AJ646">
        <v>2</v>
      </c>
      <c r="AK646">
        <v>10</v>
      </c>
      <c r="AL646" t="s">
        <v>12412</v>
      </c>
      <c r="AM646" t="s">
        <v>12413</v>
      </c>
      <c r="AN646" t="s">
        <v>12414</v>
      </c>
      <c r="AO646" t="s">
        <v>74</v>
      </c>
      <c r="AP646" t="s">
        <v>12415</v>
      </c>
      <c r="AQ646" t="s">
        <v>74</v>
      </c>
      <c r="AR646" t="s">
        <v>12416</v>
      </c>
      <c r="AS646" t="s">
        <v>12417</v>
      </c>
      <c r="AT646" t="s">
        <v>74</v>
      </c>
      <c r="AU646">
        <v>2022</v>
      </c>
      <c r="AV646">
        <v>30</v>
      </c>
      <c r="AW646">
        <v>5</v>
      </c>
      <c r="AX646" t="s">
        <v>74</v>
      </c>
      <c r="AY646" t="s">
        <v>74</v>
      </c>
      <c r="AZ646" t="s">
        <v>74</v>
      </c>
      <c r="BA646" t="s">
        <v>74</v>
      </c>
      <c r="BB646">
        <v>1708</v>
      </c>
      <c r="BC646">
        <v>1722</v>
      </c>
      <c r="BD646" t="s">
        <v>74</v>
      </c>
      <c r="BE646" t="s">
        <v>12418</v>
      </c>
      <c r="BF646" t="str">
        <f>HYPERLINK("http://dx.doi.org/10.3934/era.2022086","http://dx.doi.org/10.3934/era.2022086")</f>
        <v>http://dx.doi.org/10.3934/era.2022086</v>
      </c>
      <c r="BG646" t="s">
        <v>74</v>
      </c>
      <c r="BH646" t="s">
        <v>74</v>
      </c>
      <c r="BI646">
        <v>15</v>
      </c>
      <c r="BJ646" t="s">
        <v>12189</v>
      </c>
      <c r="BK646" t="s">
        <v>103</v>
      </c>
      <c r="BL646" t="s">
        <v>12189</v>
      </c>
      <c r="BM646" t="s">
        <v>12419</v>
      </c>
      <c r="BN646" t="s">
        <v>74</v>
      </c>
      <c r="BO646" t="s">
        <v>445</v>
      </c>
      <c r="BP646" t="s">
        <v>74</v>
      </c>
      <c r="BQ646" t="s">
        <v>74</v>
      </c>
      <c r="BR646" t="s">
        <v>106</v>
      </c>
      <c r="BS646" t="s">
        <v>12420</v>
      </c>
      <c r="BT646" t="str">
        <f>HYPERLINK("https%3A%2F%2Fwww.webofscience.com%2Fwos%2Fwoscc%2Ffull-record%2FWOS:000778575000001","View Full Record in Web of Science")</f>
        <v>View Full Record in Web of Science</v>
      </c>
    </row>
    <row r="647" spans="1:72" x14ac:dyDescent="0.15">
      <c r="A647" t="s">
        <v>72</v>
      </c>
      <c r="B647" t="s">
        <v>12421</v>
      </c>
      <c r="C647" t="s">
        <v>74</v>
      </c>
      <c r="D647" t="s">
        <v>74</v>
      </c>
      <c r="E647" t="s">
        <v>74</v>
      </c>
      <c r="F647" t="s">
        <v>12422</v>
      </c>
      <c r="G647" t="s">
        <v>74</v>
      </c>
      <c r="H647" t="s">
        <v>74</v>
      </c>
      <c r="I647" t="s">
        <v>12423</v>
      </c>
      <c r="J647" t="s">
        <v>9737</v>
      </c>
      <c r="K647" t="s">
        <v>74</v>
      </c>
      <c r="L647" t="s">
        <v>74</v>
      </c>
      <c r="M647" t="s">
        <v>78</v>
      </c>
      <c r="N647" t="s">
        <v>79</v>
      </c>
      <c r="O647" t="s">
        <v>74</v>
      </c>
      <c r="P647" t="s">
        <v>74</v>
      </c>
      <c r="Q647" t="s">
        <v>74</v>
      </c>
      <c r="R647" t="s">
        <v>74</v>
      </c>
      <c r="S647" t="s">
        <v>74</v>
      </c>
      <c r="T647" t="s">
        <v>12424</v>
      </c>
      <c r="U647" t="s">
        <v>12425</v>
      </c>
      <c r="V647" t="s">
        <v>12426</v>
      </c>
      <c r="W647" t="s">
        <v>12427</v>
      </c>
      <c r="X647" t="s">
        <v>12428</v>
      </c>
      <c r="Y647" t="s">
        <v>12429</v>
      </c>
      <c r="Z647" t="s">
        <v>12430</v>
      </c>
      <c r="AA647" t="s">
        <v>12431</v>
      </c>
      <c r="AB647" t="s">
        <v>12432</v>
      </c>
      <c r="AC647" t="s">
        <v>12433</v>
      </c>
      <c r="AD647" t="s">
        <v>12434</v>
      </c>
      <c r="AE647" t="s">
        <v>12435</v>
      </c>
      <c r="AF647" t="s">
        <v>74</v>
      </c>
      <c r="AG647">
        <v>30</v>
      </c>
      <c r="AH647">
        <v>2</v>
      </c>
      <c r="AI647">
        <v>3</v>
      </c>
      <c r="AJ647">
        <v>6</v>
      </c>
      <c r="AK647">
        <v>29</v>
      </c>
      <c r="AL647" t="s">
        <v>1667</v>
      </c>
      <c r="AM647" t="s">
        <v>1668</v>
      </c>
      <c r="AN647" t="s">
        <v>1669</v>
      </c>
      <c r="AO647" t="s">
        <v>9750</v>
      </c>
      <c r="AP647" t="s">
        <v>9751</v>
      </c>
      <c r="AQ647" t="s">
        <v>74</v>
      </c>
      <c r="AR647" t="s">
        <v>9752</v>
      </c>
      <c r="AS647" t="s">
        <v>9753</v>
      </c>
      <c r="AT647" t="s">
        <v>74</v>
      </c>
      <c r="AU647">
        <v>2022</v>
      </c>
      <c r="AV647">
        <v>15</v>
      </c>
      <c r="AW647" t="s">
        <v>74</v>
      </c>
      <c r="AX647" t="s">
        <v>74</v>
      </c>
      <c r="AY647" t="s">
        <v>74</v>
      </c>
      <c r="AZ647" t="s">
        <v>74</v>
      </c>
      <c r="BA647" t="s">
        <v>74</v>
      </c>
      <c r="BB647">
        <v>2891</v>
      </c>
      <c r="BC647">
        <v>2900</v>
      </c>
      <c r="BD647" t="s">
        <v>74</v>
      </c>
      <c r="BE647" t="s">
        <v>12436</v>
      </c>
      <c r="BF647" t="str">
        <f>HYPERLINK("http://dx.doi.org/10.1109/JSTARS.2022.3156929","http://dx.doi.org/10.1109/JSTARS.2022.3156929")</f>
        <v>http://dx.doi.org/10.1109/JSTARS.2022.3156929</v>
      </c>
      <c r="BG647" t="s">
        <v>74</v>
      </c>
      <c r="BH647" t="s">
        <v>74</v>
      </c>
      <c r="BI647">
        <v>10</v>
      </c>
      <c r="BJ647" t="s">
        <v>9755</v>
      </c>
      <c r="BK647" t="s">
        <v>103</v>
      </c>
      <c r="BL647" t="s">
        <v>9756</v>
      </c>
      <c r="BM647" t="s">
        <v>12437</v>
      </c>
      <c r="BN647" t="s">
        <v>74</v>
      </c>
      <c r="BO647" t="s">
        <v>445</v>
      </c>
      <c r="BP647" t="s">
        <v>74</v>
      </c>
      <c r="BQ647" t="s">
        <v>74</v>
      </c>
      <c r="BR647" t="s">
        <v>106</v>
      </c>
      <c r="BS647" t="s">
        <v>12438</v>
      </c>
      <c r="BT647" t="str">
        <f>HYPERLINK("https%3A%2F%2Fwww.webofscience.com%2Fwos%2Fwoscc%2Ffull-record%2FWOS:000784198000013","View Full Record in Web of Science")</f>
        <v>View Full Record in Web of Science</v>
      </c>
    </row>
    <row r="648" spans="1:72" x14ac:dyDescent="0.15">
      <c r="A648" t="s">
        <v>72</v>
      </c>
      <c r="B648" t="s">
        <v>12439</v>
      </c>
      <c r="C648" t="s">
        <v>74</v>
      </c>
      <c r="D648" t="s">
        <v>74</v>
      </c>
      <c r="E648" t="s">
        <v>74</v>
      </c>
      <c r="F648" t="s">
        <v>12440</v>
      </c>
      <c r="G648" t="s">
        <v>74</v>
      </c>
      <c r="H648" t="s">
        <v>74</v>
      </c>
      <c r="I648" t="s">
        <v>12441</v>
      </c>
      <c r="J648" t="s">
        <v>12442</v>
      </c>
      <c r="K648" t="s">
        <v>74</v>
      </c>
      <c r="L648" t="s">
        <v>74</v>
      </c>
      <c r="M648" t="s">
        <v>78</v>
      </c>
      <c r="N648" t="s">
        <v>79</v>
      </c>
      <c r="O648" t="s">
        <v>74</v>
      </c>
      <c r="P648" t="s">
        <v>74</v>
      </c>
      <c r="Q648" t="s">
        <v>74</v>
      </c>
      <c r="R648" t="s">
        <v>74</v>
      </c>
      <c r="S648" t="s">
        <v>74</v>
      </c>
      <c r="T648" t="s">
        <v>12443</v>
      </c>
      <c r="U648" t="s">
        <v>12444</v>
      </c>
      <c r="V648" t="s">
        <v>12445</v>
      </c>
      <c r="W648" t="s">
        <v>12446</v>
      </c>
      <c r="X648" t="s">
        <v>12447</v>
      </c>
      <c r="Y648" t="s">
        <v>12448</v>
      </c>
      <c r="Z648" t="s">
        <v>12449</v>
      </c>
      <c r="AA648" t="s">
        <v>12450</v>
      </c>
      <c r="AB648" t="s">
        <v>74</v>
      </c>
      <c r="AC648" t="s">
        <v>74</v>
      </c>
      <c r="AD648" t="s">
        <v>74</v>
      </c>
      <c r="AE648" t="s">
        <v>74</v>
      </c>
      <c r="AF648" t="s">
        <v>74</v>
      </c>
      <c r="AG648">
        <v>93</v>
      </c>
      <c r="AH648">
        <v>2</v>
      </c>
      <c r="AI648">
        <v>2</v>
      </c>
      <c r="AJ648">
        <v>1</v>
      </c>
      <c r="AK648">
        <v>3</v>
      </c>
      <c r="AL648" t="s">
        <v>505</v>
      </c>
      <c r="AM648" t="s">
        <v>506</v>
      </c>
      <c r="AN648" t="s">
        <v>507</v>
      </c>
      <c r="AO648" t="s">
        <v>12451</v>
      </c>
      <c r="AP648" t="s">
        <v>12452</v>
      </c>
      <c r="AQ648" t="s">
        <v>74</v>
      </c>
      <c r="AR648" t="s">
        <v>12453</v>
      </c>
      <c r="AS648" t="s">
        <v>12454</v>
      </c>
      <c r="AT648" t="s">
        <v>4645</v>
      </c>
      <c r="AU648">
        <v>2022</v>
      </c>
      <c r="AV648">
        <v>11</v>
      </c>
      <c r="AW648">
        <v>1</v>
      </c>
      <c r="AX648" t="s">
        <v>74</v>
      </c>
      <c r="AY648" t="s">
        <v>74</v>
      </c>
      <c r="AZ648" t="s">
        <v>74</v>
      </c>
      <c r="BA648" t="s">
        <v>74</v>
      </c>
      <c r="BB648">
        <v>8</v>
      </c>
      <c r="BC648">
        <v>30</v>
      </c>
      <c r="BD648" t="s">
        <v>74</v>
      </c>
      <c r="BE648" t="s">
        <v>12455</v>
      </c>
      <c r="BF648" t="str">
        <f>HYPERLINK("http://dx.doi.org/10.1016/j.jop.2021.12.002","http://dx.doi.org/10.1016/j.jop.2021.12.002")</f>
        <v>http://dx.doi.org/10.1016/j.jop.2021.12.002</v>
      </c>
      <c r="BG648" t="s">
        <v>74</v>
      </c>
      <c r="BH648" t="s">
        <v>74</v>
      </c>
      <c r="BI648">
        <v>23</v>
      </c>
      <c r="BJ648" t="s">
        <v>12456</v>
      </c>
      <c r="BK648" t="s">
        <v>103</v>
      </c>
      <c r="BL648" t="s">
        <v>11227</v>
      </c>
      <c r="BM648" t="s">
        <v>12457</v>
      </c>
      <c r="BN648" t="s">
        <v>74</v>
      </c>
      <c r="BO648" t="s">
        <v>445</v>
      </c>
      <c r="BP648" t="s">
        <v>74</v>
      </c>
      <c r="BQ648" t="s">
        <v>74</v>
      </c>
      <c r="BR648" t="s">
        <v>106</v>
      </c>
      <c r="BS648" t="s">
        <v>12458</v>
      </c>
      <c r="BT648" t="str">
        <f>HYPERLINK("https%3A%2F%2Fwww.webofscience.com%2Fwos%2Fwoscc%2Ffull-record%2FWOS:000786639200002","View Full Record in Web of Science")</f>
        <v>View Full Record in Web of Science</v>
      </c>
    </row>
    <row r="649" spans="1:72" x14ac:dyDescent="0.15">
      <c r="A649" t="s">
        <v>72</v>
      </c>
      <c r="B649" t="s">
        <v>12459</v>
      </c>
      <c r="C649" t="s">
        <v>74</v>
      </c>
      <c r="D649" t="s">
        <v>74</v>
      </c>
      <c r="E649" t="s">
        <v>74</v>
      </c>
      <c r="F649" t="s">
        <v>12460</v>
      </c>
      <c r="G649" t="s">
        <v>74</v>
      </c>
      <c r="H649" t="s">
        <v>74</v>
      </c>
      <c r="I649" t="s">
        <v>12461</v>
      </c>
      <c r="J649" t="s">
        <v>12462</v>
      </c>
      <c r="K649" t="s">
        <v>74</v>
      </c>
      <c r="L649" t="s">
        <v>74</v>
      </c>
      <c r="M649" t="s">
        <v>78</v>
      </c>
      <c r="N649" t="s">
        <v>79</v>
      </c>
      <c r="O649" t="s">
        <v>74</v>
      </c>
      <c r="P649" t="s">
        <v>74</v>
      </c>
      <c r="Q649" t="s">
        <v>74</v>
      </c>
      <c r="R649" t="s">
        <v>74</v>
      </c>
      <c r="S649" t="s">
        <v>74</v>
      </c>
      <c r="T649" t="s">
        <v>12463</v>
      </c>
      <c r="U649" t="s">
        <v>12464</v>
      </c>
      <c r="V649" t="s">
        <v>12465</v>
      </c>
      <c r="W649" t="s">
        <v>12466</v>
      </c>
      <c r="X649" t="s">
        <v>12467</v>
      </c>
      <c r="Y649" t="s">
        <v>12468</v>
      </c>
      <c r="Z649" t="s">
        <v>12469</v>
      </c>
      <c r="AA649" t="s">
        <v>12470</v>
      </c>
      <c r="AB649" t="s">
        <v>12471</v>
      </c>
      <c r="AC649" t="s">
        <v>12472</v>
      </c>
      <c r="AD649" t="s">
        <v>12473</v>
      </c>
      <c r="AE649" t="s">
        <v>12474</v>
      </c>
      <c r="AF649" t="s">
        <v>74</v>
      </c>
      <c r="AG649">
        <v>57</v>
      </c>
      <c r="AH649">
        <v>13</v>
      </c>
      <c r="AI649">
        <v>13</v>
      </c>
      <c r="AJ649">
        <v>6</v>
      </c>
      <c r="AK649">
        <v>38</v>
      </c>
      <c r="AL649" t="s">
        <v>814</v>
      </c>
      <c r="AM649" t="s">
        <v>93</v>
      </c>
      <c r="AN649" t="s">
        <v>815</v>
      </c>
      <c r="AO649" t="s">
        <v>12475</v>
      </c>
      <c r="AP649" t="s">
        <v>12476</v>
      </c>
      <c r="AQ649" t="s">
        <v>74</v>
      </c>
      <c r="AR649" t="s">
        <v>12477</v>
      </c>
      <c r="AS649" t="s">
        <v>12478</v>
      </c>
      <c r="AT649" t="s">
        <v>4645</v>
      </c>
      <c r="AU649">
        <v>2022</v>
      </c>
      <c r="AV649">
        <v>118</v>
      </c>
      <c r="AW649" t="s">
        <v>74</v>
      </c>
      <c r="AX649" t="s">
        <v>74</v>
      </c>
      <c r="AY649" t="s">
        <v>74</v>
      </c>
      <c r="AZ649" t="s">
        <v>74</v>
      </c>
      <c r="BA649" t="s">
        <v>74</v>
      </c>
      <c r="BB649" t="s">
        <v>74</v>
      </c>
      <c r="BC649" t="s">
        <v>74</v>
      </c>
      <c r="BD649">
        <v>103006</v>
      </c>
      <c r="BE649" t="s">
        <v>12479</v>
      </c>
      <c r="BF649" t="str">
        <f>HYPERLINK("http://dx.doi.org/10.1016/j.apor.2021.103006","http://dx.doi.org/10.1016/j.apor.2021.103006")</f>
        <v>http://dx.doi.org/10.1016/j.apor.2021.103006</v>
      </c>
      <c r="BG649" t="s">
        <v>74</v>
      </c>
      <c r="BH649" t="s">
        <v>74</v>
      </c>
      <c r="BI649">
        <v>14</v>
      </c>
      <c r="BJ649" t="s">
        <v>12480</v>
      </c>
      <c r="BK649" t="s">
        <v>103</v>
      </c>
      <c r="BL649" t="s">
        <v>3777</v>
      </c>
      <c r="BM649" t="s">
        <v>12481</v>
      </c>
      <c r="BN649" t="s">
        <v>74</v>
      </c>
      <c r="BO649" t="s">
        <v>74</v>
      </c>
      <c r="BP649" t="s">
        <v>74</v>
      </c>
      <c r="BQ649" t="s">
        <v>74</v>
      </c>
      <c r="BR649" t="s">
        <v>106</v>
      </c>
      <c r="BS649" t="s">
        <v>12482</v>
      </c>
      <c r="BT649" t="str">
        <f>HYPERLINK("https%3A%2F%2Fwww.webofscience.com%2Fwos%2Fwoscc%2Ffull-record%2FWOS:000783095200002","View Full Record in Web of Science")</f>
        <v>View Full Record in Web of Science</v>
      </c>
    </row>
    <row r="650" spans="1:72" x14ac:dyDescent="0.15">
      <c r="A650" t="s">
        <v>72</v>
      </c>
      <c r="B650" t="s">
        <v>12483</v>
      </c>
      <c r="C650" t="s">
        <v>74</v>
      </c>
      <c r="D650" t="s">
        <v>74</v>
      </c>
      <c r="E650" t="s">
        <v>74</v>
      </c>
      <c r="F650" t="s">
        <v>12484</v>
      </c>
      <c r="G650" t="s">
        <v>74</v>
      </c>
      <c r="H650" t="s">
        <v>74</v>
      </c>
      <c r="I650" t="s">
        <v>12485</v>
      </c>
      <c r="J650" t="s">
        <v>12486</v>
      </c>
      <c r="K650" t="s">
        <v>74</v>
      </c>
      <c r="L650" t="s">
        <v>74</v>
      </c>
      <c r="M650" t="s">
        <v>78</v>
      </c>
      <c r="N650" t="s">
        <v>79</v>
      </c>
      <c r="O650" t="s">
        <v>74</v>
      </c>
      <c r="P650" t="s">
        <v>74</v>
      </c>
      <c r="Q650" t="s">
        <v>74</v>
      </c>
      <c r="R650" t="s">
        <v>74</v>
      </c>
      <c r="S650" t="s">
        <v>74</v>
      </c>
      <c r="T650" t="s">
        <v>12487</v>
      </c>
      <c r="U650" t="s">
        <v>74</v>
      </c>
      <c r="V650" t="s">
        <v>12488</v>
      </c>
      <c r="W650" t="s">
        <v>12489</v>
      </c>
      <c r="X650" t="s">
        <v>2688</v>
      </c>
      <c r="Y650" t="s">
        <v>12490</v>
      </c>
      <c r="Z650" t="s">
        <v>12491</v>
      </c>
      <c r="AA650" t="s">
        <v>74</v>
      </c>
      <c r="AB650" t="s">
        <v>74</v>
      </c>
      <c r="AC650" t="s">
        <v>74</v>
      </c>
      <c r="AD650" t="s">
        <v>74</v>
      </c>
      <c r="AE650" t="s">
        <v>74</v>
      </c>
      <c r="AF650" t="s">
        <v>74</v>
      </c>
      <c r="AG650">
        <v>18</v>
      </c>
      <c r="AH650">
        <v>1</v>
      </c>
      <c r="AI650">
        <v>1</v>
      </c>
      <c r="AJ650">
        <v>0</v>
      </c>
      <c r="AK650">
        <v>2</v>
      </c>
      <c r="AL650" t="s">
        <v>2692</v>
      </c>
      <c r="AM650" t="s">
        <v>506</v>
      </c>
      <c r="AN650" t="s">
        <v>2693</v>
      </c>
      <c r="AO650" t="s">
        <v>12492</v>
      </c>
      <c r="AP650" t="s">
        <v>12493</v>
      </c>
      <c r="AQ650" t="s">
        <v>74</v>
      </c>
      <c r="AR650" t="s">
        <v>12494</v>
      </c>
      <c r="AS650" t="s">
        <v>12495</v>
      </c>
      <c r="AT650" t="s">
        <v>4645</v>
      </c>
      <c r="AU650">
        <v>2022</v>
      </c>
      <c r="AV650">
        <v>64</v>
      </c>
      <c r="AW650">
        <v>1</v>
      </c>
      <c r="AX650" t="s">
        <v>74</v>
      </c>
      <c r="AY650" t="s">
        <v>74</v>
      </c>
      <c r="AZ650" t="s">
        <v>74</v>
      </c>
      <c r="BA650" t="s">
        <v>74</v>
      </c>
      <c r="BB650">
        <v>96</v>
      </c>
      <c r="BC650">
        <v>102</v>
      </c>
      <c r="BD650" t="s">
        <v>74</v>
      </c>
      <c r="BE650" t="s">
        <v>12496</v>
      </c>
      <c r="BF650" t="str">
        <f>HYPERLINK("http://dx.doi.org/10.1134/S1066362222010131","http://dx.doi.org/10.1134/S1066362222010131")</f>
        <v>http://dx.doi.org/10.1134/S1066362222010131</v>
      </c>
      <c r="BG650" t="s">
        <v>74</v>
      </c>
      <c r="BH650" t="s">
        <v>74</v>
      </c>
      <c r="BI650">
        <v>7</v>
      </c>
      <c r="BJ650" t="s">
        <v>12497</v>
      </c>
      <c r="BK650" t="s">
        <v>724</v>
      </c>
      <c r="BL650" t="s">
        <v>3284</v>
      </c>
      <c r="BM650" t="s">
        <v>12498</v>
      </c>
      <c r="BN650" t="s">
        <v>74</v>
      </c>
      <c r="BO650" t="s">
        <v>74</v>
      </c>
      <c r="BP650" t="s">
        <v>74</v>
      </c>
      <c r="BQ650" t="s">
        <v>74</v>
      </c>
      <c r="BR650" t="s">
        <v>106</v>
      </c>
      <c r="BS650" t="s">
        <v>12499</v>
      </c>
      <c r="BT650" t="str">
        <f>HYPERLINK("https%3A%2F%2Fwww.webofscience.com%2Fwos%2Fwoscc%2Ffull-record%2FWOS:000782766400013","View Full Record in Web of Science")</f>
        <v>View Full Record in Web of Science</v>
      </c>
    </row>
    <row r="651" spans="1:72" x14ac:dyDescent="0.15">
      <c r="A651" t="s">
        <v>72</v>
      </c>
      <c r="B651" t="s">
        <v>12500</v>
      </c>
      <c r="C651" t="s">
        <v>74</v>
      </c>
      <c r="D651" t="s">
        <v>74</v>
      </c>
      <c r="E651" t="s">
        <v>74</v>
      </c>
      <c r="F651" t="s">
        <v>12501</v>
      </c>
      <c r="G651" t="s">
        <v>74</v>
      </c>
      <c r="H651" t="s">
        <v>74</v>
      </c>
      <c r="I651" t="s">
        <v>12502</v>
      </c>
      <c r="J651" t="s">
        <v>12503</v>
      </c>
      <c r="K651" t="s">
        <v>74</v>
      </c>
      <c r="L651" t="s">
        <v>74</v>
      </c>
      <c r="M651" t="s">
        <v>11330</v>
      </c>
      <c r="N651" t="s">
        <v>79</v>
      </c>
      <c r="O651" t="s">
        <v>74</v>
      </c>
      <c r="P651" t="s">
        <v>74</v>
      </c>
      <c r="Q651" t="s">
        <v>74</v>
      </c>
      <c r="R651" t="s">
        <v>74</v>
      </c>
      <c r="S651" t="s">
        <v>74</v>
      </c>
      <c r="T651" t="s">
        <v>12504</v>
      </c>
      <c r="U651" t="s">
        <v>12505</v>
      </c>
      <c r="V651" t="s">
        <v>12506</v>
      </c>
      <c r="W651" t="s">
        <v>12507</v>
      </c>
      <c r="X651" t="s">
        <v>3316</v>
      </c>
      <c r="Y651" t="s">
        <v>12508</v>
      </c>
      <c r="Z651" t="s">
        <v>12509</v>
      </c>
      <c r="AA651" t="s">
        <v>12510</v>
      </c>
      <c r="AB651" t="s">
        <v>74</v>
      </c>
      <c r="AC651" t="s">
        <v>74</v>
      </c>
      <c r="AD651" t="s">
        <v>74</v>
      </c>
      <c r="AE651" t="s">
        <v>74</v>
      </c>
      <c r="AF651" t="s">
        <v>74</v>
      </c>
      <c r="AG651">
        <v>47</v>
      </c>
      <c r="AH651">
        <v>0</v>
      </c>
      <c r="AI651">
        <v>0</v>
      </c>
      <c r="AJ651">
        <v>2</v>
      </c>
      <c r="AK651">
        <v>6</v>
      </c>
      <c r="AL651" t="s">
        <v>4206</v>
      </c>
      <c r="AM651" t="s">
        <v>4207</v>
      </c>
      <c r="AN651" t="s">
        <v>4208</v>
      </c>
      <c r="AO651" t="s">
        <v>12511</v>
      </c>
      <c r="AP651" t="s">
        <v>74</v>
      </c>
      <c r="AQ651" t="s">
        <v>74</v>
      </c>
      <c r="AR651" t="s">
        <v>12512</v>
      </c>
      <c r="AS651" t="s">
        <v>12513</v>
      </c>
      <c r="AT651" t="s">
        <v>4645</v>
      </c>
      <c r="AU651">
        <v>2022</v>
      </c>
      <c r="AV651">
        <v>65</v>
      </c>
      <c r="AW651">
        <v>1</v>
      </c>
      <c r="AX651" t="s">
        <v>74</v>
      </c>
      <c r="AY651" t="s">
        <v>74</v>
      </c>
      <c r="AZ651" t="s">
        <v>74</v>
      </c>
      <c r="BA651" t="s">
        <v>74</v>
      </c>
      <c r="BB651">
        <v>96</v>
      </c>
      <c r="BC651">
        <v>107</v>
      </c>
      <c r="BD651" t="s">
        <v>74</v>
      </c>
      <c r="BE651" t="s">
        <v>12514</v>
      </c>
      <c r="BF651" t="str">
        <f>HYPERLINK("http://dx.doi.org/10.6038/cjg2022P0107","http://dx.doi.org/10.6038/cjg2022P0107")</f>
        <v>http://dx.doi.org/10.6038/cjg2022P0107</v>
      </c>
      <c r="BG651" t="s">
        <v>74</v>
      </c>
      <c r="BH651" t="s">
        <v>74</v>
      </c>
      <c r="BI651">
        <v>12</v>
      </c>
      <c r="BJ651" t="s">
        <v>1014</v>
      </c>
      <c r="BK651" t="s">
        <v>103</v>
      </c>
      <c r="BL651" t="s">
        <v>1014</v>
      </c>
      <c r="BM651" t="s">
        <v>12515</v>
      </c>
      <c r="BN651" t="s">
        <v>74</v>
      </c>
      <c r="BO651" t="s">
        <v>74</v>
      </c>
      <c r="BP651" t="s">
        <v>74</v>
      </c>
      <c r="BQ651" t="s">
        <v>74</v>
      </c>
      <c r="BR651" t="s">
        <v>106</v>
      </c>
      <c r="BS651" t="s">
        <v>12516</v>
      </c>
      <c r="BT651" t="str">
        <f>HYPERLINK("https%3A%2F%2Fwww.webofscience.com%2Fwos%2Fwoscc%2Ffull-record%2FWOS:000776136800008","View Full Record in Web of Science")</f>
        <v>View Full Record in Web of Science</v>
      </c>
    </row>
    <row r="652" spans="1:72" x14ac:dyDescent="0.15">
      <c r="A652" t="s">
        <v>72</v>
      </c>
      <c r="B652" t="s">
        <v>12517</v>
      </c>
      <c r="C652" t="s">
        <v>74</v>
      </c>
      <c r="D652" t="s">
        <v>74</v>
      </c>
      <c r="E652" t="s">
        <v>74</v>
      </c>
      <c r="F652" t="s">
        <v>12518</v>
      </c>
      <c r="G652" t="s">
        <v>74</v>
      </c>
      <c r="H652" t="s">
        <v>74</v>
      </c>
      <c r="I652" t="s">
        <v>12519</v>
      </c>
      <c r="J652" t="s">
        <v>12520</v>
      </c>
      <c r="K652" t="s">
        <v>74</v>
      </c>
      <c r="L652" t="s">
        <v>74</v>
      </c>
      <c r="M652" t="s">
        <v>78</v>
      </c>
      <c r="N652" t="s">
        <v>79</v>
      </c>
      <c r="O652" t="s">
        <v>74</v>
      </c>
      <c r="P652" t="s">
        <v>74</v>
      </c>
      <c r="Q652" t="s">
        <v>74</v>
      </c>
      <c r="R652" t="s">
        <v>74</v>
      </c>
      <c r="S652" t="s">
        <v>74</v>
      </c>
      <c r="T652" t="s">
        <v>12521</v>
      </c>
      <c r="U652" t="s">
        <v>12522</v>
      </c>
      <c r="V652" t="s">
        <v>12523</v>
      </c>
      <c r="W652" t="s">
        <v>12524</v>
      </c>
      <c r="X652" t="s">
        <v>12525</v>
      </c>
      <c r="Y652" t="s">
        <v>12526</v>
      </c>
      <c r="Z652" t="s">
        <v>12527</v>
      </c>
      <c r="AA652" t="s">
        <v>12528</v>
      </c>
      <c r="AB652" t="s">
        <v>4564</v>
      </c>
      <c r="AC652" t="s">
        <v>8366</v>
      </c>
      <c r="AD652" t="s">
        <v>8367</v>
      </c>
      <c r="AE652" t="s">
        <v>12529</v>
      </c>
      <c r="AF652" t="s">
        <v>74</v>
      </c>
      <c r="AG652">
        <v>51</v>
      </c>
      <c r="AH652">
        <v>12</v>
      </c>
      <c r="AI652">
        <v>12</v>
      </c>
      <c r="AJ652">
        <v>1</v>
      </c>
      <c r="AK652">
        <v>18</v>
      </c>
      <c r="AL652" t="s">
        <v>1552</v>
      </c>
      <c r="AM652" t="s">
        <v>436</v>
      </c>
      <c r="AN652" t="s">
        <v>1553</v>
      </c>
      <c r="AO652" t="s">
        <v>12530</v>
      </c>
      <c r="AP652" t="s">
        <v>12531</v>
      </c>
      <c r="AQ652" t="s">
        <v>74</v>
      </c>
      <c r="AR652" t="s">
        <v>12532</v>
      </c>
      <c r="AS652" t="s">
        <v>12533</v>
      </c>
      <c r="AT652" t="s">
        <v>4645</v>
      </c>
      <c r="AU652">
        <v>2022</v>
      </c>
      <c r="AV652">
        <v>108</v>
      </c>
      <c r="AW652" t="s">
        <v>74</v>
      </c>
      <c r="AX652" t="s">
        <v>74</v>
      </c>
      <c r="AY652" t="s">
        <v>74</v>
      </c>
      <c r="AZ652" t="s">
        <v>74</v>
      </c>
      <c r="BA652" t="s">
        <v>74</v>
      </c>
      <c r="BB652" t="s">
        <v>74</v>
      </c>
      <c r="BC652" t="s">
        <v>74</v>
      </c>
      <c r="BD652">
        <v>103451</v>
      </c>
      <c r="BE652" t="s">
        <v>12534</v>
      </c>
      <c r="BF652" t="str">
        <f>HYPERLINK("http://dx.doi.org/10.1016/j.jfluidstructs.2021.103451","http://dx.doi.org/10.1016/j.jfluidstructs.2021.103451")</f>
        <v>http://dx.doi.org/10.1016/j.jfluidstructs.2021.103451</v>
      </c>
      <c r="BG652" t="s">
        <v>74</v>
      </c>
      <c r="BH652" t="s">
        <v>74</v>
      </c>
      <c r="BI652">
        <v>27</v>
      </c>
      <c r="BJ652" t="s">
        <v>12535</v>
      </c>
      <c r="BK652" t="s">
        <v>103</v>
      </c>
      <c r="BL652" t="s">
        <v>12536</v>
      </c>
      <c r="BM652" t="s">
        <v>12537</v>
      </c>
      <c r="BN652" t="s">
        <v>74</v>
      </c>
      <c r="BO652" t="s">
        <v>74</v>
      </c>
      <c r="BP652" t="s">
        <v>74</v>
      </c>
      <c r="BQ652" t="s">
        <v>74</v>
      </c>
      <c r="BR652" t="s">
        <v>106</v>
      </c>
      <c r="BS652" t="s">
        <v>12538</v>
      </c>
      <c r="BT652" t="str">
        <f>HYPERLINK("https%3A%2F%2Fwww.webofscience.com%2Fwos%2Fwoscc%2Ffull-record%2FWOS:000779128400002","View Full Record in Web of Science")</f>
        <v>View Full Record in Web of Science</v>
      </c>
    </row>
    <row r="653" spans="1:72" x14ac:dyDescent="0.15">
      <c r="A653" t="s">
        <v>72</v>
      </c>
      <c r="B653" t="s">
        <v>12539</v>
      </c>
      <c r="C653" t="s">
        <v>74</v>
      </c>
      <c r="D653" t="s">
        <v>74</v>
      </c>
      <c r="E653" t="s">
        <v>74</v>
      </c>
      <c r="F653" t="s">
        <v>12540</v>
      </c>
      <c r="G653" t="s">
        <v>74</v>
      </c>
      <c r="H653" t="s">
        <v>74</v>
      </c>
      <c r="I653" t="s">
        <v>12541</v>
      </c>
      <c r="J653" t="s">
        <v>11113</v>
      </c>
      <c r="K653" t="s">
        <v>74</v>
      </c>
      <c r="L653" t="s">
        <v>74</v>
      </c>
      <c r="M653" t="s">
        <v>78</v>
      </c>
      <c r="N653" t="s">
        <v>79</v>
      </c>
      <c r="O653" t="s">
        <v>74</v>
      </c>
      <c r="P653" t="s">
        <v>74</v>
      </c>
      <c r="Q653" t="s">
        <v>74</v>
      </c>
      <c r="R653" t="s">
        <v>74</v>
      </c>
      <c r="S653" t="s">
        <v>74</v>
      </c>
      <c r="T653" t="s">
        <v>12542</v>
      </c>
      <c r="U653" t="s">
        <v>74</v>
      </c>
      <c r="V653" t="s">
        <v>12543</v>
      </c>
      <c r="W653" t="s">
        <v>12544</v>
      </c>
      <c r="X653" t="s">
        <v>12545</v>
      </c>
      <c r="Y653" t="s">
        <v>12546</v>
      </c>
      <c r="Z653" t="s">
        <v>12547</v>
      </c>
      <c r="AA653" t="s">
        <v>12548</v>
      </c>
      <c r="AB653" t="s">
        <v>12549</v>
      </c>
      <c r="AC653" t="s">
        <v>12550</v>
      </c>
      <c r="AD653" t="s">
        <v>12551</v>
      </c>
      <c r="AE653" t="s">
        <v>12552</v>
      </c>
      <c r="AF653" t="s">
        <v>74</v>
      </c>
      <c r="AG653">
        <v>40</v>
      </c>
      <c r="AH653">
        <v>1</v>
      </c>
      <c r="AI653">
        <v>1</v>
      </c>
      <c r="AJ653">
        <v>0</v>
      </c>
      <c r="AK653">
        <v>1</v>
      </c>
      <c r="AL653" t="s">
        <v>11119</v>
      </c>
      <c r="AM653" t="s">
        <v>11120</v>
      </c>
      <c r="AN653" t="s">
        <v>11121</v>
      </c>
      <c r="AO653" t="s">
        <v>11122</v>
      </c>
      <c r="AP653" t="s">
        <v>11123</v>
      </c>
      <c r="AQ653" t="s">
        <v>74</v>
      </c>
      <c r="AR653" t="s">
        <v>11124</v>
      </c>
      <c r="AS653" t="s">
        <v>11125</v>
      </c>
      <c r="AT653" t="s">
        <v>74</v>
      </c>
      <c r="AU653">
        <v>2022</v>
      </c>
      <c r="AV653">
        <v>94</v>
      </c>
      <c r="AW653" t="s">
        <v>74</v>
      </c>
      <c r="AX653" t="s">
        <v>74</v>
      </c>
      <c r="AY653">
        <v>1</v>
      </c>
      <c r="AZ653" t="s">
        <v>74</v>
      </c>
      <c r="BA653" t="s">
        <v>74</v>
      </c>
      <c r="BB653" t="s">
        <v>74</v>
      </c>
      <c r="BC653" t="s">
        <v>74</v>
      </c>
      <c r="BD653" t="s">
        <v>12553</v>
      </c>
      <c r="BE653" t="s">
        <v>12554</v>
      </c>
      <c r="BF653" t="str">
        <f>HYPERLINK("http://dx.doi.org/10.1590/0001-3765202220191467","http://dx.doi.org/10.1590/0001-3765202220191467")</f>
        <v>http://dx.doi.org/10.1590/0001-3765202220191467</v>
      </c>
      <c r="BG653" t="s">
        <v>74</v>
      </c>
      <c r="BH653" t="s">
        <v>74</v>
      </c>
      <c r="BI653">
        <v>15</v>
      </c>
      <c r="BJ653" t="s">
        <v>289</v>
      </c>
      <c r="BK653" t="s">
        <v>103</v>
      </c>
      <c r="BL653" t="s">
        <v>290</v>
      </c>
      <c r="BM653" t="s">
        <v>12555</v>
      </c>
      <c r="BN653">
        <v>35384969</v>
      </c>
      <c r="BO653" t="s">
        <v>445</v>
      </c>
      <c r="BP653" t="s">
        <v>74</v>
      </c>
      <c r="BQ653" t="s">
        <v>74</v>
      </c>
      <c r="BR653" t="s">
        <v>106</v>
      </c>
      <c r="BS653" t="s">
        <v>12556</v>
      </c>
      <c r="BT653" t="str">
        <f>HYPERLINK("https%3A%2F%2Fwww.webofscience.com%2Fwos%2Fwoscc%2Ffull-record%2FWOS:000778778500001","View Full Record in Web of Science")</f>
        <v>View Full Record in Web of Science</v>
      </c>
    </row>
    <row r="654" spans="1:72" x14ac:dyDescent="0.15">
      <c r="A654" t="s">
        <v>72</v>
      </c>
      <c r="B654" t="s">
        <v>12557</v>
      </c>
      <c r="C654" t="s">
        <v>74</v>
      </c>
      <c r="D654" t="s">
        <v>74</v>
      </c>
      <c r="E654" t="s">
        <v>74</v>
      </c>
      <c r="F654" t="s">
        <v>12558</v>
      </c>
      <c r="G654" t="s">
        <v>74</v>
      </c>
      <c r="H654" t="s">
        <v>74</v>
      </c>
      <c r="I654" t="s">
        <v>12559</v>
      </c>
      <c r="J654" t="s">
        <v>11113</v>
      </c>
      <c r="K654" t="s">
        <v>74</v>
      </c>
      <c r="L654" t="s">
        <v>74</v>
      </c>
      <c r="M654" t="s">
        <v>78</v>
      </c>
      <c r="N654" t="s">
        <v>79</v>
      </c>
      <c r="O654" t="s">
        <v>74</v>
      </c>
      <c r="P654" t="s">
        <v>74</v>
      </c>
      <c r="Q654" t="s">
        <v>74</v>
      </c>
      <c r="R654" t="s">
        <v>74</v>
      </c>
      <c r="S654" t="s">
        <v>74</v>
      </c>
      <c r="T654" t="s">
        <v>12560</v>
      </c>
      <c r="U654" t="s">
        <v>12561</v>
      </c>
      <c r="V654" t="s">
        <v>12562</v>
      </c>
      <c r="W654" t="s">
        <v>12563</v>
      </c>
      <c r="X654" t="s">
        <v>12564</v>
      </c>
      <c r="Y654" t="s">
        <v>12565</v>
      </c>
      <c r="Z654" t="s">
        <v>12566</v>
      </c>
      <c r="AA654" t="s">
        <v>74</v>
      </c>
      <c r="AB654" t="s">
        <v>12567</v>
      </c>
      <c r="AC654" t="s">
        <v>12568</v>
      </c>
      <c r="AD654" t="s">
        <v>12569</v>
      </c>
      <c r="AE654" t="s">
        <v>12570</v>
      </c>
      <c r="AF654" t="s">
        <v>74</v>
      </c>
      <c r="AG654">
        <v>103</v>
      </c>
      <c r="AH654">
        <v>2</v>
      </c>
      <c r="AI654">
        <v>2</v>
      </c>
      <c r="AJ654">
        <v>0</v>
      </c>
      <c r="AK654">
        <v>5</v>
      </c>
      <c r="AL654" t="s">
        <v>11119</v>
      </c>
      <c r="AM654" t="s">
        <v>11120</v>
      </c>
      <c r="AN654" t="s">
        <v>11121</v>
      </c>
      <c r="AO654" t="s">
        <v>11122</v>
      </c>
      <c r="AP654" t="s">
        <v>11123</v>
      </c>
      <c r="AQ654" t="s">
        <v>74</v>
      </c>
      <c r="AR654" t="s">
        <v>11124</v>
      </c>
      <c r="AS654" t="s">
        <v>11125</v>
      </c>
      <c r="AT654" t="s">
        <v>74</v>
      </c>
      <c r="AU654">
        <v>2022</v>
      </c>
      <c r="AV654">
        <v>94</v>
      </c>
      <c r="AW654" t="s">
        <v>74</v>
      </c>
      <c r="AX654" t="s">
        <v>74</v>
      </c>
      <c r="AY654">
        <v>1</v>
      </c>
      <c r="AZ654" t="s">
        <v>74</v>
      </c>
      <c r="BA654" t="s">
        <v>74</v>
      </c>
      <c r="BB654" t="s">
        <v>74</v>
      </c>
      <c r="BC654" t="s">
        <v>74</v>
      </c>
      <c r="BD654" t="s">
        <v>12571</v>
      </c>
      <c r="BE654" t="s">
        <v>12572</v>
      </c>
      <c r="BF654" t="str">
        <f>HYPERLINK("http://dx.doi.org/10.1590/0001-3765202220201141","http://dx.doi.org/10.1590/0001-3765202220201141")</f>
        <v>http://dx.doi.org/10.1590/0001-3765202220201141</v>
      </c>
      <c r="BG654" t="s">
        <v>74</v>
      </c>
      <c r="BH654" t="s">
        <v>74</v>
      </c>
      <c r="BI654">
        <v>22</v>
      </c>
      <c r="BJ654" t="s">
        <v>289</v>
      </c>
      <c r="BK654" t="s">
        <v>103</v>
      </c>
      <c r="BL654" t="s">
        <v>290</v>
      </c>
      <c r="BM654" t="s">
        <v>12573</v>
      </c>
      <c r="BN654">
        <v>35384970</v>
      </c>
      <c r="BO654" t="s">
        <v>445</v>
      </c>
      <c r="BP654" t="s">
        <v>74</v>
      </c>
      <c r="BQ654" t="s">
        <v>74</v>
      </c>
      <c r="BR654" t="s">
        <v>106</v>
      </c>
      <c r="BS654" t="s">
        <v>12574</v>
      </c>
      <c r="BT654" t="str">
        <f>HYPERLINK("https%3A%2F%2Fwww.webofscience.com%2Fwos%2Fwoscc%2Ffull-record%2FWOS:000778778800001","View Full Record in Web of Science")</f>
        <v>View Full Record in Web of Science</v>
      </c>
    </row>
    <row r="655" spans="1:72" x14ac:dyDescent="0.15">
      <c r="A655" t="s">
        <v>72</v>
      </c>
      <c r="B655" t="s">
        <v>12575</v>
      </c>
      <c r="C655" t="s">
        <v>74</v>
      </c>
      <c r="D655" t="s">
        <v>74</v>
      </c>
      <c r="E655" t="s">
        <v>74</v>
      </c>
      <c r="F655" t="s">
        <v>12576</v>
      </c>
      <c r="G655" t="s">
        <v>74</v>
      </c>
      <c r="H655" t="s">
        <v>74</v>
      </c>
      <c r="I655" t="s">
        <v>12577</v>
      </c>
      <c r="J655" t="s">
        <v>12578</v>
      </c>
      <c r="K655" t="s">
        <v>74</v>
      </c>
      <c r="L655" t="s">
        <v>74</v>
      </c>
      <c r="M655" t="s">
        <v>78</v>
      </c>
      <c r="N655" t="s">
        <v>79</v>
      </c>
      <c r="O655" t="s">
        <v>74</v>
      </c>
      <c r="P655" t="s">
        <v>74</v>
      </c>
      <c r="Q655" t="s">
        <v>74</v>
      </c>
      <c r="R655" t="s">
        <v>74</v>
      </c>
      <c r="S655" t="s">
        <v>74</v>
      </c>
      <c r="T655" t="s">
        <v>12579</v>
      </c>
      <c r="U655" t="s">
        <v>74</v>
      </c>
      <c r="V655" t="s">
        <v>12580</v>
      </c>
      <c r="W655" t="s">
        <v>12581</v>
      </c>
      <c r="X655" t="s">
        <v>12582</v>
      </c>
      <c r="Y655" t="s">
        <v>12583</v>
      </c>
      <c r="Z655" t="s">
        <v>12584</v>
      </c>
      <c r="AA655" t="s">
        <v>12585</v>
      </c>
      <c r="AB655" t="s">
        <v>12586</v>
      </c>
      <c r="AC655" t="s">
        <v>74</v>
      </c>
      <c r="AD655" t="s">
        <v>74</v>
      </c>
      <c r="AE655" t="s">
        <v>74</v>
      </c>
      <c r="AF655" t="s">
        <v>74</v>
      </c>
      <c r="AG655">
        <v>20</v>
      </c>
      <c r="AH655">
        <v>0</v>
      </c>
      <c r="AI655">
        <v>0</v>
      </c>
      <c r="AJ655">
        <v>0</v>
      </c>
      <c r="AK655">
        <v>0</v>
      </c>
      <c r="AL655" t="s">
        <v>12587</v>
      </c>
      <c r="AM655" t="s">
        <v>12588</v>
      </c>
      <c r="AN655" t="s">
        <v>12589</v>
      </c>
      <c r="AO655" t="s">
        <v>12590</v>
      </c>
      <c r="AP655" t="s">
        <v>74</v>
      </c>
      <c r="AQ655" t="s">
        <v>74</v>
      </c>
      <c r="AR655" t="s">
        <v>12591</v>
      </c>
      <c r="AS655" t="s">
        <v>12592</v>
      </c>
      <c r="AT655" t="s">
        <v>74</v>
      </c>
      <c r="AU655">
        <v>2022</v>
      </c>
      <c r="AV655" t="s">
        <v>74</v>
      </c>
      <c r="AW655">
        <v>17</v>
      </c>
      <c r="AX655" t="s">
        <v>74</v>
      </c>
      <c r="AY655" t="s">
        <v>74</v>
      </c>
      <c r="AZ655" t="s">
        <v>74</v>
      </c>
      <c r="BA655" t="s">
        <v>74</v>
      </c>
      <c r="BB655">
        <v>16</v>
      </c>
      <c r="BC655">
        <v>27</v>
      </c>
      <c r="BD655" t="s">
        <v>74</v>
      </c>
      <c r="BE655" t="s">
        <v>12593</v>
      </c>
      <c r="BF655" t="str">
        <f>HYPERLINK("http://dx.doi.org/10.24162/EI2022-10705","http://dx.doi.org/10.24162/EI2022-10705")</f>
        <v>http://dx.doi.org/10.24162/EI2022-10705</v>
      </c>
      <c r="BG655" t="s">
        <v>74</v>
      </c>
      <c r="BH655" t="s">
        <v>74</v>
      </c>
      <c r="BI655">
        <v>12</v>
      </c>
      <c r="BJ655" t="s">
        <v>9189</v>
      </c>
      <c r="BK655" t="s">
        <v>724</v>
      </c>
      <c r="BL655" t="s">
        <v>9190</v>
      </c>
      <c r="BM655" t="s">
        <v>12594</v>
      </c>
      <c r="BN655" t="s">
        <v>74</v>
      </c>
      <c r="BO655" t="s">
        <v>445</v>
      </c>
      <c r="BP655" t="s">
        <v>74</v>
      </c>
      <c r="BQ655" t="s">
        <v>74</v>
      </c>
      <c r="BR655" t="s">
        <v>106</v>
      </c>
      <c r="BS655" t="s">
        <v>12595</v>
      </c>
      <c r="BT655" t="str">
        <f>HYPERLINK("https%3A%2F%2Fwww.webofscience.com%2Fwos%2Fwoscc%2Ffull-record%2FWOS:000773303700002","View Full Record in Web of Science")</f>
        <v>View Full Record in Web of Science</v>
      </c>
    </row>
    <row r="656" spans="1:72" x14ac:dyDescent="0.15">
      <c r="A656" t="s">
        <v>72</v>
      </c>
      <c r="B656" t="s">
        <v>12596</v>
      </c>
      <c r="C656" t="s">
        <v>74</v>
      </c>
      <c r="D656" t="s">
        <v>74</v>
      </c>
      <c r="E656" t="s">
        <v>74</v>
      </c>
      <c r="F656" t="s">
        <v>12597</v>
      </c>
      <c r="G656" t="s">
        <v>74</v>
      </c>
      <c r="H656" t="s">
        <v>74</v>
      </c>
      <c r="I656" t="s">
        <v>12598</v>
      </c>
      <c r="J656" t="s">
        <v>9196</v>
      </c>
      <c r="K656" t="s">
        <v>74</v>
      </c>
      <c r="L656" t="s">
        <v>74</v>
      </c>
      <c r="M656" t="s">
        <v>78</v>
      </c>
      <c r="N656" t="s">
        <v>79</v>
      </c>
      <c r="O656" t="s">
        <v>74</v>
      </c>
      <c r="P656" t="s">
        <v>74</v>
      </c>
      <c r="Q656" t="s">
        <v>74</v>
      </c>
      <c r="R656" t="s">
        <v>74</v>
      </c>
      <c r="S656" t="s">
        <v>74</v>
      </c>
      <c r="T656" t="s">
        <v>12599</v>
      </c>
      <c r="U656" t="s">
        <v>12600</v>
      </c>
      <c r="V656" t="s">
        <v>12601</v>
      </c>
      <c r="W656" t="s">
        <v>12602</v>
      </c>
      <c r="X656" t="s">
        <v>12603</v>
      </c>
      <c r="Y656" t="s">
        <v>12604</v>
      </c>
      <c r="Z656" t="s">
        <v>12605</v>
      </c>
      <c r="AA656" t="s">
        <v>12606</v>
      </c>
      <c r="AB656" t="s">
        <v>12607</v>
      </c>
      <c r="AC656" t="s">
        <v>12608</v>
      </c>
      <c r="AD656" t="s">
        <v>12609</v>
      </c>
      <c r="AE656" t="s">
        <v>12610</v>
      </c>
      <c r="AF656" t="s">
        <v>74</v>
      </c>
      <c r="AG656">
        <v>49</v>
      </c>
      <c r="AH656">
        <v>8</v>
      </c>
      <c r="AI656">
        <v>9</v>
      </c>
      <c r="AJ656">
        <v>12</v>
      </c>
      <c r="AK656">
        <v>50</v>
      </c>
      <c r="AL656" t="s">
        <v>1667</v>
      </c>
      <c r="AM656" t="s">
        <v>1668</v>
      </c>
      <c r="AN656" t="s">
        <v>1669</v>
      </c>
      <c r="AO656" t="s">
        <v>9209</v>
      </c>
      <c r="AP656" t="s">
        <v>9210</v>
      </c>
      <c r="AQ656" t="s">
        <v>74</v>
      </c>
      <c r="AR656" t="s">
        <v>9211</v>
      </c>
      <c r="AS656" t="s">
        <v>9212</v>
      </c>
      <c r="AT656" t="s">
        <v>74</v>
      </c>
      <c r="AU656">
        <v>2022</v>
      </c>
      <c r="AV656">
        <v>60</v>
      </c>
      <c r="AW656" t="s">
        <v>74</v>
      </c>
      <c r="AX656" t="s">
        <v>74</v>
      </c>
      <c r="AY656" t="s">
        <v>74</v>
      </c>
      <c r="AZ656" t="s">
        <v>74</v>
      </c>
      <c r="BA656" t="s">
        <v>74</v>
      </c>
      <c r="BB656" t="s">
        <v>74</v>
      </c>
      <c r="BC656" t="s">
        <v>74</v>
      </c>
      <c r="BD656">
        <v>4601319</v>
      </c>
      <c r="BE656" t="s">
        <v>12611</v>
      </c>
      <c r="BF656" t="str">
        <f>HYPERLINK("http://dx.doi.org/10.1109/TGRS.2022.3154430","http://dx.doi.org/10.1109/TGRS.2022.3154430")</f>
        <v>http://dx.doi.org/10.1109/TGRS.2022.3154430</v>
      </c>
      <c r="BG656" t="s">
        <v>74</v>
      </c>
      <c r="BH656" t="s">
        <v>74</v>
      </c>
      <c r="BI656">
        <v>19</v>
      </c>
      <c r="BJ656" t="s">
        <v>9214</v>
      </c>
      <c r="BK656" t="s">
        <v>103</v>
      </c>
      <c r="BL656" t="s">
        <v>9215</v>
      </c>
      <c r="BM656" t="s">
        <v>12612</v>
      </c>
      <c r="BN656" t="s">
        <v>74</v>
      </c>
      <c r="BO656" t="s">
        <v>74</v>
      </c>
      <c r="BP656" t="s">
        <v>74</v>
      </c>
      <c r="BQ656" t="s">
        <v>74</v>
      </c>
      <c r="BR656" t="s">
        <v>106</v>
      </c>
      <c r="BS656" t="s">
        <v>12613</v>
      </c>
      <c r="BT656" t="str">
        <f>HYPERLINK("https%3A%2F%2Fwww.webofscience.com%2Fwos%2Fwoscc%2Ffull-record%2FWOS:000777341600016","View Full Record in Web of Science")</f>
        <v>View Full Record in Web of Science</v>
      </c>
    </row>
    <row r="657" spans="1:72" x14ac:dyDescent="0.15">
      <c r="A657" t="s">
        <v>72</v>
      </c>
      <c r="B657" t="s">
        <v>12614</v>
      </c>
      <c r="C657" t="s">
        <v>74</v>
      </c>
      <c r="D657" t="s">
        <v>74</v>
      </c>
      <c r="E657" t="s">
        <v>74</v>
      </c>
      <c r="F657" t="s">
        <v>12615</v>
      </c>
      <c r="G657" t="s">
        <v>74</v>
      </c>
      <c r="H657" t="s">
        <v>74</v>
      </c>
      <c r="I657" t="s">
        <v>12616</v>
      </c>
      <c r="J657" t="s">
        <v>11113</v>
      </c>
      <c r="K657" t="s">
        <v>74</v>
      </c>
      <c r="L657" t="s">
        <v>74</v>
      </c>
      <c r="M657" t="s">
        <v>78</v>
      </c>
      <c r="N657" t="s">
        <v>79</v>
      </c>
      <c r="O657" t="s">
        <v>74</v>
      </c>
      <c r="P657" t="s">
        <v>74</v>
      </c>
      <c r="Q657" t="s">
        <v>74</v>
      </c>
      <c r="R657" t="s">
        <v>74</v>
      </c>
      <c r="S657" t="s">
        <v>74</v>
      </c>
      <c r="T657" t="s">
        <v>12617</v>
      </c>
      <c r="U657" t="s">
        <v>12618</v>
      </c>
      <c r="V657" t="s">
        <v>12619</v>
      </c>
      <c r="W657" t="s">
        <v>12620</v>
      </c>
      <c r="X657" t="s">
        <v>12621</v>
      </c>
      <c r="Y657" t="s">
        <v>12622</v>
      </c>
      <c r="Z657" t="s">
        <v>12623</v>
      </c>
      <c r="AA657" t="s">
        <v>12624</v>
      </c>
      <c r="AB657" t="s">
        <v>12625</v>
      </c>
      <c r="AC657" t="s">
        <v>12626</v>
      </c>
      <c r="AD657" t="s">
        <v>12627</v>
      </c>
      <c r="AE657" t="s">
        <v>12628</v>
      </c>
      <c r="AF657" t="s">
        <v>74</v>
      </c>
      <c r="AG657">
        <v>72</v>
      </c>
      <c r="AH657">
        <v>0</v>
      </c>
      <c r="AI657">
        <v>0</v>
      </c>
      <c r="AJ657">
        <v>0</v>
      </c>
      <c r="AK657">
        <v>1</v>
      </c>
      <c r="AL657" t="s">
        <v>11119</v>
      </c>
      <c r="AM657" t="s">
        <v>11120</v>
      </c>
      <c r="AN657" t="s">
        <v>11121</v>
      </c>
      <c r="AO657" t="s">
        <v>11122</v>
      </c>
      <c r="AP657" t="s">
        <v>11123</v>
      </c>
      <c r="AQ657" t="s">
        <v>74</v>
      </c>
      <c r="AR657" t="s">
        <v>11124</v>
      </c>
      <c r="AS657" t="s">
        <v>11125</v>
      </c>
      <c r="AT657" t="s">
        <v>74</v>
      </c>
      <c r="AU657">
        <v>2022</v>
      </c>
      <c r="AV657">
        <v>94</v>
      </c>
      <c r="AW657" t="s">
        <v>74</v>
      </c>
      <c r="AX657" t="s">
        <v>74</v>
      </c>
      <c r="AY657">
        <v>1</v>
      </c>
      <c r="AZ657" t="s">
        <v>74</v>
      </c>
      <c r="BA657" t="s">
        <v>74</v>
      </c>
      <c r="BB657" t="s">
        <v>74</v>
      </c>
      <c r="BC657" t="s">
        <v>74</v>
      </c>
      <c r="BD657" t="s">
        <v>12629</v>
      </c>
      <c r="BE657" t="s">
        <v>12630</v>
      </c>
      <c r="BF657" t="str">
        <f>HYPERLINK("http://dx.doi.org/10.1590/0001-3765202220210114","http://dx.doi.org/10.1590/0001-3765202220210114")</f>
        <v>http://dx.doi.org/10.1590/0001-3765202220210114</v>
      </c>
      <c r="BG657" t="s">
        <v>74</v>
      </c>
      <c r="BH657" t="s">
        <v>74</v>
      </c>
      <c r="BI657">
        <v>26</v>
      </c>
      <c r="BJ657" t="s">
        <v>289</v>
      </c>
      <c r="BK657" t="s">
        <v>103</v>
      </c>
      <c r="BL657" t="s">
        <v>290</v>
      </c>
      <c r="BM657" t="s">
        <v>12631</v>
      </c>
      <c r="BN657">
        <v>35384971</v>
      </c>
      <c r="BO657" t="s">
        <v>445</v>
      </c>
      <c r="BP657" t="s">
        <v>74</v>
      </c>
      <c r="BQ657" t="s">
        <v>74</v>
      </c>
      <c r="BR657" t="s">
        <v>106</v>
      </c>
      <c r="BS657" t="s">
        <v>12632</v>
      </c>
      <c r="BT657" t="str">
        <f>HYPERLINK("https%3A%2F%2Fwww.webofscience.com%2Fwos%2Fwoscc%2Ffull-record%2FWOS:000778779700001","View Full Record in Web of Science")</f>
        <v>View Full Record in Web of Science</v>
      </c>
    </row>
    <row r="658" spans="1:72" x14ac:dyDescent="0.15">
      <c r="A658" t="s">
        <v>72</v>
      </c>
      <c r="B658" t="s">
        <v>12633</v>
      </c>
      <c r="C658" t="s">
        <v>74</v>
      </c>
      <c r="D658" t="s">
        <v>74</v>
      </c>
      <c r="E658" t="s">
        <v>74</v>
      </c>
      <c r="F658" t="s">
        <v>12634</v>
      </c>
      <c r="G658" t="s">
        <v>74</v>
      </c>
      <c r="H658" t="s">
        <v>74</v>
      </c>
      <c r="I658" t="s">
        <v>12635</v>
      </c>
      <c r="J658" t="s">
        <v>10976</v>
      </c>
      <c r="K658" t="s">
        <v>74</v>
      </c>
      <c r="L658" t="s">
        <v>74</v>
      </c>
      <c r="M658" t="s">
        <v>78</v>
      </c>
      <c r="N658" t="s">
        <v>79</v>
      </c>
      <c r="O658" t="s">
        <v>74</v>
      </c>
      <c r="P658" t="s">
        <v>74</v>
      </c>
      <c r="Q658" t="s">
        <v>74</v>
      </c>
      <c r="R658" t="s">
        <v>74</v>
      </c>
      <c r="S658" t="s">
        <v>74</v>
      </c>
      <c r="T658" t="s">
        <v>12636</v>
      </c>
      <c r="U658" t="s">
        <v>12637</v>
      </c>
      <c r="V658" t="s">
        <v>12638</v>
      </c>
      <c r="W658" t="s">
        <v>12639</v>
      </c>
      <c r="X658" t="s">
        <v>12640</v>
      </c>
      <c r="Y658" t="s">
        <v>12641</v>
      </c>
      <c r="Z658" t="s">
        <v>12642</v>
      </c>
      <c r="AA658" t="s">
        <v>12643</v>
      </c>
      <c r="AB658" t="s">
        <v>74</v>
      </c>
      <c r="AC658" t="s">
        <v>12644</v>
      </c>
      <c r="AD658" t="s">
        <v>12645</v>
      </c>
      <c r="AE658" t="s">
        <v>12646</v>
      </c>
      <c r="AF658" t="s">
        <v>74</v>
      </c>
      <c r="AG658">
        <v>30</v>
      </c>
      <c r="AH658">
        <v>1</v>
      </c>
      <c r="AI658">
        <v>1</v>
      </c>
      <c r="AJ658">
        <v>6</v>
      </c>
      <c r="AK658">
        <v>22</v>
      </c>
      <c r="AL658" t="s">
        <v>10987</v>
      </c>
      <c r="AM658" t="s">
        <v>10988</v>
      </c>
      <c r="AN658" t="s">
        <v>10989</v>
      </c>
      <c r="AO658" t="s">
        <v>10990</v>
      </c>
      <c r="AP658" t="s">
        <v>10991</v>
      </c>
      <c r="AQ658" t="s">
        <v>74</v>
      </c>
      <c r="AR658" t="s">
        <v>10992</v>
      </c>
      <c r="AS658" t="s">
        <v>10993</v>
      </c>
      <c r="AT658" t="s">
        <v>74</v>
      </c>
      <c r="AU658">
        <v>2022</v>
      </c>
      <c r="AV658">
        <v>42</v>
      </c>
      <c r="AW658" t="s">
        <v>74</v>
      </c>
      <c r="AX658" t="s">
        <v>74</v>
      </c>
      <c r="AY658" t="s">
        <v>74</v>
      </c>
      <c r="AZ658" t="s">
        <v>74</v>
      </c>
      <c r="BA658" t="s">
        <v>74</v>
      </c>
      <c r="BB658" t="s">
        <v>74</v>
      </c>
      <c r="BC658" t="s">
        <v>74</v>
      </c>
      <c r="BD658" t="s">
        <v>12647</v>
      </c>
      <c r="BE658" t="s">
        <v>12648</v>
      </c>
      <c r="BF658" t="str">
        <f>HYPERLINK("http://dx.doi.org/10.1590/fst.64920","http://dx.doi.org/10.1590/fst.64920")</f>
        <v>http://dx.doi.org/10.1590/fst.64920</v>
      </c>
      <c r="BG658" t="s">
        <v>74</v>
      </c>
      <c r="BH658" t="s">
        <v>74</v>
      </c>
      <c r="BI658">
        <v>8</v>
      </c>
      <c r="BJ658" t="s">
        <v>235</v>
      </c>
      <c r="BK658" t="s">
        <v>103</v>
      </c>
      <c r="BL658" t="s">
        <v>235</v>
      </c>
      <c r="BM658" t="s">
        <v>12649</v>
      </c>
      <c r="BN658" t="s">
        <v>74</v>
      </c>
      <c r="BO658" t="s">
        <v>445</v>
      </c>
      <c r="BP658" t="s">
        <v>74</v>
      </c>
      <c r="BQ658" t="s">
        <v>74</v>
      </c>
      <c r="BR658" t="s">
        <v>106</v>
      </c>
      <c r="BS658" t="s">
        <v>12650</v>
      </c>
      <c r="BT658" t="str">
        <f>HYPERLINK("https%3A%2F%2Fwww.webofscience.com%2Fwos%2Fwoscc%2Ffull-record%2FWOS:000773384000010","View Full Record in Web of Science")</f>
        <v>View Full Record in Web of Science</v>
      </c>
    </row>
    <row r="659" spans="1:72" x14ac:dyDescent="0.15">
      <c r="A659" t="s">
        <v>72</v>
      </c>
      <c r="B659" t="s">
        <v>12651</v>
      </c>
      <c r="C659" t="s">
        <v>74</v>
      </c>
      <c r="D659" t="s">
        <v>74</v>
      </c>
      <c r="E659" t="s">
        <v>74</v>
      </c>
      <c r="F659" t="s">
        <v>12652</v>
      </c>
      <c r="G659" t="s">
        <v>74</v>
      </c>
      <c r="H659" t="s">
        <v>74</v>
      </c>
      <c r="I659" t="s">
        <v>12653</v>
      </c>
      <c r="J659" t="s">
        <v>11113</v>
      </c>
      <c r="K659" t="s">
        <v>74</v>
      </c>
      <c r="L659" t="s">
        <v>74</v>
      </c>
      <c r="M659" t="s">
        <v>78</v>
      </c>
      <c r="N659" t="s">
        <v>79</v>
      </c>
      <c r="O659" t="s">
        <v>74</v>
      </c>
      <c r="P659" t="s">
        <v>74</v>
      </c>
      <c r="Q659" t="s">
        <v>74</v>
      </c>
      <c r="R659" t="s">
        <v>74</v>
      </c>
      <c r="S659" t="s">
        <v>74</v>
      </c>
      <c r="T659" t="s">
        <v>12654</v>
      </c>
      <c r="U659" t="s">
        <v>12655</v>
      </c>
      <c r="V659" t="s">
        <v>12656</v>
      </c>
      <c r="W659" t="s">
        <v>12657</v>
      </c>
      <c r="X659" t="s">
        <v>12658</v>
      </c>
      <c r="Y659" t="s">
        <v>12659</v>
      </c>
      <c r="Z659" t="s">
        <v>12660</v>
      </c>
      <c r="AA659" t="s">
        <v>12661</v>
      </c>
      <c r="AB659" t="s">
        <v>12662</v>
      </c>
      <c r="AC659" t="s">
        <v>12663</v>
      </c>
      <c r="AD659" t="s">
        <v>12664</v>
      </c>
      <c r="AE659" t="s">
        <v>12665</v>
      </c>
      <c r="AF659" t="s">
        <v>74</v>
      </c>
      <c r="AG659">
        <v>68</v>
      </c>
      <c r="AH659">
        <v>2</v>
      </c>
      <c r="AI659">
        <v>2</v>
      </c>
      <c r="AJ659">
        <v>0</v>
      </c>
      <c r="AK659">
        <v>10</v>
      </c>
      <c r="AL659" t="s">
        <v>11119</v>
      </c>
      <c r="AM659" t="s">
        <v>11120</v>
      </c>
      <c r="AN659" t="s">
        <v>11121</v>
      </c>
      <c r="AO659" t="s">
        <v>11122</v>
      </c>
      <c r="AP659" t="s">
        <v>11123</v>
      </c>
      <c r="AQ659" t="s">
        <v>74</v>
      </c>
      <c r="AR659" t="s">
        <v>11124</v>
      </c>
      <c r="AS659" t="s">
        <v>11125</v>
      </c>
      <c r="AT659" t="s">
        <v>74</v>
      </c>
      <c r="AU659">
        <v>2022</v>
      </c>
      <c r="AV659">
        <v>94</v>
      </c>
      <c r="AW659" t="s">
        <v>74</v>
      </c>
      <c r="AX659" t="s">
        <v>74</v>
      </c>
      <c r="AY659">
        <v>1</v>
      </c>
      <c r="AZ659" t="s">
        <v>74</v>
      </c>
      <c r="BA659" t="s">
        <v>74</v>
      </c>
      <c r="BB659" t="s">
        <v>74</v>
      </c>
      <c r="BC659" t="s">
        <v>74</v>
      </c>
      <c r="BD659" t="s">
        <v>12666</v>
      </c>
      <c r="BE659" t="s">
        <v>12667</v>
      </c>
      <c r="BF659" t="str">
        <f>HYPERLINK("http://dx.doi.org/10.1590/0001-3765202220210459","http://dx.doi.org/10.1590/0001-3765202220210459")</f>
        <v>http://dx.doi.org/10.1590/0001-3765202220210459</v>
      </c>
      <c r="BG659" t="s">
        <v>74</v>
      </c>
      <c r="BH659" t="s">
        <v>74</v>
      </c>
      <c r="BI659">
        <v>14</v>
      </c>
      <c r="BJ659" t="s">
        <v>289</v>
      </c>
      <c r="BK659" t="s">
        <v>103</v>
      </c>
      <c r="BL659" t="s">
        <v>290</v>
      </c>
      <c r="BM659" t="s">
        <v>12668</v>
      </c>
      <c r="BN659">
        <v>35293946</v>
      </c>
      <c r="BO659" t="s">
        <v>445</v>
      </c>
      <c r="BP659" t="s">
        <v>74</v>
      </c>
      <c r="BQ659" t="s">
        <v>74</v>
      </c>
      <c r="BR659" t="s">
        <v>106</v>
      </c>
      <c r="BS659" t="s">
        <v>12669</v>
      </c>
      <c r="BT659" t="str">
        <f>HYPERLINK("https%3A%2F%2Fwww.webofscience.com%2Fwos%2Fwoscc%2Ffull-record%2FWOS:000771757700001","View Full Record in Web of Science")</f>
        <v>View Full Record in Web of Science</v>
      </c>
    </row>
    <row r="660" spans="1:72" x14ac:dyDescent="0.15">
      <c r="A660" t="s">
        <v>72</v>
      </c>
      <c r="B660" t="s">
        <v>12670</v>
      </c>
      <c r="C660" t="s">
        <v>74</v>
      </c>
      <c r="D660" t="s">
        <v>74</v>
      </c>
      <c r="E660" t="s">
        <v>74</v>
      </c>
      <c r="F660" t="s">
        <v>12671</v>
      </c>
      <c r="G660" t="s">
        <v>74</v>
      </c>
      <c r="H660" t="s">
        <v>74</v>
      </c>
      <c r="I660" t="s">
        <v>12672</v>
      </c>
      <c r="J660" t="s">
        <v>11113</v>
      </c>
      <c r="K660" t="s">
        <v>74</v>
      </c>
      <c r="L660" t="s">
        <v>74</v>
      </c>
      <c r="M660" t="s">
        <v>78</v>
      </c>
      <c r="N660" t="s">
        <v>79</v>
      </c>
      <c r="O660" t="s">
        <v>74</v>
      </c>
      <c r="P660" t="s">
        <v>74</v>
      </c>
      <c r="Q660" t="s">
        <v>74</v>
      </c>
      <c r="R660" t="s">
        <v>74</v>
      </c>
      <c r="S660" t="s">
        <v>74</v>
      </c>
      <c r="T660" t="s">
        <v>12673</v>
      </c>
      <c r="U660" t="s">
        <v>12674</v>
      </c>
      <c r="V660" t="s">
        <v>12675</v>
      </c>
      <c r="W660" t="s">
        <v>12676</v>
      </c>
      <c r="X660" t="s">
        <v>12677</v>
      </c>
      <c r="Y660" t="s">
        <v>12678</v>
      </c>
      <c r="Z660" t="s">
        <v>12679</v>
      </c>
      <c r="AA660" t="s">
        <v>12680</v>
      </c>
      <c r="AB660" t="s">
        <v>12681</v>
      </c>
      <c r="AC660" t="s">
        <v>12682</v>
      </c>
      <c r="AD660" t="s">
        <v>12683</v>
      </c>
      <c r="AE660" t="s">
        <v>12684</v>
      </c>
      <c r="AF660" t="s">
        <v>74</v>
      </c>
      <c r="AG660">
        <v>76</v>
      </c>
      <c r="AH660">
        <v>4</v>
      </c>
      <c r="AI660">
        <v>4</v>
      </c>
      <c r="AJ660">
        <v>2</v>
      </c>
      <c r="AK660">
        <v>12</v>
      </c>
      <c r="AL660" t="s">
        <v>11119</v>
      </c>
      <c r="AM660" t="s">
        <v>11120</v>
      </c>
      <c r="AN660" t="s">
        <v>11121</v>
      </c>
      <c r="AO660" t="s">
        <v>11122</v>
      </c>
      <c r="AP660" t="s">
        <v>11123</v>
      </c>
      <c r="AQ660" t="s">
        <v>74</v>
      </c>
      <c r="AR660" t="s">
        <v>11124</v>
      </c>
      <c r="AS660" t="s">
        <v>11125</v>
      </c>
      <c r="AT660" t="s">
        <v>74</v>
      </c>
      <c r="AU660">
        <v>2022</v>
      </c>
      <c r="AV660">
        <v>94</v>
      </c>
      <c r="AW660" t="s">
        <v>74</v>
      </c>
      <c r="AX660" t="s">
        <v>74</v>
      </c>
      <c r="AY660">
        <v>1</v>
      </c>
      <c r="AZ660" t="s">
        <v>74</v>
      </c>
      <c r="BA660" t="s">
        <v>74</v>
      </c>
      <c r="BB660" t="s">
        <v>74</v>
      </c>
      <c r="BC660" t="s">
        <v>74</v>
      </c>
      <c r="BD660" t="s">
        <v>12685</v>
      </c>
      <c r="BE660" t="s">
        <v>12686</v>
      </c>
      <c r="BF660" t="str">
        <f>HYPERLINK("http://dx.doi.org/10.1590/0001-3765202220210623","http://dx.doi.org/10.1590/0001-3765202220210623")</f>
        <v>http://dx.doi.org/10.1590/0001-3765202220210623</v>
      </c>
      <c r="BG660" t="s">
        <v>74</v>
      </c>
      <c r="BH660" t="s">
        <v>74</v>
      </c>
      <c r="BI660">
        <v>16</v>
      </c>
      <c r="BJ660" t="s">
        <v>289</v>
      </c>
      <c r="BK660" t="s">
        <v>103</v>
      </c>
      <c r="BL660" t="s">
        <v>290</v>
      </c>
      <c r="BM660" t="s">
        <v>12687</v>
      </c>
      <c r="BN660">
        <v>35293948</v>
      </c>
      <c r="BO660" t="s">
        <v>445</v>
      </c>
      <c r="BP660" t="s">
        <v>74</v>
      </c>
      <c r="BQ660" t="s">
        <v>74</v>
      </c>
      <c r="BR660" t="s">
        <v>106</v>
      </c>
      <c r="BS660" t="s">
        <v>12688</v>
      </c>
      <c r="BT660" t="str">
        <f>HYPERLINK("https%3A%2F%2Fwww.webofscience.com%2Fwos%2Fwoscc%2Ffull-record%2FWOS:000771758100001","View Full Record in Web of Science")</f>
        <v>View Full Record in Web of Science</v>
      </c>
    </row>
    <row r="661" spans="1:72" x14ac:dyDescent="0.15">
      <c r="A661" t="s">
        <v>72</v>
      </c>
      <c r="B661" t="s">
        <v>12689</v>
      </c>
      <c r="C661" t="s">
        <v>74</v>
      </c>
      <c r="D661" t="s">
        <v>74</v>
      </c>
      <c r="E661" t="s">
        <v>74</v>
      </c>
      <c r="F661" t="s">
        <v>12690</v>
      </c>
      <c r="G661" t="s">
        <v>74</v>
      </c>
      <c r="H661" t="s">
        <v>74</v>
      </c>
      <c r="I661" t="s">
        <v>12691</v>
      </c>
      <c r="J661" t="s">
        <v>11113</v>
      </c>
      <c r="K661" t="s">
        <v>74</v>
      </c>
      <c r="L661" t="s">
        <v>74</v>
      </c>
      <c r="M661" t="s">
        <v>78</v>
      </c>
      <c r="N661" t="s">
        <v>79</v>
      </c>
      <c r="O661" t="s">
        <v>74</v>
      </c>
      <c r="P661" t="s">
        <v>74</v>
      </c>
      <c r="Q661" t="s">
        <v>74</v>
      </c>
      <c r="R661" t="s">
        <v>74</v>
      </c>
      <c r="S661" t="s">
        <v>74</v>
      </c>
      <c r="T661" t="s">
        <v>12692</v>
      </c>
      <c r="U661" t="s">
        <v>12693</v>
      </c>
      <c r="V661" t="s">
        <v>12694</v>
      </c>
      <c r="W661" t="s">
        <v>12695</v>
      </c>
      <c r="X661" t="s">
        <v>12696</v>
      </c>
      <c r="Y661" t="s">
        <v>12697</v>
      </c>
      <c r="Z661" t="s">
        <v>1347</v>
      </c>
      <c r="AA661" t="s">
        <v>12698</v>
      </c>
      <c r="AB661" t="s">
        <v>12699</v>
      </c>
      <c r="AC661" t="s">
        <v>12700</v>
      </c>
      <c r="AD661" t="s">
        <v>12701</v>
      </c>
      <c r="AE661" t="s">
        <v>12702</v>
      </c>
      <c r="AF661" t="s">
        <v>74</v>
      </c>
      <c r="AG661">
        <v>45</v>
      </c>
      <c r="AH661">
        <v>1</v>
      </c>
      <c r="AI661">
        <v>1</v>
      </c>
      <c r="AJ661">
        <v>2</v>
      </c>
      <c r="AK661">
        <v>5</v>
      </c>
      <c r="AL661" t="s">
        <v>11119</v>
      </c>
      <c r="AM661" t="s">
        <v>11120</v>
      </c>
      <c r="AN661" t="s">
        <v>11121</v>
      </c>
      <c r="AO661" t="s">
        <v>11122</v>
      </c>
      <c r="AP661" t="s">
        <v>11123</v>
      </c>
      <c r="AQ661" t="s">
        <v>74</v>
      </c>
      <c r="AR661" t="s">
        <v>11124</v>
      </c>
      <c r="AS661" t="s">
        <v>11125</v>
      </c>
      <c r="AT661" t="s">
        <v>74</v>
      </c>
      <c r="AU661">
        <v>2022</v>
      </c>
      <c r="AV661">
        <v>94</v>
      </c>
      <c r="AW661" t="s">
        <v>74</v>
      </c>
      <c r="AX661" t="s">
        <v>74</v>
      </c>
      <c r="AY661">
        <v>1</v>
      </c>
      <c r="AZ661" t="s">
        <v>74</v>
      </c>
      <c r="BA661" t="s">
        <v>74</v>
      </c>
      <c r="BB661" t="s">
        <v>74</v>
      </c>
      <c r="BC661" t="s">
        <v>74</v>
      </c>
      <c r="BD661" t="s">
        <v>12703</v>
      </c>
      <c r="BE661" t="s">
        <v>12704</v>
      </c>
      <c r="BF661" t="str">
        <f>HYPERLINK("http://dx.doi.org/10.1590/0001-3765202220210218","http://dx.doi.org/10.1590/0001-3765202220210218")</f>
        <v>http://dx.doi.org/10.1590/0001-3765202220210218</v>
      </c>
      <c r="BG661" t="s">
        <v>74</v>
      </c>
      <c r="BH661" t="s">
        <v>74</v>
      </c>
      <c r="BI661">
        <v>12</v>
      </c>
      <c r="BJ661" t="s">
        <v>289</v>
      </c>
      <c r="BK661" t="s">
        <v>103</v>
      </c>
      <c r="BL661" t="s">
        <v>290</v>
      </c>
      <c r="BM661" t="s">
        <v>12705</v>
      </c>
      <c r="BN661">
        <v>35293945</v>
      </c>
      <c r="BO661" t="s">
        <v>445</v>
      </c>
      <c r="BP661" t="s">
        <v>74</v>
      </c>
      <c r="BQ661" t="s">
        <v>74</v>
      </c>
      <c r="BR661" t="s">
        <v>106</v>
      </c>
      <c r="BS661" t="s">
        <v>12706</v>
      </c>
      <c r="BT661" t="str">
        <f>HYPERLINK("https%3A%2F%2Fwww.webofscience.com%2Fwos%2Fwoscc%2Ffull-record%2FWOS:000771757100002","View Full Record in Web of Science")</f>
        <v>View Full Record in Web of Science</v>
      </c>
    </row>
    <row r="662" spans="1:72" x14ac:dyDescent="0.15">
      <c r="A662" t="s">
        <v>72</v>
      </c>
      <c r="B662" t="s">
        <v>12707</v>
      </c>
      <c r="C662" t="s">
        <v>74</v>
      </c>
      <c r="D662" t="s">
        <v>74</v>
      </c>
      <c r="E662" t="s">
        <v>74</v>
      </c>
      <c r="F662" t="s">
        <v>12708</v>
      </c>
      <c r="G662" t="s">
        <v>74</v>
      </c>
      <c r="H662" t="s">
        <v>74</v>
      </c>
      <c r="I662" t="s">
        <v>12709</v>
      </c>
      <c r="J662" t="s">
        <v>11113</v>
      </c>
      <c r="K662" t="s">
        <v>74</v>
      </c>
      <c r="L662" t="s">
        <v>74</v>
      </c>
      <c r="M662" t="s">
        <v>78</v>
      </c>
      <c r="N662" t="s">
        <v>79</v>
      </c>
      <c r="O662" t="s">
        <v>74</v>
      </c>
      <c r="P662" t="s">
        <v>74</v>
      </c>
      <c r="Q662" t="s">
        <v>74</v>
      </c>
      <c r="R662" t="s">
        <v>74</v>
      </c>
      <c r="S662" t="s">
        <v>74</v>
      </c>
      <c r="T662" t="s">
        <v>12710</v>
      </c>
      <c r="U662" t="s">
        <v>12711</v>
      </c>
      <c r="V662" t="s">
        <v>12712</v>
      </c>
      <c r="W662" t="s">
        <v>12713</v>
      </c>
      <c r="X662" t="s">
        <v>12714</v>
      </c>
      <c r="Y662" t="s">
        <v>12715</v>
      </c>
      <c r="Z662" t="s">
        <v>12716</v>
      </c>
      <c r="AA662" t="s">
        <v>12717</v>
      </c>
      <c r="AB662" t="s">
        <v>12718</v>
      </c>
      <c r="AC662" t="s">
        <v>12719</v>
      </c>
      <c r="AD662" t="s">
        <v>12720</v>
      </c>
      <c r="AE662" t="s">
        <v>12721</v>
      </c>
      <c r="AF662" t="s">
        <v>74</v>
      </c>
      <c r="AG662">
        <v>49</v>
      </c>
      <c r="AH662">
        <v>2</v>
      </c>
      <c r="AI662">
        <v>2</v>
      </c>
      <c r="AJ662">
        <v>3</v>
      </c>
      <c r="AK662">
        <v>5</v>
      </c>
      <c r="AL662" t="s">
        <v>11119</v>
      </c>
      <c r="AM662" t="s">
        <v>11120</v>
      </c>
      <c r="AN662" t="s">
        <v>11121</v>
      </c>
      <c r="AO662" t="s">
        <v>11122</v>
      </c>
      <c r="AP662" t="s">
        <v>11123</v>
      </c>
      <c r="AQ662" t="s">
        <v>74</v>
      </c>
      <c r="AR662" t="s">
        <v>11124</v>
      </c>
      <c r="AS662" t="s">
        <v>11125</v>
      </c>
      <c r="AT662" t="s">
        <v>74</v>
      </c>
      <c r="AU662">
        <v>2022</v>
      </c>
      <c r="AV662">
        <v>94</v>
      </c>
      <c r="AW662" t="s">
        <v>74</v>
      </c>
      <c r="AX662" t="s">
        <v>74</v>
      </c>
      <c r="AY662">
        <v>1</v>
      </c>
      <c r="AZ662" t="s">
        <v>74</v>
      </c>
      <c r="BA662" t="s">
        <v>74</v>
      </c>
      <c r="BB662" t="s">
        <v>74</v>
      </c>
      <c r="BC662" t="s">
        <v>74</v>
      </c>
      <c r="BD662" t="s">
        <v>12722</v>
      </c>
      <c r="BE662" t="s">
        <v>12723</v>
      </c>
      <c r="BF662" t="str">
        <f>HYPERLINK("http://dx.doi.org/10.1590/0001-3765202220210217","http://dx.doi.org/10.1590/0001-3765202220210217")</f>
        <v>http://dx.doi.org/10.1590/0001-3765202220210217</v>
      </c>
      <c r="BG662" t="s">
        <v>74</v>
      </c>
      <c r="BH662" t="s">
        <v>74</v>
      </c>
      <c r="BI662">
        <v>19</v>
      </c>
      <c r="BJ662" t="s">
        <v>289</v>
      </c>
      <c r="BK662" t="s">
        <v>103</v>
      </c>
      <c r="BL662" t="s">
        <v>290</v>
      </c>
      <c r="BM662" t="s">
        <v>12705</v>
      </c>
      <c r="BN662">
        <v>35293944</v>
      </c>
      <c r="BO662" t="s">
        <v>445</v>
      </c>
      <c r="BP662" t="s">
        <v>74</v>
      </c>
      <c r="BQ662" t="s">
        <v>74</v>
      </c>
      <c r="BR662" t="s">
        <v>106</v>
      </c>
      <c r="BS662" t="s">
        <v>12724</v>
      </c>
      <c r="BT662" t="str">
        <f>HYPERLINK("https%3A%2F%2Fwww.webofscience.com%2Fwos%2Fwoscc%2Ffull-record%2FWOS:000771757100001","View Full Record in Web of Science")</f>
        <v>View Full Record in Web of Science</v>
      </c>
    </row>
    <row r="663" spans="1:72" x14ac:dyDescent="0.15">
      <c r="A663" t="s">
        <v>72</v>
      </c>
      <c r="B663" t="s">
        <v>12725</v>
      </c>
      <c r="C663" t="s">
        <v>74</v>
      </c>
      <c r="D663" t="s">
        <v>74</v>
      </c>
      <c r="E663" t="s">
        <v>74</v>
      </c>
      <c r="F663" t="s">
        <v>12726</v>
      </c>
      <c r="G663" t="s">
        <v>74</v>
      </c>
      <c r="H663" t="s">
        <v>74</v>
      </c>
      <c r="I663" t="s">
        <v>12727</v>
      </c>
      <c r="J663" t="s">
        <v>10544</v>
      </c>
      <c r="K663" t="s">
        <v>74</v>
      </c>
      <c r="L663" t="s">
        <v>74</v>
      </c>
      <c r="M663" t="s">
        <v>78</v>
      </c>
      <c r="N663" t="s">
        <v>79</v>
      </c>
      <c r="O663" t="s">
        <v>74</v>
      </c>
      <c r="P663" t="s">
        <v>74</v>
      </c>
      <c r="Q663" t="s">
        <v>74</v>
      </c>
      <c r="R663" t="s">
        <v>74</v>
      </c>
      <c r="S663" t="s">
        <v>74</v>
      </c>
      <c r="T663" t="s">
        <v>12728</v>
      </c>
      <c r="U663" t="s">
        <v>74</v>
      </c>
      <c r="V663" t="s">
        <v>12729</v>
      </c>
      <c r="W663" t="s">
        <v>12730</v>
      </c>
      <c r="X663" t="s">
        <v>12731</v>
      </c>
      <c r="Y663" t="s">
        <v>12732</v>
      </c>
      <c r="Z663" t="s">
        <v>74</v>
      </c>
      <c r="AA663" t="s">
        <v>74</v>
      </c>
      <c r="AB663" t="s">
        <v>74</v>
      </c>
      <c r="AC663" t="s">
        <v>74</v>
      </c>
      <c r="AD663" t="s">
        <v>74</v>
      </c>
      <c r="AE663" t="s">
        <v>74</v>
      </c>
      <c r="AF663" t="s">
        <v>74</v>
      </c>
      <c r="AG663">
        <v>20</v>
      </c>
      <c r="AH663">
        <v>0</v>
      </c>
      <c r="AI663">
        <v>0</v>
      </c>
      <c r="AJ663">
        <v>0</v>
      </c>
      <c r="AK663">
        <v>1</v>
      </c>
      <c r="AL663" t="s">
        <v>10553</v>
      </c>
      <c r="AM663" t="s">
        <v>10554</v>
      </c>
      <c r="AN663" t="s">
        <v>10555</v>
      </c>
      <c r="AO663" t="s">
        <v>10556</v>
      </c>
      <c r="AP663" t="s">
        <v>10557</v>
      </c>
      <c r="AQ663" t="s">
        <v>74</v>
      </c>
      <c r="AR663" t="s">
        <v>10558</v>
      </c>
      <c r="AS663" t="s">
        <v>10559</v>
      </c>
      <c r="AT663" t="s">
        <v>74</v>
      </c>
      <c r="AU663">
        <v>2022</v>
      </c>
      <c r="AV663">
        <v>44</v>
      </c>
      <c r="AW663">
        <v>1</v>
      </c>
      <c r="AX663" t="s">
        <v>74</v>
      </c>
      <c r="AY663" t="s">
        <v>74</v>
      </c>
      <c r="AZ663" t="s">
        <v>74</v>
      </c>
      <c r="BA663" t="s">
        <v>74</v>
      </c>
      <c r="BB663">
        <v>23</v>
      </c>
      <c r="BC663">
        <v>39</v>
      </c>
      <c r="BD663" t="s">
        <v>74</v>
      </c>
      <c r="BE663" t="s">
        <v>12733</v>
      </c>
      <c r="BF663" t="str">
        <f>HYPERLINK("http://dx.doi.org/10.24028/gzh.v44i1.253709","http://dx.doi.org/10.24028/gzh.v44i1.253709")</f>
        <v>http://dx.doi.org/10.24028/gzh.v44i1.253709</v>
      </c>
      <c r="BG663" t="s">
        <v>74</v>
      </c>
      <c r="BH663" t="s">
        <v>74</v>
      </c>
      <c r="BI663">
        <v>17</v>
      </c>
      <c r="BJ663" t="s">
        <v>1014</v>
      </c>
      <c r="BK663" t="s">
        <v>724</v>
      </c>
      <c r="BL663" t="s">
        <v>1014</v>
      </c>
      <c r="BM663" t="s">
        <v>12734</v>
      </c>
      <c r="BN663" t="s">
        <v>74</v>
      </c>
      <c r="BO663" t="s">
        <v>292</v>
      </c>
      <c r="BP663" t="s">
        <v>74</v>
      </c>
      <c r="BQ663" t="s">
        <v>74</v>
      </c>
      <c r="BR663" t="s">
        <v>106</v>
      </c>
      <c r="BS663" t="s">
        <v>12735</v>
      </c>
      <c r="BT663" t="str">
        <f>HYPERLINK("https%3A%2F%2Fwww.webofscience.com%2Fwos%2Fwoscc%2Ffull-record%2FWOS:000771583700002","View Full Record in Web of Science")</f>
        <v>View Full Record in Web of Science</v>
      </c>
    </row>
    <row r="664" spans="1:72" x14ac:dyDescent="0.15">
      <c r="A664" t="s">
        <v>72</v>
      </c>
      <c r="B664" t="s">
        <v>12736</v>
      </c>
      <c r="C664" t="s">
        <v>74</v>
      </c>
      <c r="D664" t="s">
        <v>74</v>
      </c>
      <c r="E664" t="s">
        <v>74</v>
      </c>
      <c r="F664" t="s">
        <v>12737</v>
      </c>
      <c r="G664" t="s">
        <v>74</v>
      </c>
      <c r="H664" t="s">
        <v>74</v>
      </c>
      <c r="I664" t="s">
        <v>12738</v>
      </c>
      <c r="J664" t="s">
        <v>11023</v>
      </c>
      <c r="K664" t="s">
        <v>74</v>
      </c>
      <c r="L664" t="s">
        <v>74</v>
      </c>
      <c r="M664" t="s">
        <v>78</v>
      </c>
      <c r="N664" t="s">
        <v>79</v>
      </c>
      <c r="O664" t="s">
        <v>74</v>
      </c>
      <c r="P664" t="s">
        <v>74</v>
      </c>
      <c r="Q664" t="s">
        <v>74</v>
      </c>
      <c r="R664" t="s">
        <v>74</v>
      </c>
      <c r="S664" t="s">
        <v>74</v>
      </c>
      <c r="T664" t="s">
        <v>12739</v>
      </c>
      <c r="U664" t="s">
        <v>12740</v>
      </c>
      <c r="V664" t="s">
        <v>12741</v>
      </c>
      <c r="W664" t="s">
        <v>12742</v>
      </c>
      <c r="X664" t="s">
        <v>12743</v>
      </c>
      <c r="Y664" t="s">
        <v>12744</v>
      </c>
      <c r="Z664" t="s">
        <v>12745</v>
      </c>
      <c r="AA664" t="s">
        <v>12746</v>
      </c>
      <c r="AB664" t="s">
        <v>12747</v>
      </c>
      <c r="AC664" t="s">
        <v>74</v>
      </c>
      <c r="AD664" t="s">
        <v>74</v>
      </c>
      <c r="AE664" t="s">
        <v>74</v>
      </c>
      <c r="AF664" t="s">
        <v>74</v>
      </c>
      <c r="AG664">
        <v>40</v>
      </c>
      <c r="AH664">
        <v>2</v>
      </c>
      <c r="AI664">
        <v>2</v>
      </c>
      <c r="AJ664">
        <v>0</v>
      </c>
      <c r="AK664">
        <v>0</v>
      </c>
      <c r="AL664" t="s">
        <v>11036</v>
      </c>
      <c r="AM664" t="s">
        <v>11037</v>
      </c>
      <c r="AN664" t="s">
        <v>11038</v>
      </c>
      <c r="AO664" t="s">
        <v>11039</v>
      </c>
      <c r="AP664" t="s">
        <v>11040</v>
      </c>
      <c r="AQ664" t="s">
        <v>74</v>
      </c>
      <c r="AR664" t="s">
        <v>11041</v>
      </c>
      <c r="AS664" t="s">
        <v>11042</v>
      </c>
      <c r="AT664" t="s">
        <v>74</v>
      </c>
      <c r="AU664">
        <v>2022</v>
      </c>
      <c r="AV664">
        <v>29</v>
      </c>
      <c r="AW664">
        <v>1</v>
      </c>
      <c r="AX664" t="s">
        <v>74</v>
      </c>
      <c r="AY664" t="s">
        <v>74</v>
      </c>
      <c r="AZ664" t="s">
        <v>74</v>
      </c>
      <c r="BA664" t="s">
        <v>74</v>
      </c>
      <c r="BB664">
        <v>47</v>
      </c>
      <c r="BC664">
        <v>66</v>
      </c>
      <c r="BD664" t="s">
        <v>74</v>
      </c>
      <c r="BE664" t="s">
        <v>12748</v>
      </c>
      <c r="BF664" t="str">
        <f>HYPERLINK("http://dx.doi.org/10.22449/1573-160X-2022-1-47-66","http://dx.doi.org/10.22449/1573-160X-2022-1-47-66")</f>
        <v>http://dx.doi.org/10.22449/1573-160X-2022-1-47-66</v>
      </c>
      <c r="BG664" t="s">
        <v>74</v>
      </c>
      <c r="BH664" t="s">
        <v>74</v>
      </c>
      <c r="BI664">
        <v>20</v>
      </c>
      <c r="BJ664" t="s">
        <v>1131</v>
      </c>
      <c r="BK664" t="s">
        <v>724</v>
      </c>
      <c r="BL664" t="s">
        <v>1131</v>
      </c>
      <c r="BM664" t="s">
        <v>12749</v>
      </c>
      <c r="BN664" t="s">
        <v>74</v>
      </c>
      <c r="BO664" t="s">
        <v>445</v>
      </c>
      <c r="BP664" t="s">
        <v>74</v>
      </c>
      <c r="BQ664" t="s">
        <v>74</v>
      </c>
      <c r="BR664" t="s">
        <v>106</v>
      </c>
      <c r="BS664" t="s">
        <v>12750</v>
      </c>
      <c r="BT664" t="str">
        <f>HYPERLINK("https%3A%2F%2Fwww.webofscience.com%2Fwos%2Fwoscc%2Ffull-record%2FWOS:000767309800004","View Full Record in Web of Science")</f>
        <v>View Full Record in Web of Science</v>
      </c>
    </row>
    <row r="665" spans="1:72" x14ac:dyDescent="0.15">
      <c r="A665" t="s">
        <v>72</v>
      </c>
      <c r="B665" t="s">
        <v>12751</v>
      </c>
      <c r="C665" t="s">
        <v>74</v>
      </c>
      <c r="D665" t="s">
        <v>74</v>
      </c>
      <c r="E665" t="s">
        <v>74</v>
      </c>
      <c r="F665" t="s">
        <v>12752</v>
      </c>
      <c r="G665" t="s">
        <v>74</v>
      </c>
      <c r="H665" t="s">
        <v>74</v>
      </c>
      <c r="I665" t="s">
        <v>12753</v>
      </c>
      <c r="J665" t="s">
        <v>9363</v>
      </c>
      <c r="K665" t="s">
        <v>74</v>
      </c>
      <c r="L665" t="s">
        <v>74</v>
      </c>
      <c r="M665" t="s">
        <v>78</v>
      </c>
      <c r="N665" t="s">
        <v>79</v>
      </c>
      <c r="O665" t="s">
        <v>74</v>
      </c>
      <c r="P665" t="s">
        <v>74</v>
      </c>
      <c r="Q665" t="s">
        <v>74</v>
      </c>
      <c r="R665" t="s">
        <v>74</v>
      </c>
      <c r="S665" t="s">
        <v>74</v>
      </c>
      <c r="T665" t="s">
        <v>12754</v>
      </c>
      <c r="U665" t="s">
        <v>12755</v>
      </c>
      <c r="V665" t="s">
        <v>12756</v>
      </c>
      <c r="W665" t="s">
        <v>12757</v>
      </c>
      <c r="X665" t="s">
        <v>2688</v>
      </c>
      <c r="Y665" t="s">
        <v>12758</v>
      </c>
      <c r="Z665" t="s">
        <v>12759</v>
      </c>
      <c r="AA665" t="s">
        <v>12760</v>
      </c>
      <c r="AB665" t="s">
        <v>74</v>
      </c>
      <c r="AC665" t="s">
        <v>12761</v>
      </c>
      <c r="AD665" t="s">
        <v>12762</v>
      </c>
      <c r="AE665" t="s">
        <v>12763</v>
      </c>
      <c r="AF665" t="s">
        <v>74</v>
      </c>
      <c r="AG665">
        <v>22</v>
      </c>
      <c r="AH665">
        <v>1</v>
      </c>
      <c r="AI665">
        <v>1</v>
      </c>
      <c r="AJ665">
        <v>0</v>
      </c>
      <c r="AK665">
        <v>1</v>
      </c>
      <c r="AL665" t="s">
        <v>9375</v>
      </c>
      <c r="AM665" t="s">
        <v>9248</v>
      </c>
      <c r="AN665" t="s">
        <v>9376</v>
      </c>
      <c r="AO665" t="s">
        <v>9377</v>
      </c>
      <c r="AP665" t="s">
        <v>9378</v>
      </c>
      <c r="AQ665" t="s">
        <v>74</v>
      </c>
      <c r="AR665" t="s">
        <v>9379</v>
      </c>
      <c r="AS665" t="s">
        <v>9380</v>
      </c>
      <c r="AT665" t="s">
        <v>74</v>
      </c>
      <c r="AU665">
        <v>2022</v>
      </c>
      <c r="AV665">
        <v>62</v>
      </c>
      <c r="AW665">
        <v>1</v>
      </c>
      <c r="AX665" t="s">
        <v>74</v>
      </c>
      <c r="AY665" t="s">
        <v>74</v>
      </c>
      <c r="AZ665" t="s">
        <v>74</v>
      </c>
      <c r="BA665" t="s">
        <v>74</v>
      </c>
      <c r="BB665">
        <v>113</v>
      </c>
      <c r="BC665">
        <v>124</v>
      </c>
      <c r="BD665" t="s">
        <v>74</v>
      </c>
      <c r="BE665" t="s">
        <v>12764</v>
      </c>
      <c r="BF665" t="str">
        <f>HYPERLINK("http://dx.doi.org/10.31857/S2076673422010120","http://dx.doi.org/10.31857/S2076673422010120")</f>
        <v>http://dx.doi.org/10.31857/S2076673422010120</v>
      </c>
      <c r="BG665" t="s">
        <v>74</v>
      </c>
      <c r="BH665" t="s">
        <v>74</v>
      </c>
      <c r="BI665">
        <v>12</v>
      </c>
      <c r="BJ665" t="s">
        <v>151</v>
      </c>
      <c r="BK665" t="s">
        <v>724</v>
      </c>
      <c r="BL665" t="s">
        <v>152</v>
      </c>
      <c r="BM665" t="s">
        <v>12765</v>
      </c>
      <c r="BN665" t="s">
        <v>74</v>
      </c>
      <c r="BO665" t="s">
        <v>74</v>
      </c>
      <c r="BP665" t="s">
        <v>74</v>
      </c>
      <c r="BQ665" t="s">
        <v>74</v>
      </c>
      <c r="BR665" t="s">
        <v>106</v>
      </c>
      <c r="BS665" t="s">
        <v>12766</v>
      </c>
      <c r="BT665" t="str">
        <f>HYPERLINK("https%3A%2F%2Fwww.webofscience.com%2Fwos%2Fwoscc%2Ffull-record%2FWOS:000761486400001","View Full Record in Web of Science")</f>
        <v>View Full Record in Web of Science</v>
      </c>
    </row>
    <row r="666" spans="1:72" x14ac:dyDescent="0.15">
      <c r="A666" t="s">
        <v>72</v>
      </c>
      <c r="B666" t="s">
        <v>12767</v>
      </c>
      <c r="C666" t="s">
        <v>74</v>
      </c>
      <c r="D666" t="s">
        <v>74</v>
      </c>
      <c r="E666" t="s">
        <v>74</v>
      </c>
      <c r="F666" t="s">
        <v>12768</v>
      </c>
      <c r="G666" t="s">
        <v>74</v>
      </c>
      <c r="H666" t="s">
        <v>74</v>
      </c>
      <c r="I666" t="s">
        <v>12769</v>
      </c>
      <c r="J666" t="s">
        <v>9363</v>
      </c>
      <c r="K666" t="s">
        <v>74</v>
      </c>
      <c r="L666" t="s">
        <v>74</v>
      </c>
      <c r="M666" t="s">
        <v>78</v>
      </c>
      <c r="N666" t="s">
        <v>79</v>
      </c>
      <c r="O666" t="s">
        <v>74</v>
      </c>
      <c r="P666" t="s">
        <v>74</v>
      </c>
      <c r="Q666" t="s">
        <v>74</v>
      </c>
      <c r="R666" t="s">
        <v>74</v>
      </c>
      <c r="S666" t="s">
        <v>74</v>
      </c>
      <c r="T666" t="s">
        <v>12770</v>
      </c>
      <c r="U666" t="s">
        <v>12771</v>
      </c>
      <c r="V666" t="s">
        <v>12772</v>
      </c>
      <c r="W666" t="s">
        <v>12773</v>
      </c>
      <c r="X666" t="s">
        <v>12774</v>
      </c>
      <c r="Y666" t="s">
        <v>12775</v>
      </c>
      <c r="Z666" t="s">
        <v>12776</v>
      </c>
      <c r="AA666" t="s">
        <v>12777</v>
      </c>
      <c r="AB666" t="s">
        <v>12778</v>
      </c>
      <c r="AC666" t="s">
        <v>12779</v>
      </c>
      <c r="AD666" t="s">
        <v>12368</v>
      </c>
      <c r="AE666" t="s">
        <v>12780</v>
      </c>
      <c r="AF666" t="s">
        <v>74</v>
      </c>
      <c r="AG666">
        <v>24</v>
      </c>
      <c r="AH666">
        <v>0</v>
      </c>
      <c r="AI666">
        <v>0</v>
      </c>
      <c r="AJ666">
        <v>0</v>
      </c>
      <c r="AK666">
        <v>5</v>
      </c>
      <c r="AL666" t="s">
        <v>9375</v>
      </c>
      <c r="AM666" t="s">
        <v>9248</v>
      </c>
      <c r="AN666" t="s">
        <v>9376</v>
      </c>
      <c r="AO666" t="s">
        <v>9377</v>
      </c>
      <c r="AP666" t="s">
        <v>9378</v>
      </c>
      <c r="AQ666" t="s">
        <v>74</v>
      </c>
      <c r="AR666" t="s">
        <v>9379</v>
      </c>
      <c r="AS666" t="s">
        <v>9380</v>
      </c>
      <c r="AT666" t="s">
        <v>74</v>
      </c>
      <c r="AU666">
        <v>2022</v>
      </c>
      <c r="AV666">
        <v>62</v>
      </c>
      <c r="AW666">
        <v>1</v>
      </c>
      <c r="AX666" t="s">
        <v>74</v>
      </c>
      <c r="AY666" t="s">
        <v>74</v>
      </c>
      <c r="AZ666" t="s">
        <v>74</v>
      </c>
      <c r="BA666" t="s">
        <v>74</v>
      </c>
      <c r="BB666">
        <v>125</v>
      </c>
      <c r="BC666">
        <v>140</v>
      </c>
      <c r="BD666" t="s">
        <v>74</v>
      </c>
      <c r="BE666" t="s">
        <v>12781</v>
      </c>
      <c r="BF666" t="str">
        <f>HYPERLINK("http://dx.doi.org/10.31857/S2076673422010121","http://dx.doi.org/10.31857/S2076673422010121")</f>
        <v>http://dx.doi.org/10.31857/S2076673422010121</v>
      </c>
      <c r="BG666" t="s">
        <v>74</v>
      </c>
      <c r="BH666" t="s">
        <v>74</v>
      </c>
      <c r="BI666">
        <v>16</v>
      </c>
      <c r="BJ666" t="s">
        <v>151</v>
      </c>
      <c r="BK666" t="s">
        <v>724</v>
      </c>
      <c r="BL666" t="s">
        <v>152</v>
      </c>
      <c r="BM666" t="s">
        <v>12765</v>
      </c>
      <c r="BN666" t="s">
        <v>74</v>
      </c>
      <c r="BO666" t="s">
        <v>74</v>
      </c>
      <c r="BP666" t="s">
        <v>74</v>
      </c>
      <c r="BQ666" t="s">
        <v>74</v>
      </c>
      <c r="BR666" t="s">
        <v>106</v>
      </c>
      <c r="BS666" t="s">
        <v>12782</v>
      </c>
      <c r="BT666" t="str">
        <f>HYPERLINK("https%3A%2F%2Fwww.webofscience.com%2Fwos%2Fwoscc%2Ffull-record%2FWOS:000761486400002","View Full Record in Web of Science")</f>
        <v>View Full Record in Web of Science</v>
      </c>
    </row>
    <row r="667" spans="1:72" x14ac:dyDescent="0.15">
      <c r="A667" t="s">
        <v>72</v>
      </c>
      <c r="B667" t="s">
        <v>12783</v>
      </c>
      <c r="C667" t="s">
        <v>74</v>
      </c>
      <c r="D667" t="s">
        <v>74</v>
      </c>
      <c r="E667" t="s">
        <v>74</v>
      </c>
      <c r="F667" t="s">
        <v>12784</v>
      </c>
      <c r="G667" t="s">
        <v>74</v>
      </c>
      <c r="H667" t="s">
        <v>74</v>
      </c>
      <c r="I667" t="s">
        <v>12785</v>
      </c>
      <c r="J667" t="s">
        <v>9363</v>
      </c>
      <c r="K667" t="s">
        <v>74</v>
      </c>
      <c r="L667" t="s">
        <v>74</v>
      </c>
      <c r="M667" t="s">
        <v>78</v>
      </c>
      <c r="N667" t="s">
        <v>79</v>
      </c>
      <c r="O667" t="s">
        <v>74</v>
      </c>
      <c r="P667" t="s">
        <v>74</v>
      </c>
      <c r="Q667" t="s">
        <v>74</v>
      </c>
      <c r="R667" t="s">
        <v>74</v>
      </c>
      <c r="S667" t="s">
        <v>74</v>
      </c>
      <c r="T667" t="s">
        <v>12786</v>
      </c>
      <c r="U667" t="s">
        <v>12787</v>
      </c>
      <c r="V667" t="s">
        <v>12788</v>
      </c>
      <c r="W667" t="s">
        <v>12789</v>
      </c>
      <c r="X667" t="s">
        <v>9224</v>
      </c>
      <c r="Y667" t="s">
        <v>12790</v>
      </c>
      <c r="Z667" t="s">
        <v>12791</v>
      </c>
      <c r="AA667" t="s">
        <v>74</v>
      </c>
      <c r="AB667" t="s">
        <v>74</v>
      </c>
      <c r="AC667" t="s">
        <v>9227</v>
      </c>
      <c r="AD667" t="s">
        <v>9228</v>
      </c>
      <c r="AE667" t="s">
        <v>12792</v>
      </c>
      <c r="AF667" t="s">
        <v>74</v>
      </c>
      <c r="AG667">
        <v>61</v>
      </c>
      <c r="AH667">
        <v>3</v>
      </c>
      <c r="AI667">
        <v>3</v>
      </c>
      <c r="AJ667">
        <v>3</v>
      </c>
      <c r="AK667">
        <v>4</v>
      </c>
      <c r="AL667" t="s">
        <v>9375</v>
      </c>
      <c r="AM667" t="s">
        <v>9248</v>
      </c>
      <c r="AN667" t="s">
        <v>9376</v>
      </c>
      <c r="AO667" t="s">
        <v>9377</v>
      </c>
      <c r="AP667" t="s">
        <v>9378</v>
      </c>
      <c r="AQ667" t="s">
        <v>74</v>
      </c>
      <c r="AR667" t="s">
        <v>9379</v>
      </c>
      <c r="AS667" t="s">
        <v>9380</v>
      </c>
      <c r="AT667" t="s">
        <v>74</v>
      </c>
      <c r="AU667">
        <v>2022</v>
      </c>
      <c r="AV667">
        <v>62</v>
      </c>
      <c r="AW667">
        <v>1</v>
      </c>
      <c r="AX667" t="s">
        <v>74</v>
      </c>
      <c r="AY667" t="s">
        <v>74</v>
      </c>
      <c r="AZ667" t="s">
        <v>74</v>
      </c>
      <c r="BA667" t="s">
        <v>74</v>
      </c>
      <c r="BB667">
        <v>141</v>
      </c>
      <c r="BC667">
        <v>160</v>
      </c>
      <c r="BD667" t="s">
        <v>74</v>
      </c>
      <c r="BE667" t="s">
        <v>12793</v>
      </c>
      <c r="BF667" t="str">
        <f>HYPERLINK("http://dx.doi.org/10.31857/S2076673422010122","http://dx.doi.org/10.31857/S2076673422010122")</f>
        <v>http://dx.doi.org/10.31857/S2076673422010122</v>
      </c>
      <c r="BG667" t="s">
        <v>74</v>
      </c>
      <c r="BH667" t="s">
        <v>74</v>
      </c>
      <c r="BI667">
        <v>20</v>
      </c>
      <c r="BJ667" t="s">
        <v>151</v>
      </c>
      <c r="BK667" t="s">
        <v>724</v>
      </c>
      <c r="BL667" t="s">
        <v>152</v>
      </c>
      <c r="BM667" t="s">
        <v>12765</v>
      </c>
      <c r="BN667" t="s">
        <v>74</v>
      </c>
      <c r="BO667" t="s">
        <v>445</v>
      </c>
      <c r="BP667" t="s">
        <v>74</v>
      </c>
      <c r="BQ667" t="s">
        <v>74</v>
      </c>
      <c r="BR667" t="s">
        <v>106</v>
      </c>
      <c r="BS667" t="s">
        <v>12794</v>
      </c>
      <c r="BT667" t="str">
        <f>HYPERLINK("https%3A%2F%2Fwww.webofscience.com%2Fwos%2Fwoscc%2Ffull-record%2FWOS:000761486400003","View Full Record in Web of Science")</f>
        <v>View Full Record in Web of Science</v>
      </c>
    </row>
    <row r="668" spans="1:72" x14ac:dyDescent="0.15">
      <c r="A668" t="s">
        <v>72</v>
      </c>
      <c r="B668" t="s">
        <v>12795</v>
      </c>
      <c r="C668" t="s">
        <v>74</v>
      </c>
      <c r="D668" t="s">
        <v>74</v>
      </c>
      <c r="E668" t="s">
        <v>74</v>
      </c>
      <c r="F668" t="s">
        <v>12796</v>
      </c>
      <c r="G668" t="s">
        <v>74</v>
      </c>
      <c r="H668" t="s">
        <v>74</v>
      </c>
      <c r="I668" t="s">
        <v>12797</v>
      </c>
      <c r="J668" t="s">
        <v>11113</v>
      </c>
      <c r="K668" t="s">
        <v>74</v>
      </c>
      <c r="L668" t="s">
        <v>74</v>
      </c>
      <c r="M668" t="s">
        <v>78</v>
      </c>
      <c r="N668" t="s">
        <v>79</v>
      </c>
      <c r="O668" t="s">
        <v>74</v>
      </c>
      <c r="P668" t="s">
        <v>74</v>
      </c>
      <c r="Q668" t="s">
        <v>74</v>
      </c>
      <c r="R668" t="s">
        <v>74</v>
      </c>
      <c r="S668" t="s">
        <v>74</v>
      </c>
      <c r="T668" t="s">
        <v>12798</v>
      </c>
      <c r="U668" t="s">
        <v>12799</v>
      </c>
      <c r="V668" t="s">
        <v>12800</v>
      </c>
      <c r="W668" t="s">
        <v>12801</v>
      </c>
      <c r="X668" t="s">
        <v>12802</v>
      </c>
      <c r="Y668" t="s">
        <v>12803</v>
      </c>
      <c r="Z668" t="s">
        <v>12804</v>
      </c>
      <c r="AA668" t="s">
        <v>12805</v>
      </c>
      <c r="AB668" t="s">
        <v>12806</v>
      </c>
      <c r="AC668" t="s">
        <v>12807</v>
      </c>
      <c r="AD668" t="s">
        <v>12808</v>
      </c>
      <c r="AE668" t="s">
        <v>12809</v>
      </c>
      <c r="AF668" t="s">
        <v>74</v>
      </c>
      <c r="AG668">
        <v>18</v>
      </c>
      <c r="AH668">
        <v>0</v>
      </c>
      <c r="AI668">
        <v>0</v>
      </c>
      <c r="AJ668">
        <v>0</v>
      </c>
      <c r="AK668">
        <v>3</v>
      </c>
      <c r="AL668" t="s">
        <v>11119</v>
      </c>
      <c r="AM668" t="s">
        <v>11120</v>
      </c>
      <c r="AN668" t="s">
        <v>11121</v>
      </c>
      <c r="AO668" t="s">
        <v>11122</v>
      </c>
      <c r="AP668" t="s">
        <v>11123</v>
      </c>
      <c r="AQ668" t="s">
        <v>74</v>
      </c>
      <c r="AR668" t="s">
        <v>11124</v>
      </c>
      <c r="AS668" t="s">
        <v>11125</v>
      </c>
      <c r="AT668" t="s">
        <v>74</v>
      </c>
      <c r="AU668">
        <v>2022</v>
      </c>
      <c r="AV668">
        <v>94</v>
      </c>
      <c r="AW668" t="s">
        <v>74</v>
      </c>
      <c r="AX668" t="s">
        <v>74</v>
      </c>
      <c r="AY668">
        <v>1</v>
      </c>
      <c r="AZ668" t="s">
        <v>74</v>
      </c>
      <c r="BA668" t="s">
        <v>74</v>
      </c>
      <c r="BB668" t="s">
        <v>74</v>
      </c>
      <c r="BC668" t="s">
        <v>74</v>
      </c>
      <c r="BD668" t="s">
        <v>12810</v>
      </c>
      <c r="BE668" t="s">
        <v>12811</v>
      </c>
      <c r="BF668" t="str">
        <f>HYPERLINK("http://dx.doi.org/10.1590/0001-3765202220200458","http://dx.doi.org/10.1590/0001-3765202220200458")</f>
        <v>http://dx.doi.org/10.1590/0001-3765202220200458</v>
      </c>
      <c r="BG668" t="s">
        <v>74</v>
      </c>
      <c r="BH668" t="s">
        <v>74</v>
      </c>
      <c r="BI668">
        <v>16</v>
      </c>
      <c r="BJ668" t="s">
        <v>289</v>
      </c>
      <c r="BK668" t="s">
        <v>103</v>
      </c>
      <c r="BL668" t="s">
        <v>290</v>
      </c>
      <c r="BM668" t="s">
        <v>12812</v>
      </c>
      <c r="BN668">
        <v>35239796</v>
      </c>
      <c r="BO668" t="s">
        <v>445</v>
      </c>
      <c r="BP668" t="s">
        <v>74</v>
      </c>
      <c r="BQ668" t="s">
        <v>74</v>
      </c>
      <c r="BR668" t="s">
        <v>106</v>
      </c>
      <c r="BS668" t="s">
        <v>12813</v>
      </c>
      <c r="BT668" t="str">
        <f>HYPERLINK("https%3A%2F%2Fwww.webofscience.com%2Fwos%2Fwoscc%2Ffull-record%2FWOS:000765322100001","View Full Record in Web of Science")</f>
        <v>View Full Record in Web of Science</v>
      </c>
    </row>
    <row r="669" spans="1:72" x14ac:dyDescent="0.15">
      <c r="A669" t="s">
        <v>72</v>
      </c>
      <c r="B669" t="s">
        <v>12814</v>
      </c>
      <c r="C669" t="s">
        <v>74</v>
      </c>
      <c r="D669" t="s">
        <v>74</v>
      </c>
      <c r="E669" t="s">
        <v>74</v>
      </c>
      <c r="F669" t="s">
        <v>12815</v>
      </c>
      <c r="G669" t="s">
        <v>74</v>
      </c>
      <c r="H669" t="s">
        <v>74</v>
      </c>
      <c r="I669" t="s">
        <v>12816</v>
      </c>
      <c r="J669" t="s">
        <v>11113</v>
      </c>
      <c r="K669" t="s">
        <v>74</v>
      </c>
      <c r="L669" t="s">
        <v>74</v>
      </c>
      <c r="M669" t="s">
        <v>78</v>
      </c>
      <c r="N669" t="s">
        <v>79</v>
      </c>
      <c r="O669" t="s">
        <v>74</v>
      </c>
      <c r="P669" t="s">
        <v>74</v>
      </c>
      <c r="Q669" t="s">
        <v>74</v>
      </c>
      <c r="R669" t="s">
        <v>74</v>
      </c>
      <c r="S669" t="s">
        <v>74</v>
      </c>
      <c r="T669" t="s">
        <v>12817</v>
      </c>
      <c r="U669" t="s">
        <v>12818</v>
      </c>
      <c r="V669" t="s">
        <v>12819</v>
      </c>
      <c r="W669" t="s">
        <v>12820</v>
      </c>
      <c r="X669" t="s">
        <v>12821</v>
      </c>
      <c r="Y669" t="s">
        <v>12822</v>
      </c>
      <c r="Z669" t="s">
        <v>12823</v>
      </c>
      <c r="AA669" t="s">
        <v>12824</v>
      </c>
      <c r="AB669" t="s">
        <v>12825</v>
      </c>
      <c r="AC669" t="s">
        <v>12826</v>
      </c>
      <c r="AD669" t="s">
        <v>12827</v>
      </c>
      <c r="AE669" t="s">
        <v>12828</v>
      </c>
      <c r="AF669" t="s">
        <v>74</v>
      </c>
      <c r="AG669">
        <v>66</v>
      </c>
      <c r="AH669">
        <v>3</v>
      </c>
      <c r="AI669">
        <v>3</v>
      </c>
      <c r="AJ669">
        <v>1</v>
      </c>
      <c r="AK669">
        <v>3</v>
      </c>
      <c r="AL669" t="s">
        <v>11119</v>
      </c>
      <c r="AM669" t="s">
        <v>11120</v>
      </c>
      <c r="AN669" t="s">
        <v>11121</v>
      </c>
      <c r="AO669" t="s">
        <v>11122</v>
      </c>
      <c r="AP669" t="s">
        <v>11123</v>
      </c>
      <c r="AQ669" t="s">
        <v>74</v>
      </c>
      <c r="AR669" t="s">
        <v>11124</v>
      </c>
      <c r="AS669" t="s">
        <v>11125</v>
      </c>
      <c r="AT669" t="s">
        <v>74</v>
      </c>
      <c r="AU669">
        <v>2022</v>
      </c>
      <c r="AV669">
        <v>94</v>
      </c>
      <c r="AW669" t="s">
        <v>74</v>
      </c>
      <c r="AX669" t="s">
        <v>74</v>
      </c>
      <c r="AY669">
        <v>1</v>
      </c>
      <c r="AZ669" t="s">
        <v>74</v>
      </c>
      <c r="BA669" t="s">
        <v>74</v>
      </c>
      <c r="BB669" t="s">
        <v>74</v>
      </c>
      <c r="BC669" t="s">
        <v>74</v>
      </c>
      <c r="BD669" t="s">
        <v>12829</v>
      </c>
      <c r="BE669" t="s">
        <v>12830</v>
      </c>
      <c r="BF669" t="str">
        <f>HYPERLINK("http://dx.doi.org/10.1590/0001-3765202220210593","http://dx.doi.org/10.1590/0001-3765202220210593")</f>
        <v>http://dx.doi.org/10.1590/0001-3765202220210593</v>
      </c>
      <c r="BG669" t="s">
        <v>74</v>
      </c>
      <c r="BH669" t="s">
        <v>74</v>
      </c>
      <c r="BI669">
        <v>19</v>
      </c>
      <c r="BJ669" t="s">
        <v>289</v>
      </c>
      <c r="BK669" t="s">
        <v>103</v>
      </c>
      <c r="BL669" t="s">
        <v>290</v>
      </c>
      <c r="BM669" t="s">
        <v>12831</v>
      </c>
      <c r="BN669">
        <v>35239799</v>
      </c>
      <c r="BO669" t="s">
        <v>211</v>
      </c>
      <c r="BP669" t="s">
        <v>74</v>
      </c>
      <c r="BQ669" t="s">
        <v>74</v>
      </c>
      <c r="BR669" t="s">
        <v>106</v>
      </c>
      <c r="BS669" t="s">
        <v>12832</v>
      </c>
      <c r="BT669" t="str">
        <f>HYPERLINK("https%3A%2F%2Fwww.webofscience.com%2Fwos%2Fwoscc%2Ffull-record%2FWOS:000765319400001","View Full Record in Web of Science")</f>
        <v>View Full Record in Web of Science</v>
      </c>
    </row>
    <row r="670" spans="1:72" x14ac:dyDescent="0.15">
      <c r="A670" t="s">
        <v>72</v>
      </c>
      <c r="B670" t="s">
        <v>12833</v>
      </c>
      <c r="C670" t="s">
        <v>74</v>
      </c>
      <c r="D670" t="s">
        <v>74</v>
      </c>
      <c r="E670" t="s">
        <v>74</v>
      </c>
      <c r="F670" t="s">
        <v>12834</v>
      </c>
      <c r="G670" t="s">
        <v>74</v>
      </c>
      <c r="H670" t="s">
        <v>74</v>
      </c>
      <c r="I670" t="s">
        <v>12835</v>
      </c>
      <c r="J670" t="s">
        <v>11113</v>
      </c>
      <c r="K670" t="s">
        <v>74</v>
      </c>
      <c r="L670" t="s">
        <v>74</v>
      </c>
      <c r="M670" t="s">
        <v>78</v>
      </c>
      <c r="N670" t="s">
        <v>79</v>
      </c>
      <c r="O670" t="s">
        <v>74</v>
      </c>
      <c r="P670" t="s">
        <v>74</v>
      </c>
      <c r="Q670" t="s">
        <v>74</v>
      </c>
      <c r="R670" t="s">
        <v>74</v>
      </c>
      <c r="S670" t="s">
        <v>74</v>
      </c>
      <c r="T670" t="s">
        <v>12836</v>
      </c>
      <c r="U670" t="s">
        <v>12837</v>
      </c>
      <c r="V670" t="s">
        <v>12838</v>
      </c>
      <c r="W670" t="s">
        <v>12839</v>
      </c>
      <c r="X670" t="s">
        <v>11445</v>
      </c>
      <c r="Y670" t="s">
        <v>12840</v>
      </c>
      <c r="Z670" t="s">
        <v>12841</v>
      </c>
      <c r="AA670" t="s">
        <v>12842</v>
      </c>
      <c r="AB670" t="s">
        <v>12843</v>
      </c>
      <c r="AC670" t="s">
        <v>12844</v>
      </c>
      <c r="AD670" t="s">
        <v>12845</v>
      </c>
      <c r="AE670" t="s">
        <v>12846</v>
      </c>
      <c r="AF670" t="s">
        <v>74</v>
      </c>
      <c r="AG670">
        <v>55</v>
      </c>
      <c r="AH670">
        <v>3</v>
      </c>
      <c r="AI670">
        <v>3</v>
      </c>
      <c r="AJ670">
        <v>3</v>
      </c>
      <c r="AK670">
        <v>10</v>
      </c>
      <c r="AL670" t="s">
        <v>11119</v>
      </c>
      <c r="AM670" t="s">
        <v>11120</v>
      </c>
      <c r="AN670" t="s">
        <v>11121</v>
      </c>
      <c r="AO670" t="s">
        <v>11122</v>
      </c>
      <c r="AP670" t="s">
        <v>11123</v>
      </c>
      <c r="AQ670" t="s">
        <v>74</v>
      </c>
      <c r="AR670" t="s">
        <v>11124</v>
      </c>
      <c r="AS670" t="s">
        <v>11125</v>
      </c>
      <c r="AT670" t="s">
        <v>74</v>
      </c>
      <c r="AU670">
        <v>2022</v>
      </c>
      <c r="AV670">
        <v>94</v>
      </c>
      <c r="AW670" t="s">
        <v>74</v>
      </c>
      <c r="AX670" t="s">
        <v>74</v>
      </c>
      <c r="AY670">
        <v>1</v>
      </c>
      <c r="AZ670" t="s">
        <v>74</v>
      </c>
      <c r="BA670" t="s">
        <v>74</v>
      </c>
      <c r="BB670" t="s">
        <v>74</v>
      </c>
      <c r="BC670" t="s">
        <v>74</v>
      </c>
      <c r="BD670" t="s">
        <v>12847</v>
      </c>
      <c r="BE670" t="s">
        <v>12848</v>
      </c>
      <c r="BF670" t="str">
        <f>HYPERLINK("http://dx.doi.org/10.1590/0001-3765202220210584","http://dx.doi.org/10.1590/0001-3765202220210584")</f>
        <v>http://dx.doi.org/10.1590/0001-3765202220210584</v>
      </c>
      <c r="BG670" t="s">
        <v>74</v>
      </c>
      <c r="BH670" t="s">
        <v>74</v>
      </c>
      <c r="BI670">
        <v>15</v>
      </c>
      <c r="BJ670" t="s">
        <v>289</v>
      </c>
      <c r="BK670" t="s">
        <v>103</v>
      </c>
      <c r="BL670" t="s">
        <v>290</v>
      </c>
      <c r="BM670" t="s">
        <v>12849</v>
      </c>
      <c r="BN670">
        <v>35239798</v>
      </c>
      <c r="BO670" t="s">
        <v>445</v>
      </c>
      <c r="BP670" t="s">
        <v>74</v>
      </c>
      <c r="BQ670" t="s">
        <v>74</v>
      </c>
      <c r="BR670" t="s">
        <v>106</v>
      </c>
      <c r="BS670" t="s">
        <v>12850</v>
      </c>
      <c r="BT670" t="str">
        <f>HYPERLINK("https%3A%2F%2Fwww.webofscience.com%2Fwos%2Fwoscc%2Ffull-record%2FWOS:000765317000001","View Full Record in Web of Science")</f>
        <v>View Full Record in Web of Science</v>
      </c>
    </row>
    <row r="671" spans="1:72" x14ac:dyDescent="0.15">
      <c r="A671" t="s">
        <v>72</v>
      </c>
      <c r="B671" t="s">
        <v>12851</v>
      </c>
      <c r="C671" t="s">
        <v>74</v>
      </c>
      <c r="D671" t="s">
        <v>74</v>
      </c>
      <c r="E671" t="s">
        <v>74</v>
      </c>
      <c r="F671" t="s">
        <v>12852</v>
      </c>
      <c r="G671" t="s">
        <v>74</v>
      </c>
      <c r="H671" t="s">
        <v>74</v>
      </c>
      <c r="I671" t="s">
        <v>12853</v>
      </c>
      <c r="J671" t="s">
        <v>11113</v>
      </c>
      <c r="K671" t="s">
        <v>74</v>
      </c>
      <c r="L671" t="s">
        <v>74</v>
      </c>
      <c r="M671" t="s">
        <v>78</v>
      </c>
      <c r="N671" t="s">
        <v>79</v>
      </c>
      <c r="O671" t="s">
        <v>74</v>
      </c>
      <c r="P671" t="s">
        <v>74</v>
      </c>
      <c r="Q671" t="s">
        <v>74</v>
      </c>
      <c r="R671" t="s">
        <v>74</v>
      </c>
      <c r="S671" t="s">
        <v>74</v>
      </c>
      <c r="T671" t="s">
        <v>12854</v>
      </c>
      <c r="U671" t="s">
        <v>12855</v>
      </c>
      <c r="V671" t="s">
        <v>12856</v>
      </c>
      <c r="W671" t="s">
        <v>12857</v>
      </c>
      <c r="X671" t="s">
        <v>12696</v>
      </c>
      <c r="Y671" t="s">
        <v>12858</v>
      </c>
      <c r="Z671" t="s">
        <v>11466</v>
      </c>
      <c r="AA671" t="s">
        <v>12859</v>
      </c>
      <c r="AB671" t="s">
        <v>12860</v>
      </c>
      <c r="AC671" t="s">
        <v>12861</v>
      </c>
      <c r="AD671" t="s">
        <v>12862</v>
      </c>
      <c r="AE671" t="s">
        <v>12863</v>
      </c>
      <c r="AF671" t="s">
        <v>74</v>
      </c>
      <c r="AG671">
        <v>30</v>
      </c>
      <c r="AH671">
        <v>0</v>
      </c>
      <c r="AI671">
        <v>0</v>
      </c>
      <c r="AJ671">
        <v>1</v>
      </c>
      <c r="AK671">
        <v>5</v>
      </c>
      <c r="AL671" t="s">
        <v>11119</v>
      </c>
      <c r="AM671" t="s">
        <v>11120</v>
      </c>
      <c r="AN671" t="s">
        <v>11121</v>
      </c>
      <c r="AO671" t="s">
        <v>11122</v>
      </c>
      <c r="AP671" t="s">
        <v>11123</v>
      </c>
      <c r="AQ671" t="s">
        <v>74</v>
      </c>
      <c r="AR671" t="s">
        <v>11124</v>
      </c>
      <c r="AS671" t="s">
        <v>11125</v>
      </c>
      <c r="AT671" t="s">
        <v>74</v>
      </c>
      <c r="AU671">
        <v>2022</v>
      </c>
      <c r="AV671">
        <v>94</v>
      </c>
      <c r="AW671" t="s">
        <v>74</v>
      </c>
      <c r="AX671" t="s">
        <v>74</v>
      </c>
      <c r="AY671">
        <v>1</v>
      </c>
      <c r="AZ671" t="s">
        <v>74</v>
      </c>
      <c r="BA671" t="s">
        <v>74</v>
      </c>
      <c r="BB671" t="s">
        <v>74</v>
      </c>
      <c r="BC671" t="s">
        <v>74</v>
      </c>
      <c r="BD671" t="s">
        <v>12864</v>
      </c>
      <c r="BE671" t="s">
        <v>12865</v>
      </c>
      <c r="BF671" t="str">
        <f>HYPERLINK("http://dx.doi.org/10.1590/0001-3765202220210396","http://dx.doi.org/10.1590/0001-3765202220210396")</f>
        <v>http://dx.doi.org/10.1590/0001-3765202220210396</v>
      </c>
      <c r="BG671" t="s">
        <v>74</v>
      </c>
      <c r="BH671" t="s">
        <v>74</v>
      </c>
      <c r="BI671">
        <v>11</v>
      </c>
      <c r="BJ671" t="s">
        <v>289</v>
      </c>
      <c r="BK671" t="s">
        <v>103</v>
      </c>
      <c r="BL671" t="s">
        <v>290</v>
      </c>
      <c r="BM671" t="s">
        <v>12866</v>
      </c>
      <c r="BN671">
        <v>35195187</v>
      </c>
      <c r="BO671" t="s">
        <v>445</v>
      </c>
      <c r="BP671" t="s">
        <v>74</v>
      </c>
      <c r="BQ671" t="s">
        <v>74</v>
      </c>
      <c r="BR671" t="s">
        <v>106</v>
      </c>
      <c r="BS671" t="s">
        <v>12867</v>
      </c>
      <c r="BT671" t="str">
        <f>HYPERLINK("https%3A%2F%2Fwww.webofscience.com%2Fwos%2Fwoscc%2Ffull-record%2FWOS:000760359400001","View Full Record in Web of Science")</f>
        <v>View Full Record in Web of Science</v>
      </c>
    </row>
    <row r="672" spans="1:72" x14ac:dyDescent="0.15">
      <c r="A672" t="s">
        <v>72</v>
      </c>
      <c r="B672" t="s">
        <v>12868</v>
      </c>
      <c r="C672" t="s">
        <v>74</v>
      </c>
      <c r="D672" t="s">
        <v>74</v>
      </c>
      <c r="E672" t="s">
        <v>74</v>
      </c>
      <c r="F672" t="s">
        <v>12869</v>
      </c>
      <c r="G672" t="s">
        <v>74</v>
      </c>
      <c r="H672" t="s">
        <v>74</v>
      </c>
      <c r="I672" t="s">
        <v>12870</v>
      </c>
      <c r="J672" t="s">
        <v>11113</v>
      </c>
      <c r="K672" t="s">
        <v>74</v>
      </c>
      <c r="L672" t="s">
        <v>74</v>
      </c>
      <c r="M672" t="s">
        <v>78</v>
      </c>
      <c r="N672" t="s">
        <v>79</v>
      </c>
      <c r="O672" t="s">
        <v>74</v>
      </c>
      <c r="P672" t="s">
        <v>74</v>
      </c>
      <c r="Q672" t="s">
        <v>74</v>
      </c>
      <c r="R672" t="s">
        <v>74</v>
      </c>
      <c r="S672" t="s">
        <v>74</v>
      </c>
      <c r="T672" t="s">
        <v>12871</v>
      </c>
      <c r="U672" t="s">
        <v>12872</v>
      </c>
      <c r="V672" t="s">
        <v>12873</v>
      </c>
      <c r="W672" t="s">
        <v>12874</v>
      </c>
      <c r="X672" t="s">
        <v>12875</v>
      </c>
      <c r="Y672" t="s">
        <v>12876</v>
      </c>
      <c r="Z672" t="s">
        <v>12877</v>
      </c>
      <c r="AA672" t="s">
        <v>12878</v>
      </c>
      <c r="AB672" t="s">
        <v>12879</v>
      </c>
      <c r="AC672" t="s">
        <v>74</v>
      </c>
      <c r="AD672" t="s">
        <v>74</v>
      </c>
      <c r="AE672" t="s">
        <v>74</v>
      </c>
      <c r="AF672" t="s">
        <v>74</v>
      </c>
      <c r="AG672">
        <v>51</v>
      </c>
      <c r="AH672">
        <v>1</v>
      </c>
      <c r="AI672">
        <v>1</v>
      </c>
      <c r="AJ672">
        <v>0</v>
      </c>
      <c r="AK672">
        <v>1</v>
      </c>
      <c r="AL672" t="s">
        <v>11119</v>
      </c>
      <c r="AM672" t="s">
        <v>11120</v>
      </c>
      <c r="AN672" t="s">
        <v>11121</v>
      </c>
      <c r="AO672" t="s">
        <v>11122</v>
      </c>
      <c r="AP672" t="s">
        <v>11123</v>
      </c>
      <c r="AQ672" t="s">
        <v>74</v>
      </c>
      <c r="AR672" t="s">
        <v>11124</v>
      </c>
      <c r="AS672" t="s">
        <v>11125</v>
      </c>
      <c r="AT672" t="s">
        <v>74</v>
      </c>
      <c r="AU672">
        <v>2022</v>
      </c>
      <c r="AV672">
        <v>94</v>
      </c>
      <c r="AW672" t="s">
        <v>74</v>
      </c>
      <c r="AX672" t="s">
        <v>74</v>
      </c>
      <c r="AY672">
        <v>1</v>
      </c>
      <c r="AZ672" t="s">
        <v>74</v>
      </c>
      <c r="BA672" t="s">
        <v>74</v>
      </c>
      <c r="BB672" t="s">
        <v>74</v>
      </c>
      <c r="BC672" t="s">
        <v>74</v>
      </c>
      <c r="BD672" t="s">
        <v>12880</v>
      </c>
      <c r="BE672" t="s">
        <v>12881</v>
      </c>
      <c r="BF672" t="str">
        <f>HYPERLINK("http://dx.doi.org/10.1590/0001-3765202220210597","http://dx.doi.org/10.1590/0001-3765202220210597")</f>
        <v>http://dx.doi.org/10.1590/0001-3765202220210597</v>
      </c>
      <c r="BG672" t="s">
        <v>74</v>
      </c>
      <c r="BH672" t="s">
        <v>74</v>
      </c>
      <c r="BI672">
        <v>16</v>
      </c>
      <c r="BJ672" t="s">
        <v>289</v>
      </c>
      <c r="BK672" t="s">
        <v>103</v>
      </c>
      <c r="BL672" t="s">
        <v>290</v>
      </c>
      <c r="BM672" t="s">
        <v>12882</v>
      </c>
      <c r="BN672">
        <v>35195188</v>
      </c>
      <c r="BO672" t="s">
        <v>445</v>
      </c>
      <c r="BP672" t="s">
        <v>74</v>
      </c>
      <c r="BQ672" t="s">
        <v>74</v>
      </c>
      <c r="BR672" t="s">
        <v>106</v>
      </c>
      <c r="BS672" t="s">
        <v>12883</v>
      </c>
      <c r="BT672" t="str">
        <f>HYPERLINK("https%3A%2F%2Fwww.webofscience.com%2Fwos%2Fwoscc%2Ffull-record%2FWOS:000760359700001","View Full Record in Web of Science")</f>
        <v>View Full Record in Web of Science</v>
      </c>
    </row>
    <row r="673" spans="1:72" x14ac:dyDescent="0.15">
      <c r="A673" t="s">
        <v>72</v>
      </c>
      <c r="B673" t="s">
        <v>12884</v>
      </c>
      <c r="C673" t="s">
        <v>74</v>
      </c>
      <c r="D673" t="s">
        <v>74</v>
      </c>
      <c r="E673" t="s">
        <v>74</v>
      </c>
      <c r="F673" t="s">
        <v>12885</v>
      </c>
      <c r="G673" t="s">
        <v>74</v>
      </c>
      <c r="H673" t="s">
        <v>74</v>
      </c>
      <c r="I673" t="s">
        <v>12886</v>
      </c>
      <c r="J673" t="s">
        <v>12887</v>
      </c>
      <c r="K673" t="s">
        <v>74</v>
      </c>
      <c r="L673" t="s">
        <v>74</v>
      </c>
      <c r="M673" t="s">
        <v>78</v>
      </c>
      <c r="N673" t="s">
        <v>79</v>
      </c>
      <c r="O673" t="s">
        <v>74</v>
      </c>
      <c r="P673" t="s">
        <v>74</v>
      </c>
      <c r="Q673" t="s">
        <v>74</v>
      </c>
      <c r="R673" t="s">
        <v>74</v>
      </c>
      <c r="S673" t="s">
        <v>74</v>
      </c>
      <c r="T673" t="s">
        <v>12888</v>
      </c>
      <c r="U673" t="s">
        <v>12889</v>
      </c>
      <c r="V673" t="s">
        <v>12890</v>
      </c>
      <c r="W673" t="s">
        <v>12891</v>
      </c>
      <c r="X673" t="s">
        <v>12892</v>
      </c>
      <c r="Y673" t="s">
        <v>12893</v>
      </c>
      <c r="Z673" t="s">
        <v>12894</v>
      </c>
      <c r="AA673" t="s">
        <v>74</v>
      </c>
      <c r="AB673" t="s">
        <v>12895</v>
      </c>
      <c r="AC673" t="s">
        <v>12896</v>
      </c>
      <c r="AD673" t="s">
        <v>12896</v>
      </c>
      <c r="AE673" t="s">
        <v>12897</v>
      </c>
      <c r="AF673" t="s">
        <v>74</v>
      </c>
      <c r="AG673">
        <v>72</v>
      </c>
      <c r="AH673">
        <v>8</v>
      </c>
      <c r="AI673">
        <v>8</v>
      </c>
      <c r="AJ673">
        <v>2</v>
      </c>
      <c r="AK673">
        <v>14</v>
      </c>
      <c r="AL673" t="s">
        <v>12898</v>
      </c>
      <c r="AM673" t="s">
        <v>12899</v>
      </c>
      <c r="AN673" t="s">
        <v>12900</v>
      </c>
      <c r="AO673" t="s">
        <v>12901</v>
      </c>
      <c r="AP673" t="s">
        <v>12902</v>
      </c>
      <c r="AQ673" t="s">
        <v>74</v>
      </c>
      <c r="AR673" t="s">
        <v>12903</v>
      </c>
      <c r="AS673" t="s">
        <v>12904</v>
      </c>
      <c r="AT673" t="s">
        <v>74</v>
      </c>
      <c r="AU673">
        <v>2022</v>
      </c>
      <c r="AV673">
        <v>46</v>
      </c>
      <c r="AW673">
        <v>1</v>
      </c>
      <c r="AX673" t="s">
        <v>74</v>
      </c>
      <c r="AY673" t="s">
        <v>74</v>
      </c>
      <c r="AZ673" t="s">
        <v>74</v>
      </c>
      <c r="BA673" t="s">
        <v>74</v>
      </c>
      <c r="BB673" t="s">
        <v>74</v>
      </c>
      <c r="BC673" t="s">
        <v>74</v>
      </c>
      <c r="BD673">
        <v>3472</v>
      </c>
      <c r="BE673" t="s">
        <v>12905</v>
      </c>
      <c r="BF673" t="str">
        <f>HYPERLINK("http://dx.doi.org/10.20417/nzjecol.46.22","http://dx.doi.org/10.20417/nzjecol.46.22")</f>
        <v>http://dx.doi.org/10.20417/nzjecol.46.22</v>
      </c>
      <c r="BG673" t="s">
        <v>74</v>
      </c>
      <c r="BH673" t="s">
        <v>74</v>
      </c>
      <c r="BI673">
        <v>15</v>
      </c>
      <c r="BJ673" t="s">
        <v>1723</v>
      </c>
      <c r="BK673" t="s">
        <v>103</v>
      </c>
      <c r="BL673" t="s">
        <v>1561</v>
      </c>
      <c r="BM673" t="s">
        <v>12906</v>
      </c>
      <c r="BN673" t="s">
        <v>74</v>
      </c>
      <c r="BO673" t="s">
        <v>445</v>
      </c>
      <c r="BP673" t="s">
        <v>74</v>
      </c>
      <c r="BQ673" t="s">
        <v>74</v>
      </c>
      <c r="BR673" t="s">
        <v>106</v>
      </c>
      <c r="BS673" t="s">
        <v>12907</v>
      </c>
      <c r="BT673" t="str">
        <f>HYPERLINK("https%3A%2F%2Fwww.webofscience.com%2Fwos%2Fwoscc%2Ffull-record%2FWOS:000759426700022","View Full Record in Web of Science")</f>
        <v>View Full Record in Web of Science</v>
      </c>
    </row>
    <row r="674" spans="1:72" x14ac:dyDescent="0.15">
      <c r="A674" t="s">
        <v>72</v>
      </c>
      <c r="B674" t="s">
        <v>12908</v>
      </c>
      <c r="C674" t="s">
        <v>74</v>
      </c>
      <c r="D674" t="s">
        <v>74</v>
      </c>
      <c r="E674" t="s">
        <v>74</v>
      </c>
      <c r="F674" t="s">
        <v>12909</v>
      </c>
      <c r="G674" t="s">
        <v>74</v>
      </c>
      <c r="H674" t="s">
        <v>74</v>
      </c>
      <c r="I674" t="s">
        <v>12910</v>
      </c>
      <c r="J674" t="s">
        <v>11113</v>
      </c>
      <c r="K674" t="s">
        <v>74</v>
      </c>
      <c r="L674" t="s">
        <v>74</v>
      </c>
      <c r="M674" t="s">
        <v>78</v>
      </c>
      <c r="N674" t="s">
        <v>79</v>
      </c>
      <c r="O674" t="s">
        <v>74</v>
      </c>
      <c r="P674" t="s">
        <v>74</v>
      </c>
      <c r="Q674" t="s">
        <v>74</v>
      </c>
      <c r="R674" t="s">
        <v>74</v>
      </c>
      <c r="S674" t="s">
        <v>74</v>
      </c>
      <c r="T674" t="s">
        <v>12911</v>
      </c>
      <c r="U674" t="s">
        <v>12912</v>
      </c>
      <c r="V674" t="s">
        <v>12913</v>
      </c>
      <c r="W674" t="s">
        <v>12914</v>
      </c>
      <c r="X674" t="s">
        <v>12915</v>
      </c>
      <c r="Y674" t="s">
        <v>12916</v>
      </c>
      <c r="Z674" t="s">
        <v>12917</v>
      </c>
      <c r="AA674" t="s">
        <v>12918</v>
      </c>
      <c r="AB674" t="s">
        <v>12919</v>
      </c>
      <c r="AC674" t="s">
        <v>12920</v>
      </c>
      <c r="AD674" t="s">
        <v>12921</v>
      </c>
      <c r="AE674" t="s">
        <v>12922</v>
      </c>
      <c r="AF674" t="s">
        <v>74</v>
      </c>
      <c r="AG674">
        <v>60</v>
      </c>
      <c r="AH674">
        <v>3</v>
      </c>
      <c r="AI674">
        <v>3</v>
      </c>
      <c r="AJ674">
        <v>1</v>
      </c>
      <c r="AK674">
        <v>3</v>
      </c>
      <c r="AL674" t="s">
        <v>11119</v>
      </c>
      <c r="AM674" t="s">
        <v>11120</v>
      </c>
      <c r="AN674" t="s">
        <v>11121</v>
      </c>
      <c r="AO674" t="s">
        <v>11122</v>
      </c>
      <c r="AP674" t="s">
        <v>11123</v>
      </c>
      <c r="AQ674" t="s">
        <v>74</v>
      </c>
      <c r="AR674" t="s">
        <v>11124</v>
      </c>
      <c r="AS674" t="s">
        <v>11125</v>
      </c>
      <c r="AT674" t="s">
        <v>74</v>
      </c>
      <c r="AU674">
        <v>2022</v>
      </c>
      <c r="AV674">
        <v>94</v>
      </c>
      <c r="AW674" t="s">
        <v>74</v>
      </c>
      <c r="AX674" t="s">
        <v>74</v>
      </c>
      <c r="AY674">
        <v>1</v>
      </c>
      <c r="AZ674" t="s">
        <v>74</v>
      </c>
      <c r="BA674" t="s">
        <v>74</v>
      </c>
      <c r="BB674" t="s">
        <v>74</v>
      </c>
      <c r="BC674" t="s">
        <v>74</v>
      </c>
      <c r="BD674" t="s">
        <v>12923</v>
      </c>
      <c r="BE674" t="s">
        <v>12924</v>
      </c>
      <c r="BF674" t="str">
        <f>HYPERLINK("http://dx.doi.org/10.1590/0001-3765202220201736","http://dx.doi.org/10.1590/0001-3765202220201736")</f>
        <v>http://dx.doi.org/10.1590/0001-3765202220201736</v>
      </c>
      <c r="BG674" t="s">
        <v>74</v>
      </c>
      <c r="BH674" t="s">
        <v>74</v>
      </c>
      <c r="BI674">
        <v>11</v>
      </c>
      <c r="BJ674" t="s">
        <v>289</v>
      </c>
      <c r="BK674" t="s">
        <v>103</v>
      </c>
      <c r="BL674" t="s">
        <v>290</v>
      </c>
      <c r="BM674" t="s">
        <v>12925</v>
      </c>
      <c r="BN674">
        <v>35239797</v>
      </c>
      <c r="BO674" t="s">
        <v>4294</v>
      </c>
      <c r="BP674" t="s">
        <v>74</v>
      </c>
      <c r="BQ674" t="s">
        <v>74</v>
      </c>
      <c r="BR674" t="s">
        <v>106</v>
      </c>
      <c r="BS674" t="s">
        <v>12926</v>
      </c>
      <c r="BT674" t="str">
        <f>HYPERLINK("https%3A%2F%2Fwww.webofscience.com%2Fwos%2Fwoscc%2Ffull-record%2FWOS:000765320900001","View Full Record in Web of Science")</f>
        <v>View Full Record in Web of Science</v>
      </c>
    </row>
    <row r="675" spans="1:72" x14ac:dyDescent="0.15">
      <c r="A675" t="s">
        <v>72</v>
      </c>
      <c r="B675" t="s">
        <v>12927</v>
      </c>
      <c r="C675" t="s">
        <v>74</v>
      </c>
      <c r="D675" t="s">
        <v>74</v>
      </c>
      <c r="E675" t="s">
        <v>74</v>
      </c>
      <c r="F675" t="s">
        <v>12928</v>
      </c>
      <c r="G675" t="s">
        <v>74</v>
      </c>
      <c r="H675" t="s">
        <v>74</v>
      </c>
      <c r="I675" t="s">
        <v>12929</v>
      </c>
      <c r="J675" t="s">
        <v>11113</v>
      </c>
      <c r="K675" t="s">
        <v>74</v>
      </c>
      <c r="L675" t="s">
        <v>74</v>
      </c>
      <c r="M675" t="s">
        <v>78</v>
      </c>
      <c r="N675" t="s">
        <v>79</v>
      </c>
      <c r="O675" t="s">
        <v>74</v>
      </c>
      <c r="P675" t="s">
        <v>74</v>
      </c>
      <c r="Q675" t="s">
        <v>74</v>
      </c>
      <c r="R675" t="s">
        <v>74</v>
      </c>
      <c r="S675" t="s">
        <v>74</v>
      </c>
      <c r="T675" t="s">
        <v>12930</v>
      </c>
      <c r="U675" t="s">
        <v>12931</v>
      </c>
      <c r="V675" t="s">
        <v>12932</v>
      </c>
      <c r="W675" t="s">
        <v>12933</v>
      </c>
      <c r="X675" t="s">
        <v>12934</v>
      </c>
      <c r="Y675" t="s">
        <v>12935</v>
      </c>
      <c r="Z675" t="s">
        <v>12936</v>
      </c>
      <c r="AA675" t="s">
        <v>12937</v>
      </c>
      <c r="AB675" t="s">
        <v>12938</v>
      </c>
      <c r="AC675" t="s">
        <v>12939</v>
      </c>
      <c r="AD675" t="s">
        <v>12940</v>
      </c>
      <c r="AE675" t="s">
        <v>12941</v>
      </c>
      <c r="AF675" t="s">
        <v>74</v>
      </c>
      <c r="AG675">
        <v>54</v>
      </c>
      <c r="AH675">
        <v>5</v>
      </c>
      <c r="AI675">
        <v>5</v>
      </c>
      <c r="AJ675">
        <v>0</v>
      </c>
      <c r="AK675">
        <v>4</v>
      </c>
      <c r="AL675" t="s">
        <v>11119</v>
      </c>
      <c r="AM675" t="s">
        <v>11120</v>
      </c>
      <c r="AN675" t="s">
        <v>11121</v>
      </c>
      <c r="AO675" t="s">
        <v>11122</v>
      </c>
      <c r="AP675" t="s">
        <v>11123</v>
      </c>
      <c r="AQ675" t="s">
        <v>74</v>
      </c>
      <c r="AR675" t="s">
        <v>11124</v>
      </c>
      <c r="AS675" t="s">
        <v>11125</v>
      </c>
      <c r="AT675" t="s">
        <v>74</v>
      </c>
      <c r="AU675">
        <v>2022</v>
      </c>
      <c r="AV675">
        <v>94</v>
      </c>
      <c r="AW675" t="s">
        <v>74</v>
      </c>
      <c r="AX675" t="s">
        <v>74</v>
      </c>
      <c r="AY675">
        <v>1</v>
      </c>
      <c r="AZ675" t="s">
        <v>74</v>
      </c>
      <c r="BA675" t="s">
        <v>74</v>
      </c>
      <c r="BB675" t="s">
        <v>74</v>
      </c>
      <c r="BC675" t="s">
        <v>74</v>
      </c>
      <c r="BD675" t="s">
        <v>12942</v>
      </c>
      <c r="BE675" t="s">
        <v>12943</v>
      </c>
      <c r="BF675" t="str">
        <f>HYPERLINK("http://dx.doi.org/10.1590/0001-3765202220201944","http://dx.doi.org/10.1590/0001-3765202220201944")</f>
        <v>http://dx.doi.org/10.1590/0001-3765202220201944</v>
      </c>
      <c r="BG675" t="s">
        <v>74</v>
      </c>
      <c r="BH675" t="s">
        <v>74</v>
      </c>
      <c r="BI675">
        <v>22</v>
      </c>
      <c r="BJ675" t="s">
        <v>289</v>
      </c>
      <c r="BK675" t="s">
        <v>103</v>
      </c>
      <c r="BL675" t="s">
        <v>290</v>
      </c>
      <c r="BM675" t="s">
        <v>12944</v>
      </c>
      <c r="BN675">
        <v>35195186</v>
      </c>
      <c r="BO675" t="s">
        <v>445</v>
      </c>
      <c r="BP675" t="s">
        <v>74</v>
      </c>
      <c r="BQ675" t="s">
        <v>74</v>
      </c>
      <c r="BR675" t="s">
        <v>106</v>
      </c>
      <c r="BS675" t="s">
        <v>12945</v>
      </c>
      <c r="BT675" t="str">
        <f>HYPERLINK("https%3A%2F%2Fwww.webofscience.com%2Fwos%2Fwoscc%2Ffull-record%2FWOS:000760359000001","View Full Record in Web of Science")</f>
        <v>View Full Record in Web of Science</v>
      </c>
    </row>
    <row r="676" spans="1:72" x14ac:dyDescent="0.15">
      <c r="A676" t="s">
        <v>72</v>
      </c>
      <c r="B676" t="s">
        <v>12946</v>
      </c>
      <c r="C676" t="s">
        <v>74</v>
      </c>
      <c r="D676" t="s">
        <v>74</v>
      </c>
      <c r="E676" t="s">
        <v>74</v>
      </c>
      <c r="F676" t="s">
        <v>12947</v>
      </c>
      <c r="G676" t="s">
        <v>74</v>
      </c>
      <c r="H676" t="s">
        <v>74</v>
      </c>
      <c r="I676" t="s">
        <v>12948</v>
      </c>
      <c r="J676" t="s">
        <v>11113</v>
      </c>
      <c r="K676" t="s">
        <v>74</v>
      </c>
      <c r="L676" t="s">
        <v>74</v>
      </c>
      <c r="M676" t="s">
        <v>78</v>
      </c>
      <c r="N676" t="s">
        <v>79</v>
      </c>
      <c r="O676" t="s">
        <v>74</v>
      </c>
      <c r="P676" t="s">
        <v>74</v>
      </c>
      <c r="Q676" t="s">
        <v>74</v>
      </c>
      <c r="R676" t="s">
        <v>74</v>
      </c>
      <c r="S676" t="s">
        <v>74</v>
      </c>
      <c r="T676" t="s">
        <v>12949</v>
      </c>
      <c r="U676" t="s">
        <v>12950</v>
      </c>
      <c r="V676" t="s">
        <v>12951</v>
      </c>
      <c r="W676" t="s">
        <v>12952</v>
      </c>
      <c r="X676" t="s">
        <v>5052</v>
      </c>
      <c r="Y676" t="s">
        <v>12953</v>
      </c>
      <c r="Z676" t="s">
        <v>12954</v>
      </c>
      <c r="AA676" t="s">
        <v>74</v>
      </c>
      <c r="AB676" t="s">
        <v>12955</v>
      </c>
      <c r="AC676" t="s">
        <v>12956</v>
      </c>
      <c r="AD676" t="s">
        <v>12957</v>
      </c>
      <c r="AE676" t="s">
        <v>12958</v>
      </c>
      <c r="AF676" t="s">
        <v>74</v>
      </c>
      <c r="AG676">
        <v>74</v>
      </c>
      <c r="AH676">
        <v>6</v>
      </c>
      <c r="AI676">
        <v>6</v>
      </c>
      <c r="AJ676">
        <v>0</v>
      </c>
      <c r="AK676">
        <v>16</v>
      </c>
      <c r="AL676" t="s">
        <v>11119</v>
      </c>
      <c r="AM676" t="s">
        <v>11120</v>
      </c>
      <c r="AN676" t="s">
        <v>11121</v>
      </c>
      <c r="AO676" t="s">
        <v>11122</v>
      </c>
      <c r="AP676" t="s">
        <v>11123</v>
      </c>
      <c r="AQ676" t="s">
        <v>74</v>
      </c>
      <c r="AR676" t="s">
        <v>11124</v>
      </c>
      <c r="AS676" t="s">
        <v>11125</v>
      </c>
      <c r="AT676" t="s">
        <v>74</v>
      </c>
      <c r="AU676">
        <v>2022</v>
      </c>
      <c r="AV676">
        <v>94</v>
      </c>
      <c r="AW676" t="s">
        <v>74</v>
      </c>
      <c r="AX676" t="s">
        <v>74</v>
      </c>
      <c r="AY676">
        <v>1</v>
      </c>
      <c r="AZ676" t="s">
        <v>74</v>
      </c>
      <c r="BA676" t="s">
        <v>74</v>
      </c>
      <c r="BB676" t="s">
        <v>74</v>
      </c>
      <c r="BC676" t="s">
        <v>74</v>
      </c>
      <c r="BD676" t="s">
        <v>12959</v>
      </c>
      <c r="BE676" t="s">
        <v>12960</v>
      </c>
      <c r="BF676" t="str">
        <f>HYPERLINK("http://dx.doi.org/10.1590/0001-3765202220210616","http://dx.doi.org/10.1590/0001-3765202220210616")</f>
        <v>http://dx.doi.org/10.1590/0001-3765202220210616</v>
      </c>
      <c r="BG676" t="s">
        <v>74</v>
      </c>
      <c r="BH676" t="s">
        <v>74</v>
      </c>
      <c r="BI676">
        <v>20</v>
      </c>
      <c r="BJ676" t="s">
        <v>289</v>
      </c>
      <c r="BK676" t="s">
        <v>103</v>
      </c>
      <c r="BL676" t="s">
        <v>290</v>
      </c>
      <c r="BM676" t="s">
        <v>12961</v>
      </c>
      <c r="BN676">
        <v>35170670</v>
      </c>
      <c r="BO676" t="s">
        <v>445</v>
      </c>
      <c r="BP676" t="s">
        <v>74</v>
      </c>
      <c r="BQ676" t="s">
        <v>74</v>
      </c>
      <c r="BR676" t="s">
        <v>106</v>
      </c>
      <c r="BS676" t="s">
        <v>12962</v>
      </c>
      <c r="BT676" t="str">
        <f>HYPERLINK("https%3A%2F%2Fwww.webofscience.com%2Fwos%2Fwoscc%2Ffull-record%2FWOS:000759528000001","View Full Record in Web of Science")</f>
        <v>View Full Record in Web of Science</v>
      </c>
    </row>
    <row r="677" spans="1:72" x14ac:dyDescent="0.15">
      <c r="A677" t="s">
        <v>72</v>
      </c>
      <c r="B677" t="s">
        <v>12963</v>
      </c>
      <c r="C677" t="s">
        <v>74</v>
      </c>
      <c r="D677" t="s">
        <v>74</v>
      </c>
      <c r="E677" t="s">
        <v>74</v>
      </c>
      <c r="F677" t="s">
        <v>12964</v>
      </c>
      <c r="G677" t="s">
        <v>74</v>
      </c>
      <c r="H677" t="s">
        <v>74</v>
      </c>
      <c r="I677" t="s">
        <v>12965</v>
      </c>
      <c r="J677" t="s">
        <v>3071</v>
      </c>
      <c r="K677" t="s">
        <v>74</v>
      </c>
      <c r="L677" t="s">
        <v>74</v>
      </c>
      <c r="M677" t="s">
        <v>78</v>
      </c>
      <c r="N677" t="s">
        <v>79</v>
      </c>
      <c r="O677" t="s">
        <v>74</v>
      </c>
      <c r="P677" t="s">
        <v>74</v>
      </c>
      <c r="Q677" t="s">
        <v>74</v>
      </c>
      <c r="R677" t="s">
        <v>74</v>
      </c>
      <c r="S677" t="s">
        <v>74</v>
      </c>
      <c r="T677" t="s">
        <v>12966</v>
      </c>
      <c r="U677" t="s">
        <v>12967</v>
      </c>
      <c r="V677" t="s">
        <v>12968</v>
      </c>
      <c r="W677" t="s">
        <v>12969</v>
      </c>
      <c r="X677" t="s">
        <v>12970</v>
      </c>
      <c r="Y677" t="s">
        <v>12971</v>
      </c>
      <c r="Z677" t="s">
        <v>12972</v>
      </c>
      <c r="AA677" t="s">
        <v>12973</v>
      </c>
      <c r="AB677" t="s">
        <v>12974</v>
      </c>
      <c r="AC677" t="s">
        <v>12975</v>
      </c>
      <c r="AD677" t="s">
        <v>12976</v>
      </c>
      <c r="AE677" t="s">
        <v>12977</v>
      </c>
      <c r="AF677" t="s">
        <v>74</v>
      </c>
      <c r="AG677">
        <v>96</v>
      </c>
      <c r="AH677">
        <v>18</v>
      </c>
      <c r="AI677">
        <v>18</v>
      </c>
      <c r="AJ677">
        <v>1</v>
      </c>
      <c r="AK677">
        <v>11</v>
      </c>
      <c r="AL677" t="s">
        <v>605</v>
      </c>
      <c r="AM677" t="s">
        <v>606</v>
      </c>
      <c r="AN677" t="s">
        <v>607</v>
      </c>
      <c r="AO677" t="s">
        <v>3084</v>
      </c>
      <c r="AP677" t="s">
        <v>3085</v>
      </c>
      <c r="AQ677" t="s">
        <v>74</v>
      </c>
      <c r="AR677" t="s">
        <v>3086</v>
      </c>
      <c r="AS677" t="s">
        <v>3087</v>
      </c>
      <c r="AT677" t="s">
        <v>4645</v>
      </c>
      <c r="AU677">
        <v>2022</v>
      </c>
      <c r="AV677">
        <v>127</v>
      </c>
      <c r="AW677">
        <v>1</v>
      </c>
      <c r="AX677" t="s">
        <v>74</v>
      </c>
      <c r="AY677" t="s">
        <v>74</v>
      </c>
      <c r="AZ677" t="s">
        <v>74</v>
      </c>
      <c r="BA677" t="s">
        <v>74</v>
      </c>
      <c r="BB677" t="s">
        <v>74</v>
      </c>
      <c r="BC677" t="s">
        <v>74</v>
      </c>
      <c r="BD677" t="s">
        <v>12978</v>
      </c>
      <c r="BE677" t="s">
        <v>12979</v>
      </c>
      <c r="BF677" t="str">
        <f>HYPERLINK("http://dx.doi.org/10.1029/2021JA029128","http://dx.doi.org/10.1029/2021JA029128")</f>
        <v>http://dx.doi.org/10.1029/2021JA029128</v>
      </c>
      <c r="BG677" t="s">
        <v>74</v>
      </c>
      <c r="BH677" t="s">
        <v>74</v>
      </c>
      <c r="BI677">
        <v>27</v>
      </c>
      <c r="BJ677" t="s">
        <v>262</v>
      </c>
      <c r="BK677" t="s">
        <v>103</v>
      </c>
      <c r="BL677" t="s">
        <v>262</v>
      </c>
      <c r="BM677" t="s">
        <v>12980</v>
      </c>
      <c r="BN677" t="s">
        <v>74</v>
      </c>
      <c r="BO677" t="s">
        <v>5641</v>
      </c>
      <c r="BP677" t="s">
        <v>74</v>
      </c>
      <c r="BQ677" t="s">
        <v>74</v>
      </c>
      <c r="BR677" t="s">
        <v>106</v>
      </c>
      <c r="BS677" t="s">
        <v>12981</v>
      </c>
      <c r="BT677" t="str">
        <f>HYPERLINK("https%3A%2F%2Fwww.webofscience.com%2Fwos%2Fwoscc%2Ffull-record%2FWOS:000759550200039","View Full Record in Web of Science")</f>
        <v>View Full Record in Web of Science</v>
      </c>
    </row>
    <row r="678" spans="1:72" x14ac:dyDescent="0.15">
      <c r="A678" t="s">
        <v>72</v>
      </c>
      <c r="B678" t="s">
        <v>12982</v>
      </c>
      <c r="C678" t="s">
        <v>74</v>
      </c>
      <c r="D678" t="s">
        <v>74</v>
      </c>
      <c r="E678" t="s">
        <v>74</v>
      </c>
      <c r="F678" t="s">
        <v>12983</v>
      </c>
      <c r="G678" t="s">
        <v>74</v>
      </c>
      <c r="H678" t="s">
        <v>74</v>
      </c>
      <c r="I678" t="s">
        <v>12984</v>
      </c>
      <c r="J678" t="s">
        <v>3071</v>
      </c>
      <c r="K678" t="s">
        <v>74</v>
      </c>
      <c r="L678" t="s">
        <v>74</v>
      </c>
      <c r="M678" t="s">
        <v>78</v>
      </c>
      <c r="N678" t="s">
        <v>79</v>
      </c>
      <c r="O678" t="s">
        <v>74</v>
      </c>
      <c r="P678" t="s">
        <v>74</v>
      </c>
      <c r="Q678" t="s">
        <v>74</v>
      </c>
      <c r="R678" t="s">
        <v>74</v>
      </c>
      <c r="S678" t="s">
        <v>74</v>
      </c>
      <c r="T678" t="s">
        <v>12985</v>
      </c>
      <c r="U678" t="s">
        <v>12986</v>
      </c>
      <c r="V678" t="s">
        <v>12987</v>
      </c>
      <c r="W678" t="s">
        <v>12988</v>
      </c>
      <c r="X678" t="s">
        <v>12989</v>
      </c>
      <c r="Y678" t="s">
        <v>12990</v>
      </c>
      <c r="Z678" t="s">
        <v>12991</v>
      </c>
      <c r="AA678" t="s">
        <v>12992</v>
      </c>
      <c r="AB678" t="s">
        <v>12993</v>
      </c>
      <c r="AC678" t="s">
        <v>12994</v>
      </c>
      <c r="AD678" t="s">
        <v>12995</v>
      </c>
      <c r="AE678" t="s">
        <v>12996</v>
      </c>
      <c r="AF678" t="s">
        <v>74</v>
      </c>
      <c r="AG678">
        <v>64</v>
      </c>
      <c r="AH678">
        <v>7</v>
      </c>
      <c r="AI678">
        <v>7</v>
      </c>
      <c r="AJ678">
        <v>2</v>
      </c>
      <c r="AK678">
        <v>9</v>
      </c>
      <c r="AL678" t="s">
        <v>605</v>
      </c>
      <c r="AM678" t="s">
        <v>606</v>
      </c>
      <c r="AN678" t="s">
        <v>607</v>
      </c>
      <c r="AO678" t="s">
        <v>3084</v>
      </c>
      <c r="AP678" t="s">
        <v>3085</v>
      </c>
      <c r="AQ678" t="s">
        <v>74</v>
      </c>
      <c r="AR678" t="s">
        <v>3086</v>
      </c>
      <c r="AS678" t="s">
        <v>3087</v>
      </c>
      <c r="AT678" t="s">
        <v>4645</v>
      </c>
      <c r="AU678">
        <v>2022</v>
      </c>
      <c r="AV678">
        <v>127</v>
      </c>
      <c r="AW678">
        <v>1</v>
      </c>
      <c r="AX678" t="s">
        <v>74</v>
      </c>
      <c r="AY678" t="s">
        <v>74</v>
      </c>
      <c r="AZ678" t="s">
        <v>74</v>
      </c>
      <c r="BA678" t="s">
        <v>74</v>
      </c>
      <c r="BB678" t="s">
        <v>74</v>
      </c>
      <c r="BC678" t="s">
        <v>74</v>
      </c>
      <c r="BD678" t="s">
        <v>12997</v>
      </c>
      <c r="BE678" t="s">
        <v>12998</v>
      </c>
      <c r="BF678" t="str">
        <f>HYPERLINK("http://dx.doi.org/10.1029/2021JA030003","http://dx.doi.org/10.1029/2021JA030003")</f>
        <v>http://dx.doi.org/10.1029/2021JA030003</v>
      </c>
      <c r="BG678" t="s">
        <v>74</v>
      </c>
      <c r="BH678" t="s">
        <v>74</v>
      </c>
      <c r="BI678">
        <v>20</v>
      </c>
      <c r="BJ678" t="s">
        <v>262</v>
      </c>
      <c r="BK678" t="s">
        <v>103</v>
      </c>
      <c r="BL678" t="s">
        <v>262</v>
      </c>
      <c r="BM678" t="s">
        <v>12980</v>
      </c>
      <c r="BN678" t="s">
        <v>74</v>
      </c>
      <c r="BO678" t="s">
        <v>12999</v>
      </c>
      <c r="BP678" t="s">
        <v>74</v>
      </c>
      <c r="BQ678" t="s">
        <v>74</v>
      </c>
      <c r="BR678" t="s">
        <v>106</v>
      </c>
      <c r="BS678" t="s">
        <v>13000</v>
      </c>
      <c r="BT678" t="str">
        <f>HYPERLINK("https%3A%2F%2Fwww.webofscience.com%2Fwos%2Fwoscc%2Ffull-record%2FWOS:000759550200057","View Full Record in Web of Science")</f>
        <v>View Full Record in Web of Science</v>
      </c>
    </row>
    <row r="679" spans="1:72" x14ac:dyDescent="0.15">
      <c r="A679" t="s">
        <v>72</v>
      </c>
      <c r="B679" t="s">
        <v>13001</v>
      </c>
      <c r="C679" t="s">
        <v>74</v>
      </c>
      <c r="D679" t="s">
        <v>74</v>
      </c>
      <c r="E679" t="s">
        <v>74</v>
      </c>
      <c r="F679" t="s">
        <v>13002</v>
      </c>
      <c r="G679" t="s">
        <v>74</v>
      </c>
      <c r="H679" t="s">
        <v>74</v>
      </c>
      <c r="I679" t="s">
        <v>13003</v>
      </c>
      <c r="J679" t="s">
        <v>13004</v>
      </c>
      <c r="K679" t="s">
        <v>74</v>
      </c>
      <c r="L679" t="s">
        <v>74</v>
      </c>
      <c r="M679" t="s">
        <v>78</v>
      </c>
      <c r="N679" t="s">
        <v>79</v>
      </c>
      <c r="O679" t="s">
        <v>74</v>
      </c>
      <c r="P679" t="s">
        <v>74</v>
      </c>
      <c r="Q679" t="s">
        <v>74</v>
      </c>
      <c r="R679" t="s">
        <v>74</v>
      </c>
      <c r="S679" t="s">
        <v>74</v>
      </c>
      <c r="T679" t="s">
        <v>13005</v>
      </c>
      <c r="U679" t="s">
        <v>13006</v>
      </c>
      <c r="V679" t="s">
        <v>13007</v>
      </c>
      <c r="W679" t="s">
        <v>13008</v>
      </c>
      <c r="X679" t="s">
        <v>13009</v>
      </c>
      <c r="Y679" t="s">
        <v>13010</v>
      </c>
      <c r="Z679" t="s">
        <v>13011</v>
      </c>
      <c r="AA679" t="s">
        <v>13012</v>
      </c>
      <c r="AB679" t="s">
        <v>13013</v>
      </c>
      <c r="AC679" t="s">
        <v>13014</v>
      </c>
      <c r="AD679" t="s">
        <v>13015</v>
      </c>
      <c r="AE679" t="s">
        <v>13016</v>
      </c>
      <c r="AF679" t="s">
        <v>74</v>
      </c>
      <c r="AG679">
        <v>38</v>
      </c>
      <c r="AH679">
        <v>1</v>
      </c>
      <c r="AI679">
        <v>1</v>
      </c>
      <c r="AJ679">
        <v>0</v>
      </c>
      <c r="AK679">
        <v>2</v>
      </c>
      <c r="AL679" t="s">
        <v>92</v>
      </c>
      <c r="AM679" t="s">
        <v>93</v>
      </c>
      <c r="AN679" t="s">
        <v>94</v>
      </c>
      <c r="AO679" t="s">
        <v>13017</v>
      </c>
      <c r="AP679" t="s">
        <v>13018</v>
      </c>
      <c r="AQ679" t="s">
        <v>74</v>
      </c>
      <c r="AR679" t="s">
        <v>13019</v>
      </c>
      <c r="AS679" t="s">
        <v>13020</v>
      </c>
      <c r="AT679" t="s">
        <v>4645</v>
      </c>
      <c r="AU679">
        <v>2022</v>
      </c>
      <c r="AV679">
        <v>103</v>
      </c>
      <c r="AW679" t="s">
        <v>74</v>
      </c>
      <c r="AX679" t="s">
        <v>74</v>
      </c>
      <c r="AY679" t="s">
        <v>74</v>
      </c>
      <c r="AZ679" t="s">
        <v>74</v>
      </c>
      <c r="BA679" t="s">
        <v>74</v>
      </c>
      <c r="BB679" t="s">
        <v>74</v>
      </c>
      <c r="BC679" t="s">
        <v>74</v>
      </c>
      <c r="BD679">
        <v>103139</v>
      </c>
      <c r="BE679" t="s">
        <v>13021</v>
      </c>
      <c r="BF679" t="str">
        <f>HYPERLINK("http://dx.doi.org/10.1016/j.jtherbio.2021.103139","http://dx.doi.org/10.1016/j.jtherbio.2021.103139")</f>
        <v>http://dx.doi.org/10.1016/j.jtherbio.2021.103139</v>
      </c>
      <c r="BG679" t="s">
        <v>74</v>
      </c>
      <c r="BH679" t="s">
        <v>74</v>
      </c>
      <c r="BI679">
        <v>8</v>
      </c>
      <c r="BJ679" t="s">
        <v>13022</v>
      </c>
      <c r="BK679" t="s">
        <v>103</v>
      </c>
      <c r="BL679" t="s">
        <v>13023</v>
      </c>
      <c r="BM679" t="s">
        <v>13024</v>
      </c>
      <c r="BN679">
        <v>35027197</v>
      </c>
      <c r="BO679" t="s">
        <v>796</v>
      </c>
      <c r="BP679" t="s">
        <v>74</v>
      </c>
      <c r="BQ679" t="s">
        <v>74</v>
      </c>
      <c r="BR679" t="s">
        <v>106</v>
      </c>
      <c r="BS679" t="s">
        <v>13025</v>
      </c>
      <c r="BT679" t="str">
        <f>HYPERLINK("https%3A%2F%2Fwww.webofscience.com%2Fwos%2Fwoscc%2Ffull-record%2FWOS:000760984900002","View Full Record in Web of Science")</f>
        <v>View Full Record in Web of Science</v>
      </c>
    </row>
    <row r="680" spans="1:72" x14ac:dyDescent="0.15">
      <c r="A680" t="s">
        <v>72</v>
      </c>
      <c r="B680" t="s">
        <v>13026</v>
      </c>
      <c r="C680" t="s">
        <v>74</v>
      </c>
      <c r="D680" t="s">
        <v>74</v>
      </c>
      <c r="E680" t="s">
        <v>74</v>
      </c>
      <c r="F680" t="s">
        <v>13027</v>
      </c>
      <c r="G680" t="s">
        <v>74</v>
      </c>
      <c r="H680" t="s">
        <v>74</v>
      </c>
      <c r="I680" t="s">
        <v>13028</v>
      </c>
      <c r="J680" t="s">
        <v>13029</v>
      </c>
      <c r="K680" t="s">
        <v>74</v>
      </c>
      <c r="L680" t="s">
        <v>74</v>
      </c>
      <c r="M680" t="s">
        <v>78</v>
      </c>
      <c r="N680" t="s">
        <v>79</v>
      </c>
      <c r="O680" t="s">
        <v>74</v>
      </c>
      <c r="P680" t="s">
        <v>74</v>
      </c>
      <c r="Q680" t="s">
        <v>74</v>
      </c>
      <c r="R680" t="s">
        <v>74</v>
      </c>
      <c r="S680" t="s">
        <v>74</v>
      </c>
      <c r="T680" t="s">
        <v>74</v>
      </c>
      <c r="U680" t="s">
        <v>13030</v>
      </c>
      <c r="V680" t="s">
        <v>13031</v>
      </c>
      <c r="W680" t="s">
        <v>13032</v>
      </c>
      <c r="X680" t="s">
        <v>2424</v>
      </c>
      <c r="Y680" t="s">
        <v>13033</v>
      </c>
      <c r="Z680" t="s">
        <v>13034</v>
      </c>
      <c r="AA680" t="s">
        <v>13035</v>
      </c>
      <c r="AB680" t="s">
        <v>13036</v>
      </c>
      <c r="AC680" t="s">
        <v>13037</v>
      </c>
      <c r="AD680" t="s">
        <v>13037</v>
      </c>
      <c r="AE680" t="s">
        <v>13038</v>
      </c>
      <c r="AF680" t="s">
        <v>74</v>
      </c>
      <c r="AG680">
        <v>95</v>
      </c>
      <c r="AH680">
        <v>3</v>
      </c>
      <c r="AI680">
        <v>3</v>
      </c>
      <c r="AJ680">
        <v>2</v>
      </c>
      <c r="AK680">
        <v>11</v>
      </c>
      <c r="AL680" t="s">
        <v>171</v>
      </c>
      <c r="AM680" t="s">
        <v>172</v>
      </c>
      <c r="AN680" t="s">
        <v>173</v>
      </c>
      <c r="AO680" t="s">
        <v>13039</v>
      </c>
      <c r="AP680" t="s">
        <v>13040</v>
      </c>
      <c r="AQ680" t="s">
        <v>74</v>
      </c>
      <c r="AR680" t="s">
        <v>13041</v>
      </c>
      <c r="AS680" t="s">
        <v>13042</v>
      </c>
      <c r="AT680" t="s">
        <v>4645</v>
      </c>
      <c r="AU680">
        <v>2022</v>
      </c>
      <c r="AV680">
        <v>174</v>
      </c>
      <c r="AW680">
        <v>1</v>
      </c>
      <c r="AX680" t="s">
        <v>74</v>
      </c>
      <c r="AY680" t="s">
        <v>74</v>
      </c>
      <c r="AZ680" t="s">
        <v>74</v>
      </c>
      <c r="BA680" t="s">
        <v>74</v>
      </c>
      <c r="BB680" t="s">
        <v>74</v>
      </c>
      <c r="BC680" t="s">
        <v>74</v>
      </c>
      <c r="BD680" t="s">
        <v>13043</v>
      </c>
      <c r="BE680" t="s">
        <v>13044</v>
      </c>
      <c r="BF680" t="str">
        <f>HYPERLINK("http://dx.doi.org/10.1111/ppl.13614","http://dx.doi.org/10.1111/ppl.13614")</f>
        <v>http://dx.doi.org/10.1111/ppl.13614</v>
      </c>
      <c r="BG680" t="s">
        <v>74</v>
      </c>
      <c r="BH680" t="s">
        <v>74</v>
      </c>
      <c r="BI680">
        <v>16</v>
      </c>
      <c r="BJ680" t="s">
        <v>1473</v>
      </c>
      <c r="BK680" t="s">
        <v>103</v>
      </c>
      <c r="BL680" t="s">
        <v>1473</v>
      </c>
      <c r="BM680" t="s">
        <v>13045</v>
      </c>
      <c r="BN680">
        <v>35199361</v>
      </c>
      <c r="BO680" t="s">
        <v>948</v>
      </c>
      <c r="BP680" t="s">
        <v>74</v>
      </c>
      <c r="BQ680" t="s">
        <v>74</v>
      </c>
      <c r="BR680" t="s">
        <v>106</v>
      </c>
      <c r="BS680" t="s">
        <v>13046</v>
      </c>
      <c r="BT680" t="str">
        <f>HYPERLINK("https%3A%2F%2Fwww.webofscience.com%2Fwos%2Fwoscc%2Ffull-record%2FWOS:000760262000007","View Full Record in Web of Science")</f>
        <v>View Full Record in Web of Science</v>
      </c>
    </row>
    <row r="681" spans="1:72" x14ac:dyDescent="0.15">
      <c r="A681" t="s">
        <v>72</v>
      </c>
      <c r="B681" t="s">
        <v>13047</v>
      </c>
      <c r="C681" t="s">
        <v>74</v>
      </c>
      <c r="D681" t="s">
        <v>74</v>
      </c>
      <c r="E681" t="s">
        <v>74</v>
      </c>
      <c r="F681" t="s">
        <v>13048</v>
      </c>
      <c r="G681" t="s">
        <v>74</v>
      </c>
      <c r="H681" t="s">
        <v>74</v>
      </c>
      <c r="I681" t="s">
        <v>13049</v>
      </c>
      <c r="J681" t="s">
        <v>11113</v>
      </c>
      <c r="K681" t="s">
        <v>74</v>
      </c>
      <c r="L681" t="s">
        <v>74</v>
      </c>
      <c r="M681" t="s">
        <v>78</v>
      </c>
      <c r="N681" t="s">
        <v>79</v>
      </c>
      <c r="O681" t="s">
        <v>74</v>
      </c>
      <c r="P681" t="s">
        <v>74</v>
      </c>
      <c r="Q681" t="s">
        <v>74</v>
      </c>
      <c r="R681" t="s">
        <v>74</v>
      </c>
      <c r="S681" t="s">
        <v>74</v>
      </c>
      <c r="T681" t="s">
        <v>13050</v>
      </c>
      <c r="U681" t="s">
        <v>13051</v>
      </c>
      <c r="V681" t="s">
        <v>13052</v>
      </c>
      <c r="W681" t="s">
        <v>13053</v>
      </c>
      <c r="X681" t="s">
        <v>11779</v>
      </c>
      <c r="Y681" t="s">
        <v>13054</v>
      </c>
      <c r="Z681" t="s">
        <v>11781</v>
      </c>
      <c r="AA681" t="s">
        <v>13055</v>
      </c>
      <c r="AB681" t="s">
        <v>13056</v>
      </c>
      <c r="AC681" t="s">
        <v>13057</v>
      </c>
      <c r="AD681" t="s">
        <v>13058</v>
      </c>
      <c r="AE681" t="s">
        <v>13059</v>
      </c>
      <c r="AF681" t="s">
        <v>74</v>
      </c>
      <c r="AG681">
        <v>65</v>
      </c>
      <c r="AH681">
        <v>5</v>
      </c>
      <c r="AI681">
        <v>5</v>
      </c>
      <c r="AJ681">
        <v>8</v>
      </c>
      <c r="AK681">
        <v>20</v>
      </c>
      <c r="AL681" t="s">
        <v>11119</v>
      </c>
      <c r="AM681" t="s">
        <v>11120</v>
      </c>
      <c r="AN681" t="s">
        <v>11121</v>
      </c>
      <c r="AO681" t="s">
        <v>11122</v>
      </c>
      <c r="AP681" t="s">
        <v>11123</v>
      </c>
      <c r="AQ681" t="s">
        <v>74</v>
      </c>
      <c r="AR681" t="s">
        <v>11124</v>
      </c>
      <c r="AS681" t="s">
        <v>11125</v>
      </c>
      <c r="AT681" t="s">
        <v>74</v>
      </c>
      <c r="AU681">
        <v>2022</v>
      </c>
      <c r="AV681">
        <v>94</v>
      </c>
      <c r="AW681" t="s">
        <v>74</v>
      </c>
      <c r="AX681" t="s">
        <v>74</v>
      </c>
      <c r="AY681">
        <v>1</v>
      </c>
      <c r="AZ681" t="s">
        <v>74</v>
      </c>
      <c r="BA681" t="s">
        <v>74</v>
      </c>
      <c r="BB681" t="s">
        <v>74</v>
      </c>
      <c r="BC681" t="s">
        <v>74</v>
      </c>
      <c r="BD681" t="s">
        <v>13060</v>
      </c>
      <c r="BE681" t="s">
        <v>13061</v>
      </c>
      <c r="BF681" t="str">
        <f>HYPERLINK("http://dx.doi.org/10.1590/0001-3765202220210234","http://dx.doi.org/10.1590/0001-3765202220210234")</f>
        <v>http://dx.doi.org/10.1590/0001-3765202220210234</v>
      </c>
      <c r="BG681" t="s">
        <v>74</v>
      </c>
      <c r="BH681" t="s">
        <v>74</v>
      </c>
      <c r="BI681">
        <v>15</v>
      </c>
      <c r="BJ681" t="s">
        <v>289</v>
      </c>
      <c r="BK681" t="s">
        <v>103</v>
      </c>
      <c r="BL681" t="s">
        <v>290</v>
      </c>
      <c r="BM681" t="s">
        <v>13062</v>
      </c>
      <c r="BN681">
        <v>35170666</v>
      </c>
      <c r="BO681" t="s">
        <v>445</v>
      </c>
      <c r="BP681" t="s">
        <v>74</v>
      </c>
      <c r="BQ681" t="s">
        <v>74</v>
      </c>
      <c r="BR681" t="s">
        <v>106</v>
      </c>
      <c r="BS681" t="s">
        <v>13063</v>
      </c>
      <c r="BT681" t="str">
        <f>HYPERLINK("https%3A%2F%2Fwww.webofscience.com%2Fwos%2Fwoscc%2Ffull-record%2FWOS:000759526800001","View Full Record in Web of Science")</f>
        <v>View Full Record in Web of Science</v>
      </c>
    </row>
    <row r="682" spans="1:72" x14ac:dyDescent="0.15">
      <c r="A682" t="s">
        <v>72</v>
      </c>
      <c r="B682" t="s">
        <v>13064</v>
      </c>
      <c r="C682" t="s">
        <v>74</v>
      </c>
      <c r="D682" t="s">
        <v>74</v>
      </c>
      <c r="E682" t="s">
        <v>74</v>
      </c>
      <c r="F682" t="s">
        <v>10723</v>
      </c>
      <c r="G682" t="s">
        <v>74</v>
      </c>
      <c r="H682" t="s">
        <v>74</v>
      </c>
      <c r="I682" t="s">
        <v>13065</v>
      </c>
      <c r="J682" t="s">
        <v>2724</v>
      </c>
      <c r="K682" t="s">
        <v>74</v>
      </c>
      <c r="L682" t="s">
        <v>74</v>
      </c>
      <c r="M682" t="s">
        <v>78</v>
      </c>
      <c r="N682" t="s">
        <v>79</v>
      </c>
      <c r="O682" t="s">
        <v>74</v>
      </c>
      <c r="P682" t="s">
        <v>74</v>
      </c>
      <c r="Q682" t="s">
        <v>74</v>
      </c>
      <c r="R682" t="s">
        <v>74</v>
      </c>
      <c r="S682" t="s">
        <v>74</v>
      </c>
      <c r="T682" t="s">
        <v>13066</v>
      </c>
      <c r="U682" t="s">
        <v>13067</v>
      </c>
      <c r="V682" t="s">
        <v>13068</v>
      </c>
      <c r="W682" t="s">
        <v>13069</v>
      </c>
      <c r="X682" t="s">
        <v>10732</v>
      </c>
      <c r="Y682" t="s">
        <v>13070</v>
      </c>
      <c r="Z682" t="s">
        <v>13071</v>
      </c>
      <c r="AA682" t="s">
        <v>13072</v>
      </c>
      <c r="AB682" t="s">
        <v>13073</v>
      </c>
      <c r="AC682" t="s">
        <v>13074</v>
      </c>
      <c r="AD682" t="s">
        <v>13074</v>
      </c>
      <c r="AE682" t="s">
        <v>13075</v>
      </c>
      <c r="AF682" t="s">
        <v>74</v>
      </c>
      <c r="AG682">
        <v>88</v>
      </c>
      <c r="AH682">
        <v>12</v>
      </c>
      <c r="AI682">
        <v>12</v>
      </c>
      <c r="AJ682">
        <v>4</v>
      </c>
      <c r="AK682">
        <v>9</v>
      </c>
      <c r="AL682" t="s">
        <v>2632</v>
      </c>
      <c r="AM682" t="s">
        <v>2633</v>
      </c>
      <c r="AN682" t="s">
        <v>2634</v>
      </c>
      <c r="AO682" t="s">
        <v>74</v>
      </c>
      <c r="AP682" t="s">
        <v>2737</v>
      </c>
      <c r="AQ682" t="s">
        <v>74</v>
      </c>
      <c r="AR682" t="s">
        <v>2738</v>
      </c>
      <c r="AS682" t="s">
        <v>2739</v>
      </c>
      <c r="AT682" t="s">
        <v>4645</v>
      </c>
      <c r="AU682">
        <v>2022</v>
      </c>
      <c r="AV682">
        <v>14</v>
      </c>
      <c r="AW682">
        <v>1</v>
      </c>
      <c r="AX682" t="s">
        <v>74</v>
      </c>
      <c r="AY682" t="s">
        <v>74</v>
      </c>
      <c r="AZ682" t="s">
        <v>74</v>
      </c>
      <c r="BA682" t="s">
        <v>74</v>
      </c>
      <c r="BB682" t="s">
        <v>74</v>
      </c>
      <c r="BC682" t="s">
        <v>74</v>
      </c>
      <c r="BD682">
        <v>82</v>
      </c>
      <c r="BE682" t="s">
        <v>13076</v>
      </c>
      <c r="BF682" t="str">
        <f>HYPERLINK("http://dx.doi.org/10.3390/rs14010082","http://dx.doi.org/10.3390/rs14010082")</f>
        <v>http://dx.doi.org/10.3390/rs14010082</v>
      </c>
      <c r="BG682" t="s">
        <v>74</v>
      </c>
      <c r="BH682" t="s">
        <v>74</v>
      </c>
      <c r="BI682">
        <v>26</v>
      </c>
      <c r="BJ682" t="s">
        <v>2741</v>
      </c>
      <c r="BK682" t="s">
        <v>103</v>
      </c>
      <c r="BL682" t="s">
        <v>2742</v>
      </c>
      <c r="BM682" t="s">
        <v>13077</v>
      </c>
      <c r="BN682" t="s">
        <v>74</v>
      </c>
      <c r="BO682" t="s">
        <v>445</v>
      </c>
      <c r="BP682" t="s">
        <v>74</v>
      </c>
      <c r="BQ682" t="s">
        <v>74</v>
      </c>
      <c r="BR682" t="s">
        <v>106</v>
      </c>
      <c r="BS682" t="s">
        <v>13078</v>
      </c>
      <c r="BT682" t="str">
        <f>HYPERLINK("https%3A%2F%2Fwww.webofscience.com%2Fwos%2Fwoscc%2Ffull-record%2FWOS:000760256400001","View Full Record in Web of Science")</f>
        <v>View Full Record in Web of Science</v>
      </c>
    </row>
    <row r="683" spans="1:72" x14ac:dyDescent="0.15">
      <c r="A683" t="s">
        <v>72</v>
      </c>
      <c r="B683" t="s">
        <v>13079</v>
      </c>
      <c r="C683" t="s">
        <v>74</v>
      </c>
      <c r="D683" t="s">
        <v>74</v>
      </c>
      <c r="E683" t="s">
        <v>74</v>
      </c>
      <c r="F683" t="s">
        <v>13080</v>
      </c>
      <c r="G683" t="s">
        <v>74</v>
      </c>
      <c r="H683" t="s">
        <v>74</v>
      </c>
      <c r="I683" t="s">
        <v>13081</v>
      </c>
      <c r="J683" t="s">
        <v>11113</v>
      </c>
      <c r="K683" t="s">
        <v>74</v>
      </c>
      <c r="L683" t="s">
        <v>74</v>
      </c>
      <c r="M683" t="s">
        <v>78</v>
      </c>
      <c r="N683" t="s">
        <v>79</v>
      </c>
      <c r="O683" t="s">
        <v>74</v>
      </c>
      <c r="P683" t="s">
        <v>74</v>
      </c>
      <c r="Q683" t="s">
        <v>74</v>
      </c>
      <c r="R683" t="s">
        <v>74</v>
      </c>
      <c r="S683" t="s">
        <v>74</v>
      </c>
      <c r="T683" t="s">
        <v>13082</v>
      </c>
      <c r="U683" t="s">
        <v>13083</v>
      </c>
      <c r="V683" t="s">
        <v>13084</v>
      </c>
      <c r="W683" t="s">
        <v>13085</v>
      </c>
      <c r="X683" t="s">
        <v>13086</v>
      </c>
      <c r="Y683" t="s">
        <v>13087</v>
      </c>
      <c r="Z683" t="s">
        <v>13088</v>
      </c>
      <c r="AA683" t="s">
        <v>13089</v>
      </c>
      <c r="AB683" t="s">
        <v>13090</v>
      </c>
      <c r="AC683" t="s">
        <v>13091</v>
      </c>
      <c r="AD683" t="s">
        <v>13092</v>
      </c>
      <c r="AE683" t="s">
        <v>13093</v>
      </c>
      <c r="AF683" t="s">
        <v>74</v>
      </c>
      <c r="AG683">
        <v>89</v>
      </c>
      <c r="AH683">
        <v>1</v>
      </c>
      <c r="AI683">
        <v>1</v>
      </c>
      <c r="AJ683">
        <v>1</v>
      </c>
      <c r="AK683">
        <v>10</v>
      </c>
      <c r="AL683" t="s">
        <v>11119</v>
      </c>
      <c r="AM683" t="s">
        <v>11120</v>
      </c>
      <c r="AN683" t="s">
        <v>11121</v>
      </c>
      <c r="AO683" t="s">
        <v>11122</v>
      </c>
      <c r="AP683" t="s">
        <v>11123</v>
      </c>
      <c r="AQ683" t="s">
        <v>74</v>
      </c>
      <c r="AR683" t="s">
        <v>11124</v>
      </c>
      <c r="AS683" t="s">
        <v>11125</v>
      </c>
      <c r="AT683" t="s">
        <v>74</v>
      </c>
      <c r="AU683">
        <v>2022</v>
      </c>
      <c r="AV683">
        <v>94</v>
      </c>
      <c r="AW683" t="s">
        <v>74</v>
      </c>
      <c r="AX683" t="s">
        <v>74</v>
      </c>
      <c r="AY683">
        <v>1</v>
      </c>
      <c r="AZ683" t="s">
        <v>74</v>
      </c>
      <c r="BA683" t="s">
        <v>74</v>
      </c>
      <c r="BB683" t="s">
        <v>74</v>
      </c>
      <c r="BC683" t="s">
        <v>74</v>
      </c>
      <c r="BD683" t="s">
        <v>13094</v>
      </c>
      <c r="BE683" t="s">
        <v>13095</v>
      </c>
      <c r="BF683" t="str">
        <f>HYPERLINK("http://dx.doi.org/10.1590/0001-3765202220210452","http://dx.doi.org/10.1590/0001-3765202220210452")</f>
        <v>http://dx.doi.org/10.1590/0001-3765202220210452</v>
      </c>
      <c r="BG683" t="s">
        <v>74</v>
      </c>
      <c r="BH683" t="s">
        <v>74</v>
      </c>
      <c r="BI683">
        <v>16</v>
      </c>
      <c r="BJ683" t="s">
        <v>289</v>
      </c>
      <c r="BK683" t="s">
        <v>103</v>
      </c>
      <c r="BL683" t="s">
        <v>290</v>
      </c>
      <c r="BM683" t="s">
        <v>13096</v>
      </c>
      <c r="BN683">
        <v>35170668</v>
      </c>
      <c r="BO683" t="s">
        <v>445</v>
      </c>
      <c r="BP683" t="s">
        <v>74</v>
      </c>
      <c r="BQ683" t="s">
        <v>74</v>
      </c>
      <c r="BR683" t="s">
        <v>106</v>
      </c>
      <c r="BS683" t="s">
        <v>13097</v>
      </c>
      <c r="BT683" t="str">
        <f>HYPERLINK("https%3A%2F%2Fwww.webofscience.com%2Fwos%2Fwoscc%2Ffull-record%2FWOS:000759526100001","View Full Record in Web of Science")</f>
        <v>View Full Record in Web of Science</v>
      </c>
    </row>
    <row r="684" spans="1:72" x14ac:dyDescent="0.15">
      <c r="A684" t="s">
        <v>72</v>
      </c>
      <c r="B684" t="s">
        <v>13098</v>
      </c>
      <c r="C684" t="s">
        <v>74</v>
      </c>
      <c r="D684" t="s">
        <v>74</v>
      </c>
      <c r="E684" t="s">
        <v>74</v>
      </c>
      <c r="F684" t="s">
        <v>13099</v>
      </c>
      <c r="G684" t="s">
        <v>74</v>
      </c>
      <c r="H684" t="s">
        <v>74</v>
      </c>
      <c r="I684" t="s">
        <v>13100</v>
      </c>
      <c r="J684" t="s">
        <v>13101</v>
      </c>
      <c r="K684" t="s">
        <v>74</v>
      </c>
      <c r="L684" t="s">
        <v>74</v>
      </c>
      <c r="M684" t="s">
        <v>78</v>
      </c>
      <c r="N684" t="s">
        <v>79</v>
      </c>
      <c r="O684" t="s">
        <v>74</v>
      </c>
      <c r="P684" t="s">
        <v>74</v>
      </c>
      <c r="Q684" t="s">
        <v>74</v>
      </c>
      <c r="R684" t="s">
        <v>74</v>
      </c>
      <c r="S684" t="s">
        <v>74</v>
      </c>
      <c r="T684" t="s">
        <v>13102</v>
      </c>
      <c r="U684" t="s">
        <v>13103</v>
      </c>
      <c r="V684" t="s">
        <v>13104</v>
      </c>
      <c r="W684" t="s">
        <v>13105</v>
      </c>
      <c r="X684" t="s">
        <v>1598</v>
      </c>
      <c r="Y684" t="s">
        <v>13106</v>
      </c>
      <c r="Z684" t="s">
        <v>13107</v>
      </c>
      <c r="AA684" t="s">
        <v>74</v>
      </c>
      <c r="AB684" t="s">
        <v>13108</v>
      </c>
      <c r="AC684" t="s">
        <v>13109</v>
      </c>
      <c r="AD684" t="s">
        <v>13110</v>
      </c>
      <c r="AE684" t="s">
        <v>13111</v>
      </c>
      <c r="AF684" t="s">
        <v>74</v>
      </c>
      <c r="AG684">
        <v>51</v>
      </c>
      <c r="AH684">
        <v>3</v>
      </c>
      <c r="AI684">
        <v>3</v>
      </c>
      <c r="AJ684">
        <v>5</v>
      </c>
      <c r="AK684">
        <v>28</v>
      </c>
      <c r="AL684" t="s">
        <v>310</v>
      </c>
      <c r="AM684" t="s">
        <v>311</v>
      </c>
      <c r="AN684" t="s">
        <v>312</v>
      </c>
      <c r="AO684" t="s">
        <v>13112</v>
      </c>
      <c r="AP684" t="s">
        <v>13113</v>
      </c>
      <c r="AQ684" t="s">
        <v>74</v>
      </c>
      <c r="AR684" t="s">
        <v>13101</v>
      </c>
      <c r="AS684" t="s">
        <v>13114</v>
      </c>
      <c r="AT684" t="s">
        <v>4645</v>
      </c>
      <c r="AU684">
        <v>2022</v>
      </c>
      <c r="AV684">
        <v>111</v>
      </c>
      <c r="AW684" t="s">
        <v>74</v>
      </c>
      <c r="AX684" t="s">
        <v>74</v>
      </c>
      <c r="AY684" t="s">
        <v>74</v>
      </c>
      <c r="AZ684" t="s">
        <v>74</v>
      </c>
      <c r="BA684" t="s">
        <v>74</v>
      </c>
      <c r="BB684" t="s">
        <v>74</v>
      </c>
      <c r="BC684" t="s">
        <v>74</v>
      </c>
      <c r="BD684">
        <v>102151</v>
      </c>
      <c r="BE684" t="s">
        <v>13115</v>
      </c>
      <c r="BF684" t="str">
        <f>HYPERLINK("http://dx.doi.org/10.1016/j.hal.2021.102151","http://dx.doi.org/10.1016/j.hal.2021.102151")</f>
        <v>http://dx.doi.org/10.1016/j.hal.2021.102151</v>
      </c>
      <c r="BG684" t="s">
        <v>74</v>
      </c>
      <c r="BH684" t="s">
        <v>74</v>
      </c>
      <c r="BI684">
        <v>9</v>
      </c>
      <c r="BJ684" t="s">
        <v>4137</v>
      </c>
      <c r="BK684" t="s">
        <v>103</v>
      </c>
      <c r="BL684" t="s">
        <v>4137</v>
      </c>
      <c r="BM684" t="s">
        <v>13116</v>
      </c>
      <c r="BN684">
        <v>35016764</v>
      </c>
      <c r="BO684" t="s">
        <v>74</v>
      </c>
      <c r="BP684" t="s">
        <v>74</v>
      </c>
      <c r="BQ684" t="s">
        <v>74</v>
      </c>
      <c r="BR684" t="s">
        <v>106</v>
      </c>
      <c r="BS684" t="s">
        <v>13117</v>
      </c>
      <c r="BT684" t="str">
        <f>HYPERLINK("https%3A%2F%2Fwww.webofscience.com%2Fwos%2Fwoscc%2Ffull-record%2FWOS:000754475900009","View Full Record in Web of Science")</f>
        <v>View Full Record in Web of Science</v>
      </c>
    </row>
    <row r="685" spans="1:72" x14ac:dyDescent="0.15">
      <c r="A685" t="s">
        <v>72</v>
      </c>
      <c r="B685" t="s">
        <v>13118</v>
      </c>
      <c r="C685" t="s">
        <v>74</v>
      </c>
      <c r="D685" t="s">
        <v>74</v>
      </c>
      <c r="E685" t="s">
        <v>74</v>
      </c>
      <c r="F685" t="s">
        <v>13119</v>
      </c>
      <c r="G685" t="s">
        <v>74</v>
      </c>
      <c r="H685" t="s">
        <v>74</v>
      </c>
      <c r="I685" t="s">
        <v>13120</v>
      </c>
      <c r="J685" t="s">
        <v>11113</v>
      </c>
      <c r="K685" t="s">
        <v>74</v>
      </c>
      <c r="L685" t="s">
        <v>74</v>
      </c>
      <c r="M685" t="s">
        <v>78</v>
      </c>
      <c r="N685" t="s">
        <v>79</v>
      </c>
      <c r="O685" t="s">
        <v>74</v>
      </c>
      <c r="P685" t="s">
        <v>74</v>
      </c>
      <c r="Q685" t="s">
        <v>74</v>
      </c>
      <c r="R685" t="s">
        <v>74</v>
      </c>
      <c r="S685" t="s">
        <v>74</v>
      </c>
      <c r="T685" t="s">
        <v>13121</v>
      </c>
      <c r="U685" t="s">
        <v>74</v>
      </c>
      <c r="V685" t="s">
        <v>13122</v>
      </c>
      <c r="W685" t="s">
        <v>13123</v>
      </c>
      <c r="X685" t="s">
        <v>7170</v>
      </c>
      <c r="Y685" t="s">
        <v>13124</v>
      </c>
      <c r="Z685" t="s">
        <v>13125</v>
      </c>
      <c r="AA685" t="s">
        <v>74</v>
      </c>
      <c r="AB685" t="s">
        <v>13126</v>
      </c>
      <c r="AC685" t="s">
        <v>74</v>
      </c>
      <c r="AD685" t="s">
        <v>74</v>
      </c>
      <c r="AE685" t="s">
        <v>74</v>
      </c>
      <c r="AF685" t="s">
        <v>74</v>
      </c>
      <c r="AG685">
        <v>15</v>
      </c>
      <c r="AH685">
        <v>2</v>
      </c>
      <c r="AI685">
        <v>2</v>
      </c>
      <c r="AJ685">
        <v>0</v>
      </c>
      <c r="AK685">
        <v>1</v>
      </c>
      <c r="AL685" t="s">
        <v>11119</v>
      </c>
      <c r="AM685" t="s">
        <v>11120</v>
      </c>
      <c r="AN685" t="s">
        <v>11121</v>
      </c>
      <c r="AO685" t="s">
        <v>11122</v>
      </c>
      <c r="AP685" t="s">
        <v>11123</v>
      </c>
      <c r="AQ685" t="s">
        <v>74</v>
      </c>
      <c r="AR685" t="s">
        <v>11124</v>
      </c>
      <c r="AS685" t="s">
        <v>11125</v>
      </c>
      <c r="AT685" t="s">
        <v>74</v>
      </c>
      <c r="AU685">
        <v>2022</v>
      </c>
      <c r="AV685">
        <v>94</v>
      </c>
      <c r="AW685" t="s">
        <v>74</v>
      </c>
      <c r="AX685" t="s">
        <v>74</v>
      </c>
      <c r="AY685">
        <v>1</v>
      </c>
      <c r="AZ685" t="s">
        <v>74</v>
      </c>
      <c r="BA685" t="s">
        <v>74</v>
      </c>
      <c r="BB685" t="s">
        <v>74</v>
      </c>
      <c r="BC685" t="s">
        <v>74</v>
      </c>
      <c r="BD685" t="s">
        <v>13127</v>
      </c>
      <c r="BE685" t="s">
        <v>13128</v>
      </c>
      <c r="BF685" t="str">
        <f>HYPERLINK("http://dx.doi.org/10.1590/0001-3765202120210385","http://dx.doi.org/10.1590/0001-3765202120210385")</f>
        <v>http://dx.doi.org/10.1590/0001-3765202120210385</v>
      </c>
      <c r="BG685" t="s">
        <v>74</v>
      </c>
      <c r="BH685" t="s">
        <v>74</v>
      </c>
      <c r="BI685">
        <v>13</v>
      </c>
      <c r="BJ685" t="s">
        <v>289</v>
      </c>
      <c r="BK685" t="s">
        <v>103</v>
      </c>
      <c r="BL685" t="s">
        <v>290</v>
      </c>
      <c r="BM685" t="s">
        <v>13129</v>
      </c>
      <c r="BN685">
        <v>35170667</v>
      </c>
      <c r="BO685" t="s">
        <v>445</v>
      </c>
      <c r="BP685" t="s">
        <v>74</v>
      </c>
      <c r="BQ685" t="s">
        <v>74</v>
      </c>
      <c r="BR685" t="s">
        <v>106</v>
      </c>
      <c r="BS685" t="s">
        <v>13130</v>
      </c>
      <c r="BT685" t="str">
        <f>HYPERLINK("https%3A%2F%2Fwww.webofscience.com%2Fwos%2Fwoscc%2Ffull-record%2FWOS:000759534500001","View Full Record in Web of Science")</f>
        <v>View Full Record in Web of Science</v>
      </c>
    </row>
    <row r="686" spans="1:72" x14ac:dyDescent="0.15">
      <c r="A686" t="s">
        <v>72</v>
      </c>
      <c r="B686" t="s">
        <v>13131</v>
      </c>
      <c r="C686" t="s">
        <v>74</v>
      </c>
      <c r="D686" t="s">
        <v>74</v>
      </c>
      <c r="E686" t="s">
        <v>74</v>
      </c>
      <c r="F686" t="s">
        <v>13132</v>
      </c>
      <c r="G686" t="s">
        <v>74</v>
      </c>
      <c r="H686" t="s">
        <v>74</v>
      </c>
      <c r="I686" t="s">
        <v>13133</v>
      </c>
      <c r="J686" t="s">
        <v>13134</v>
      </c>
      <c r="K686" t="s">
        <v>74</v>
      </c>
      <c r="L686" t="s">
        <v>74</v>
      </c>
      <c r="M686" t="s">
        <v>78</v>
      </c>
      <c r="N686" t="s">
        <v>79</v>
      </c>
      <c r="O686" t="s">
        <v>74</v>
      </c>
      <c r="P686" t="s">
        <v>74</v>
      </c>
      <c r="Q686" t="s">
        <v>74</v>
      </c>
      <c r="R686" t="s">
        <v>74</v>
      </c>
      <c r="S686" t="s">
        <v>74</v>
      </c>
      <c r="T686" t="s">
        <v>13135</v>
      </c>
      <c r="U686" t="s">
        <v>13136</v>
      </c>
      <c r="V686" t="s">
        <v>13137</v>
      </c>
      <c r="W686" t="s">
        <v>13138</v>
      </c>
      <c r="X686" t="s">
        <v>13139</v>
      </c>
      <c r="Y686" t="s">
        <v>13140</v>
      </c>
      <c r="Z686" t="s">
        <v>13141</v>
      </c>
      <c r="AA686" t="s">
        <v>13142</v>
      </c>
      <c r="AB686" t="s">
        <v>13143</v>
      </c>
      <c r="AC686" t="s">
        <v>13144</v>
      </c>
      <c r="AD686" t="s">
        <v>13145</v>
      </c>
      <c r="AE686" t="s">
        <v>13146</v>
      </c>
      <c r="AF686" t="s">
        <v>74</v>
      </c>
      <c r="AG686">
        <v>44</v>
      </c>
      <c r="AH686">
        <v>2</v>
      </c>
      <c r="AI686">
        <v>2</v>
      </c>
      <c r="AJ686">
        <v>2</v>
      </c>
      <c r="AK686">
        <v>14</v>
      </c>
      <c r="AL686" t="s">
        <v>2632</v>
      </c>
      <c r="AM686" t="s">
        <v>2633</v>
      </c>
      <c r="AN686" t="s">
        <v>2634</v>
      </c>
      <c r="AO686" t="s">
        <v>74</v>
      </c>
      <c r="AP686" t="s">
        <v>13147</v>
      </c>
      <c r="AQ686" t="s">
        <v>74</v>
      </c>
      <c r="AR686" t="s">
        <v>13148</v>
      </c>
      <c r="AS686" t="s">
        <v>13149</v>
      </c>
      <c r="AT686" t="s">
        <v>4645</v>
      </c>
      <c r="AU686">
        <v>2022</v>
      </c>
      <c r="AV686">
        <v>14</v>
      </c>
      <c r="AW686">
        <v>2</v>
      </c>
      <c r="AX686" t="s">
        <v>74</v>
      </c>
      <c r="AY686" t="s">
        <v>74</v>
      </c>
      <c r="AZ686" t="s">
        <v>74</v>
      </c>
      <c r="BA686" t="s">
        <v>74</v>
      </c>
      <c r="BB686" t="s">
        <v>74</v>
      </c>
      <c r="BC686" t="s">
        <v>74</v>
      </c>
      <c r="BD686">
        <v>203</v>
      </c>
      <c r="BE686" t="s">
        <v>13150</v>
      </c>
      <c r="BF686" t="str">
        <f>HYPERLINK("http://dx.doi.org/10.3390/w14020203","http://dx.doi.org/10.3390/w14020203")</f>
        <v>http://dx.doi.org/10.3390/w14020203</v>
      </c>
      <c r="BG686" t="s">
        <v>74</v>
      </c>
      <c r="BH686" t="s">
        <v>74</v>
      </c>
      <c r="BI686">
        <v>14</v>
      </c>
      <c r="BJ686" t="s">
        <v>13151</v>
      </c>
      <c r="BK686" t="s">
        <v>103</v>
      </c>
      <c r="BL686" t="s">
        <v>13152</v>
      </c>
      <c r="BM686" t="s">
        <v>13153</v>
      </c>
      <c r="BN686" t="s">
        <v>74</v>
      </c>
      <c r="BO686" t="s">
        <v>445</v>
      </c>
      <c r="BP686" t="s">
        <v>74</v>
      </c>
      <c r="BQ686" t="s">
        <v>74</v>
      </c>
      <c r="BR686" t="s">
        <v>106</v>
      </c>
      <c r="BS686" t="s">
        <v>13154</v>
      </c>
      <c r="BT686" t="str">
        <f>HYPERLINK("https%3A%2F%2Fwww.webofscience.com%2Fwos%2Fwoscc%2Ffull-record%2FWOS:000758806200001","View Full Record in Web of Science")</f>
        <v>View Full Record in Web of Science</v>
      </c>
    </row>
    <row r="687" spans="1:72" x14ac:dyDescent="0.15">
      <c r="A687" t="s">
        <v>72</v>
      </c>
      <c r="B687" t="s">
        <v>13155</v>
      </c>
      <c r="C687" t="s">
        <v>74</v>
      </c>
      <c r="D687" t="s">
        <v>74</v>
      </c>
      <c r="E687" t="s">
        <v>74</v>
      </c>
      <c r="F687" t="s">
        <v>13156</v>
      </c>
      <c r="G687" t="s">
        <v>74</v>
      </c>
      <c r="H687" t="s">
        <v>74</v>
      </c>
      <c r="I687" t="s">
        <v>13157</v>
      </c>
      <c r="J687" t="s">
        <v>13134</v>
      </c>
      <c r="K687" t="s">
        <v>74</v>
      </c>
      <c r="L687" t="s">
        <v>74</v>
      </c>
      <c r="M687" t="s">
        <v>78</v>
      </c>
      <c r="N687" t="s">
        <v>79</v>
      </c>
      <c r="O687" t="s">
        <v>74</v>
      </c>
      <c r="P687" t="s">
        <v>74</v>
      </c>
      <c r="Q687" t="s">
        <v>74</v>
      </c>
      <c r="R687" t="s">
        <v>74</v>
      </c>
      <c r="S687" t="s">
        <v>74</v>
      </c>
      <c r="T687" t="s">
        <v>13158</v>
      </c>
      <c r="U687" t="s">
        <v>13159</v>
      </c>
      <c r="V687" t="s">
        <v>13160</v>
      </c>
      <c r="W687" t="s">
        <v>13161</v>
      </c>
      <c r="X687" t="s">
        <v>13162</v>
      </c>
      <c r="Y687" t="s">
        <v>13163</v>
      </c>
      <c r="Z687" t="s">
        <v>13164</v>
      </c>
      <c r="AA687" t="s">
        <v>13165</v>
      </c>
      <c r="AB687" t="s">
        <v>13166</v>
      </c>
      <c r="AC687" t="s">
        <v>13167</v>
      </c>
      <c r="AD687" t="s">
        <v>13168</v>
      </c>
      <c r="AE687" t="s">
        <v>13169</v>
      </c>
      <c r="AF687" t="s">
        <v>74</v>
      </c>
      <c r="AG687">
        <v>22</v>
      </c>
      <c r="AH687">
        <v>2</v>
      </c>
      <c r="AI687">
        <v>2</v>
      </c>
      <c r="AJ687">
        <v>3</v>
      </c>
      <c r="AK687">
        <v>15</v>
      </c>
      <c r="AL687" t="s">
        <v>2632</v>
      </c>
      <c r="AM687" t="s">
        <v>2633</v>
      </c>
      <c r="AN687" t="s">
        <v>2634</v>
      </c>
      <c r="AO687" t="s">
        <v>74</v>
      </c>
      <c r="AP687" t="s">
        <v>13147</v>
      </c>
      <c r="AQ687" t="s">
        <v>74</v>
      </c>
      <c r="AR687" t="s">
        <v>13148</v>
      </c>
      <c r="AS687" t="s">
        <v>13149</v>
      </c>
      <c r="AT687" t="s">
        <v>4645</v>
      </c>
      <c r="AU687">
        <v>2022</v>
      </c>
      <c r="AV687">
        <v>14</v>
      </c>
      <c r="AW687">
        <v>2</v>
      </c>
      <c r="AX687" t="s">
        <v>74</v>
      </c>
      <c r="AY687" t="s">
        <v>74</v>
      </c>
      <c r="AZ687" t="s">
        <v>74</v>
      </c>
      <c r="BA687" t="s">
        <v>74</v>
      </c>
      <c r="BB687" t="s">
        <v>74</v>
      </c>
      <c r="BC687" t="s">
        <v>74</v>
      </c>
      <c r="BD687">
        <v>252</v>
      </c>
      <c r="BE687" t="s">
        <v>13170</v>
      </c>
      <c r="BF687" t="str">
        <f>HYPERLINK("http://dx.doi.org/10.3390/w14020252","http://dx.doi.org/10.3390/w14020252")</f>
        <v>http://dx.doi.org/10.3390/w14020252</v>
      </c>
      <c r="BG687" t="s">
        <v>74</v>
      </c>
      <c r="BH687" t="s">
        <v>74</v>
      </c>
      <c r="BI687">
        <v>11</v>
      </c>
      <c r="BJ687" t="s">
        <v>13151</v>
      </c>
      <c r="BK687" t="s">
        <v>103</v>
      </c>
      <c r="BL687" t="s">
        <v>13152</v>
      </c>
      <c r="BM687" t="s">
        <v>13171</v>
      </c>
      <c r="BN687" t="s">
        <v>74</v>
      </c>
      <c r="BO687" t="s">
        <v>445</v>
      </c>
      <c r="BP687" t="s">
        <v>74</v>
      </c>
      <c r="BQ687" t="s">
        <v>74</v>
      </c>
      <c r="BR687" t="s">
        <v>106</v>
      </c>
      <c r="BS687" t="s">
        <v>13172</v>
      </c>
      <c r="BT687" t="str">
        <f>HYPERLINK("https%3A%2F%2Fwww.webofscience.com%2Fwos%2Fwoscc%2Ffull-record%2FWOS:000757560700001","View Full Record in Web of Science")</f>
        <v>View Full Record in Web of Science</v>
      </c>
    </row>
    <row r="688" spans="1:72" x14ac:dyDescent="0.15">
      <c r="A688" t="s">
        <v>72</v>
      </c>
      <c r="B688" t="s">
        <v>13173</v>
      </c>
      <c r="C688" t="s">
        <v>74</v>
      </c>
      <c r="D688" t="s">
        <v>74</v>
      </c>
      <c r="E688" t="s">
        <v>74</v>
      </c>
      <c r="F688" t="s">
        <v>13174</v>
      </c>
      <c r="G688" t="s">
        <v>74</v>
      </c>
      <c r="H688" t="s">
        <v>74</v>
      </c>
      <c r="I688" t="s">
        <v>13175</v>
      </c>
      <c r="J688" t="s">
        <v>11113</v>
      </c>
      <c r="K688" t="s">
        <v>74</v>
      </c>
      <c r="L688" t="s">
        <v>74</v>
      </c>
      <c r="M688" t="s">
        <v>78</v>
      </c>
      <c r="N688" t="s">
        <v>79</v>
      </c>
      <c r="O688" t="s">
        <v>74</v>
      </c>
      <c r="P688" t="s">
        <v>74</v>
      </c>
      <c r="Q688" t="s">
        <v>74</v>
      </c>
      <c r="R688" t="s">
        <v>74</v>
      </c>
      <c r="S688" t="s">
        <v>74</v>
      </c>
      <c r="T688" t="s">
        <v>13176</v>
      </c>
      <c r="U688" t="s">
        <v>13177</v>
      </c>
      <c r="V688" t="s">
        <v>13178</v>
      </c>
      <c r="W688" t="s">
        <v>13179</v>
      </c>
      <c r="X688" t="s">
        <v>13180</v>
      </c>
      <c r="Y688" t="s">
        <v>13181</v>
      </c>
      <c r="Z688" t="s">
        <v>13182</v>
      </c>
      <c r="AA688" t="s">
        <v>13183</v>
      </c>
      <c r="AB688" t="s">
        <v>13184</v>
      </c>
      <c r="AC688" t="s">
        <v>13185</v>
      </c>
      <c r="AD688" t="s">
        <v>13186</v>
      </c>
      <c r="AE688" t="s">
        <v>13187</v>
      </c>
      <c r="AF688" t="s">
        <v>74</v>
      </c>
      <c r="AG688">
        <v>52</v>
      </c>
      <c r="AH688">
        <v>5</v>
      </c>
      <c r="AI688">
        <v>5</v>
      </c>
      <c r="AJ688">
        <v>2</v>
      </c>
      <c r="AK688">
        <v>10</v>
      </c>
      <c r="AL688" t="s">
        <v>11119</v>
      </c>
      <c r="AM688" t="s">
        <v>11120</v>
      </c>
      <c r="AN688" t="s">
        <v>11121</v>
      </c>
      <c r="AO688" t="s">
        <v>11122</v>
      </c>
      <c r="AP688" t="s">
        <v>11123</v>
      </c>
      <c r="AQ688" t="s">
        <v>74</v>
      </c>
      <c r="AR688" t="s">
        <v>11124</v>
      </c>
      <c r="AS688" t="s">
        <v>11125</v>
      </c>
      <c r="AT688" t="s">
        <v>74</v>
      </c>
      <c r="AU688">
        <v>2022</v>
      </c>
      <c r="AV688">
        <v>94</v>
      </c>
      <c r="AW688" t="s">
        <v>74</v>
      </c>
      <c r="AX688" t="s">
        <v>74</v>
      </c>
      <c r="AY688">
        <v>1</v>
      </c>
      <c r="AZ688" t="s">
        <v>74</v>
      </c>
      <c r="BA688" t="s">
        <v>74</v>
      </c>
      <c r="BB688" t="s">
        <v>74</v>
      </c>
      <c r="BC688" t="s">
        <v>74</v>
      </c>
      <c r="BD688" t="s">
        <v>13188</v>
      </c>
      <c r="BE688" t="s">
        <v>13189</v>
      </c>
      <c r="BF688" t="str">
        <f>HYPERLINK("http://dx.doi.org/10.1590/0001-3765202120210625","http://dx.doi.org/10.1590/0001-3765202120210625")</f>
        <v>http://dx.doi.org/10.1590/0001-3765202120210625</v>
      </c>
      <c r="BG688" t="s">
        <v>74</v>
      </c>
      <c r="BH688" t="s">
        <v>74</v>
      </c>
      <c r="BI688">
        <v>20</v>
      </c>
      <c r="BJ688" t="s">
        <v>289</v>
      </c>
      <c r="BK688" t="s">
        <v>103</v>
      </c>
      <c r="BL688" t="s">
        <v>290</v>
      </c>
      <c r="BM688" t="s">
        <v>13190</v>
      </c>
      <c r="BN688">
        <v>35170671</v>
      </c>
      <c r="BO688" t="s">
        <v>445</v>
      </c>
      <c r="BP688" t="s">
        <v>74</v>
      </c>
      <c r="BQ688" t="s">
        <v>74</v>
      </c>
      <c r="BR688" t="s">
        <v>106</v>
      </c>
      <c r="BS688" t="s">
        <v>13191</v>
      </c>
      <c r="BT688" t="str">
        <f>HYPERLINK("https%3A%2F%2Fwww.webofscience.com%2Fwos%2Fwoscc%2Ffull-record%2FWOS:000759531000001","View Full Record in Web of Science")</f>
        <v>View Full Record in Web of Science</v>
      </c>
    </row>
    <row r="689" spans="1:72" x14ac:dyDescent="0.15">
      <c r="A689" t="s">
        <v>72</v>
      </c>
      <c r="B689" t="s">
        <v>13192</v>
      </c>
      <c r="C689" t="s">
        <v>74</v>
      </c>
      <c r="D689" t="s">
        <v>74</v>
      </c>
      <c r="E689" t="s">
        <v>74</v>
      </c>
      <c r="F689" t="s">
        <v>13193</v>
      </c>
      <c r="G689" t="s">
        <v>74</v>
      </c>
      <c r="H689" t="s">
        <v>74</v>
      </c>
      <c r="I689" t="s">
        <v>13194</v>
      </c>
      <c r="J689" t="s">
        <v>3880</v>
      </c>
      <c r="K689" t="s">
        <v>74</v>
      </c>
      <c r="L689" t="s">
        <v>74</v>
      </c>
      <c r="M689" t="s">
        <v>78</v>
      </c>
      <c r="N689" t="s">
        <v>79</v>
      </c>
      <c r="O689" t="s">
        <v>74</v>
      </c>
      <c r="P689" t="s">
        <v>74</v>
      </c>
      <c r="Q689" t="s">
        <v>74</v>
      </c>
      <c r="R689" t="s">
        <v>74</v>
      </c>
      <c r="S689" t="s">
        <v>74</v>
      </c>
      <c r="T689" t="s">
        <v>13195</v>
      </c>
      <c r="U689" t="s">
        <v>13196</v>
      </c>
      <c r="V689" t="s">
        <v>13197</v>
      </c>
      <c r="W689" t="s">
        <v>13198</v>
      </c>
      <c r="X689" t="s">
        <v>2987</v>
      </c>
      <c r="Y689" t="s">
        <v>13199</v>
      </c>
      <c r="Z689" t="s">
        <v>13200</v>
      </c>
      <c r="AA689" t="s">
        <v>13201</v>
      </c>
      <c r="AB689" t="s">
        <v>13202</v>
      </c>
      <c r="AC689" t="s">
        <v>13203</v>
      </c>
      <c r="AD689" t="s">
        <v>13204</v>
      </c>
      <c r="AE689" t="s">
        <v>13205</v>
      </c>
      <c r="AF689" t="s">
        <v>74</v>
      </c>
      <c r="AG689">
        <v>46</v>
      </c>
      <c r="AH689">
        <v>4</v>
      </c>
      <c r="AI689">
        <v>4</v>
      </c>
      <c r="AJ689">
        <v>1</v>
      </c>
      <c r="AK689">
        <v>7</v>
      </c>
      <c r="AL689" t="s">
        <v>2632</v>
      </c>
      <c r="AM689" t="s">
        <v>2633</v>
      </c>
      <c r="AN689" t="s">
        <v>2634</v>
      </c>
      <c r="AO689" t="s">
        <v>74</v>
      </c>
      <c r="AP689" t="s">
        <v>3890</v>
      </c>
      <c r="AQ689" t="s">
        <v>74</v>
      </c>
      <c r="AR689" t="s">
        <v>3891</v>
      </c>
      <c r="AS689" t="s">
        <v>3892</v>
      </c>
      <c r="AT689" t="s">
        <v>4645</v>
      </c>
      <c r="AU689">
        <v>2022</v>
      </c>
      <c r="AV689">
        <v>13</v>
      </c>
      <c r="AW689">
        <v>1</v>
      </c>
      <c r="AX689" t="s">
        <v>74</v>
      </c>
      <c r="AY689" t="s">
        <v>74</v>
      </c>
      <c r="AZ689" t="s">
        <v>74</v>
      </c>
      <c r="BA689" t="s">
        <v>74</v>
      </c>
      <c r="BB689" t="s">
        <v>74</v>
      </c>
      <c r="BC689" t="s">
        <v>74</v>
      </c>
      <c r="BD689">
        <v>148</v>
      </c>
      <c r="BE689" t="s">
        <v>13206</v>
      </c>
      <c r="BF689" t="str">
        <f>HYPERLINK("http://dx.doi.org/10.3390/atmos13010148","http://dx.doi.org/10.3390/atmos13010148")</f>
        <v>http://dx.doi.org/10.3390/atmos13010148</v>
      </c>
      <c r="BG689" t="s">
        <v>74</v>
      </c>
      <c r="BH689" t="s">
        <v>74</v>
      </c>
      <c r="BI689">
        <v>20</v>
      </c>
      <c r="BJ689" t="s">
        <v>129</v>
      </c>
      <c r="BK689" t="s">
        <v>103</v>
      </c>
      <c r="BL689" t="s">
        <v>130</v>
      </c>
      <c r="BM689" t="s">
        <v>13207</v>
      </c>
      <c r="BN689" t="s">
        <v>74</v>
      </c>
      <c r="BO689" t="s">
        <v>211</v>
      </c>
      <c r="BP689" t="s">
        <v>74</v>
      </c>
      <c r="BQ689" t="s">
        <v>74</v>
      </c>
      <c r="BR689" t="s">
        <v>106</v>
      </c>
      <c r="BS689" t="s">
        <v>13208</v>
      </c>
      <c r="BT689" t="str">
        <f>HYPERLINK("https%3A%2F%2Fwww.webofscience.com%2Fwos%2Fwoscc%2Ffull-record%2FWOS:000758455900001","View Full Record in Web of Science")</f>
        <v>View Full Record in Web of Science</v>
      </c>
    </row>
    <row r="690" spans="1:72" x14ac:dyDescent="0.15">
      <c r="A690" t="s">
        <v>72</v>
      </c>
      <c r="B690" t="s">
        <v>13209</v>
      </c>
      <c r="C690" t="s">
        <v>74</v>
      </c>
      <c r="D690" t="s">
        <v>74</v>
      </c>
      <c r="E690" t="s">
        <v>74</v>
      </c>
      <c r="F690" t="s">
        <v>13210</v>
      </c>
      <c r="G690" t="s">
        <v>74</v>
      </c>
      <c r="H690" t="s">
        <v>74</v>
      </c>
      <c r="I690" t="s">
        <v>13211</v>
      </c>
      <c r="J690" t="s">
        <v>9737</v>
      </c>
      <c r="K690" t="s">
        <v>74</v>
      </c>
      <c r="L690" t="s">
        <v>74</v>
      </c>
      <c r="M690" t="s">
        <v>78</v>
      </c>
      <c r="N690" t="s">
        <v>79</v>
      </c>
      <c r="O690" t="s">
        <v>74</v>
      </c>
      <c r="P690" t="s">
        <v>74</v>
      </c>
      <c r="Q690" t="s">
        <v>74</v>
      </c>
      <c r="R690" t="s">
        <v>74</v>
      </c>
      <c r="S690" t="s">
        <v>74</v>
      </c>
      <c r="T690" t="s">
        <v>13212</v>
      </c>
      <c r="U690" t="s">
        <v>13213</v>
      </c>
      <c r="V690" t="s">
        <v>13214</v>
      </c>
      <c r="W690" t="s">
        <v>13215</v>
      </c>
      <c r="X690" t="s">
        <v>13216</v>
      </c>
      <c r="Y690" t="s">
        <v>13217</v>
      </c>
      <c r="Z690" t="s">
        <v>13218</v>
      </c>
      <c r="AA690" t="s">
        <v>13219</v>
      </c>
      <c r="AB690" t="s">
        <v>13220</v>
      </c>
      <c r="AC690" t="s">
        <v>13221</v>
      </c>
      <c r="AD690" t="s">
        <v>13222</v>
      </c>
      <c r="AE690" t="s">
        <v>13223</v>
      </c>
      <c r="AF690" t="s">
        <v>74</v>
      </c>
      <c r="AG690">
        <v>40</v>
      </c>
      <c r="AH690">
        <v>6</v>
      </c>
      <c r="AI690">
        <v>6</v>
      </c>
      <c r="AJ690">
        <v>1</v>
      </c>
      <c r="AK690">
        <v>10</v>
      </c>
      <c r="AL690" t="s">
        <v>1667</v>
      </c>
      <c r="AM690" t="s">
        <v>1668</v>
      </c>
      <c r="AN690" t="s">
        <v>1669</v>
      </c>
      <c r="AO690" t="s">
        <v>9750</v>
      </c>
      <c r="AP690" t="s">
        <v>9751</v>
      </c>
      <c r="AQ690" t="s">
        <v>74</v>
      </c>
      <c r="AR690" t="s">
        <v>9752</v>
      </c>
      <c r="AS690" t="s">
        <v>9753</v>
      </c>
      <c r="AT690" t="s">
        <v>74</v>
      </c>
      <c r="AU690">
        <v>2022</v>
      </c>
      <c r="AV690">
        <v>15</v>
      </c>
      <c r="AW690" t="s">
        <v>74</v>
      </c>
      <c r="AX690" t="s">
        <v>74</v>
      </c>
      <c r="AY690" t="s">
        <v>74</v>
      </c>
      <c r="AZ690" t="s">
        <v>74</v>
      </c>
      <c r="BA690" t="s">
        <v>74</v>
      </c>
      <c r="BB690">
        <v>1724</v>
      </c>
      <c r="BC690">
        <v>1743</v>
      </c>
      <c r="BD690" t="s">
        <v>74</v>
      </c>
      <c r="BE690" t="s">
        <v>13224</v>
      </c>
      <c r="BF690" t="str">
        <f>HYPERLINK("http://dx.doi.org/10.1109/JSTARS.2022.3147430","http://dx.doi.org/10.1109/JSTARS.2022.3147430")</f>
        <v>http://dx.doi.org/10.1109/JSTARS.2022.3147430</v>
      </c>
      <c r="BG690" t="s">
        <v>74</v>
      </c>
      <c r="BH690" t="s">
        <v>74</v>
      </c>
      <c r="BI690">
        <v>20</v>
      </c>
      <c r="BJ690" t="s">
        <v>9755</v>
      </c>
      <c r="BK690" t="s">
        <v>103</v>
      </c>
      <c r="BL690" t="s">
        <v>9756</v>
      </c>
      <c r="BM690" t="s">
        <v>13225</v>
      </c>
      <c r="BN690" t="s">
        <v>74</v>
      </c>
      <c r="BO690" t="s">
        <v>445</v>
      </c>
      <c r="BP690" t="s">
        <v>74</v>
      </c>
      <c r="BQ690" t="s">
        <v>74</v>
      </c>
      <c r="BR690" t="s">
        <v>106</v>
      </c>
      <c r="BS690" t="s">
        <v>13226</v>
      </c>
      <c r="BT690" t="str">
        <f>HYPERLINK("https%3A%2F%2Fwww.webofscience.com%2Fwos%2Fwoscc%2Ffull-record%2FWOS:000757849300001","View Full Record in Web of Science")</f>
        <v>View Full Record in Web of Science</v>
      </c>
    </row>
    <row r="691" spans="1:72" x14ac:dyDescent="0.15">
      <c r="A691" t="s">
        <v>72</v>
      </c>
      <c r="B691" t="s">
        <v>13227</v>
      </c>
      <c r="C691" t="s">
        <v>74</v>
      </c>
      <c r="D691" t="s">
        <v>74</v>
      </c>
      <c r="E691" t="s">
        <v>74</v>
      </c>
      <c r="F691" t="s">
        <v>13228</v>
      </c>
      <c r="G691" t="s">
        <v>74</v>
      </c>
      <c r="H691" t="s">
        <v>74</v>
      </c>
      <c r="I691" t="s">
        <v>13229</v>
      </c>
      <c r="J691" t="s">
        <v>3880</v>
      </c>
      <c r="K691" t="s">
        <v>74</v>
      </c>
      <c r="L691" t="s">
        <v>74</v>
      </c>
      <c r="M691" t="s">
        <v>78</v>
      </c>
      <c r="N691" t="s">
        <v>79</v>
      </c>
      <c r="O691" t="s">
        <v>74</v>
      </c>
      <c r="P691" t="s">
        <v>74</v>
      </c>
      <c r="Q691" t="s">
        <v>74</v>
      </c>
      <c r="R691" t="s">
        <v>74</v>
      </c>
      <c r="S691" t="s">
        <v>74</v>
      </c>
      <c r="T691" t="s">
        <v>13230</v>
      </c>
      <c r="U691" t="s">
        <v>13231</v>
      </c>
      <c r="V691" t="s">
        <v>13232</v>
      </c>
      <c r="W691" t="s">
        <v>13233</v>
      </c>
      <c r="X691" t="s">
        <v>13234</v>
      </c>
      <c r="Y691" t="s">
        <v>13235</v>
      </c>
      <c r="Z691" t="s">
        <v>13236</v>
      </c>
      <c r="AA691" t="s">
        <v>74</v>
      </c>
      <c r="AB691" t="s">
        <v>74</v>
      </c>
      <c r="AC691" t="s">
        <v>74</v>
      </c>
      <c r="AD691" t="s">
        <v>74</v>
      </c>
      <c r="AE691" t="s">
        <v>74</v>
      </c>
      <c r="AF691" t="s">
        <v>74</v>
      </c>
      <c r="AG691">
        <v>53</v>
      </c>
      <c r="AH691">
        <v>1</v>
      </c>
      <c r="AI691">
        <v>1</v>
      </c>
      <c r="AJ691">
        <v>1</v>
      </c>
      <c r="AK691">
        <v>12</v>
      </c>
      <c r="AL691" t="s">
        <v>2632</v>
      </c>
      <c r="AM691" t="s">
        <v>2633</v>
      </c>
      <c r="AN691" t="s">
        <v>2634</v>
      </c>
      <c r="AO691" t="s">
        <v>74</v>
      </c>
      <c r="AP691" t="s">
        <v>3890</v>
      </c>
      <c r="AQ691" t="s">
        <v>74</v>
      </c>
      <c r="AR691" t="s">
        <v>3891</v>
      </c>
      <c r="AS691" t="s">
        <v>3892</v>
      </c>
      <c r="AT691" t="s">
        <v>4645</v>
      </c>
      <c r="AU691">
        <v>2022</v>
      </c>
      <c r="AV691">
        <v>13</v>
      </c>
      <c r="AW691">
        <v>1</v>
      </c>
      <c r="AX691" t="s">
        <v>74</v>
      </c>
      <c r="AY691" t="s">
        <v>74</v>
      </c>
      <c r="AZ691" t="s">
        <v>74</v>
      </c>
      <c r="BA691" t="s">
        <v>74</v>
      </c>
      <c r="BB691" t="s">
        <v>74</v>
      </c>
      <c r="BC691" t="s">
        <v>74</v>
      </c>
      <c r="BD691">
        <v>147</v>
      </c>
      <c r="BE691" t="s">
        <v>13237</v>
      </c>
      <c r="BF691" t="str">
        <f>HYPERLINK("http://dx.doi.org/10.3390/atmos13010147","http://dx.doi.org/10.3390/atmos13010147")</f>
        <v>http://dx.doi.org/10.3390/atmos13010147</v>
      </c>
      <c r="BG691" t="s">
        <v>74</v>
      </c>
      <c r="BH691" t="s">
        <v>74</v>
      </c>
      <c r="BI691">
        <v>16</v>
      </c>
      <c r="BJ691" t="s">
        <v>129</v>
      </c>
      <c r="BK691" t="s">
        <v>103</v>
      </c>
      <c r="BL691" t="s">
        <v>130</v>
      </c>
      <c r="BM691" t="s">
        <v>13238</v>
      </c>
      <c r="BN691" t="s">
        <v>74</v>
      </c>
      <c r="BO691" t="s">
        <v>445</v>
      </c>
      <c r="BP691" t="s">
        <v>74</v>
      </c>
      <c r="BQ691" t="s">
        <v>74</v>
      </c>
      <c r="BR691" t="s">
        <v>106</v>
      </c>
      <c r="BS691" t="s">
        <v>13239</v>
      </c>
      <c r="BT691" t="str">
        <f>HYPERLINK("https%3A%2F%2Fwww.webofscience.com%2Fwos%2Fwoscc%2Ffull-record%2FWOS:000757258000001","View Full Record in Web of Science")</f>
        <v>View Full Record in Web of Science</v>
      </c>
    </row>
    <row r="692" spans="1:72" x14ac:dyDescent="0.15">
      <c r="A692" t="s">
        <v>72</v>
      </c>
      <c r="B692" t="s">
        <v>13240</v>
      </c>
      <c r="C692" t="s">
        <v>74</v>
      </c>
      <c r="D692" t="s">
        <v>74</v>
      </c>
      <c r="E692" t="s">
        <v>74</v>
      </c>
      <c r="F692" t="s">
        <v>13241</v>
      </c>
      <c r="G692" t="s">
        <v>74</v>
      </c>
      <c r="H692" t="s">
        <v>74</v>
      </c>
      <c r="I692" t="s">
        <v>13242</v>
      </c>
      <c r="J692" t="s">
        <v>3613</v>
      </c>
      <c r="K692" t="s">
        <v>74</v>
      </c>
      <c r="L692" t="s">
        <v>74</v>
      </c>
      <c r="M692" t="s">
        <v>78</v>
      </c>
      <c r="N692" t="s">
        <v>79</v>
      </c>
      <c r="O692" t="s">
        <v>74</v>
      </c>
      <c r="P692" t="s">
        <v>74</v>
      </c>
      <c r="Q692" t="s">
        <v>74</v>
      </c>
      <c r="R692" t="s">
        <v>74</v>
      </c>
      <c r="S692" t="s">
        <v>74</v>
      </c>
      <c r="T692" t="s">
        <v>13243</v>
      </c>
      <c r="U692" t="s">
        <v>13244</v>
      </c>
      <c r="V692" t="s">
        <v>13245</v>
      </c>
      <c r="W692" t="s">
        <v>13246</v>
      </c>
      <c r="X692" t="s">
        <v>13247</v>
      </c>
      <c r="Y692" t="s">
        <v>13248</v>
      </c>
      <c r="Z692" t="s">
        <v>13249</v>
      </c>
      <c r="AA692" t="s">
        <v>13250</v>
      </c>
      <c r="AB692" t="s">
        <v>13251</v>
      </c>
      <c r="AC692" t="s">
        <v>13252</v>
      </c>
      <c r="AD692" t="s">
        <v>13253</v>
      </c>
      <c r="AE692" t="s">
        <v>13252</v>
      </c>
      <c r="AF692" t="s">
        <v>74</v>
      </c>
      <c r="AG692">
        <v>128</v>
      </c>
      <c r="AH692">
        <v>3</v>
      </c>
      <c r="AI692">
        <v>4</v>
      </c>
      <c r="AJ692">
        <v>5</v>
      </c>
      <c r="AK692">
        <v>23</v>
      </c>
      <c r="AL692" t="s">
        <v>171</v>
      </c>
      <c r="AM692" t="s">
        <v>172</v>
      </c>
      <c r="AN692" t="s">
        <v>173</v>
      </c>
      <c r="AO692" t="s">
        <v>3623</v>
      </c>
      <c r="AP692" t="s">
        <v>74</v>
      </c>
      <c r="AQ692" t="s">
        <v>74</v>
      </c>
      <c r="AR692" t="s">
        <v>3624</v>
      </c>
      <c r="AS692" t="s">
        <v>3625</v>
      </c>
      <c r="AT692" t="s">
        <v>4645</v>
      </c>
      <c r="AU692">
        <v>2022</v>
      </c>
      <c r="AV692">
        <v>12</v>
      </c>
      <c r="AW692">
        <v>1</v>
      </c>
      <c r="AX692" t="s">
        <v>74</v>
      </c>
      <c r="AY692" t="s">
        <v>74</v>
      </c>
      <c r="AZ692" t="s">
        <v>74</v>
      </c>
      <c r="BA692" t="s">
        <v>74</v>
      </c>
      <c r="BB692" t="s">
        <v>74</v>
      </c>
      <c r="BC692" t="s">
        <v>74</v>
      </c>
      <c r="BD692" t="s">
        <v>13254</v>
      </c>
      <c r="BE692" t="s">
        <v>13255</v>
      </c>
      <c r="BF692" t="str">
        <f>HYPERLINK("http://dx.doi.org/10.1002/ece3.8457","http://dx.doi.org/10.1002/ece3.8457")</f>
        <v>http://dx.doi.org/10.1002/ece3.8457</v>
      </c>
      <c r="BG692" t="s">
        <v>74</v>
      </c>
      <c r="BH692" t="s">
        <v>74</v>
      </c>
      <c r="BI692">
        <v>16</v>
      </c>
      <c r="BJ692" t="s">
        <v>3628</v>
      </c>
      <c r="BK692" t="s">
        <v>1034</v>
      </c>
      <c r="BL692" t="s">
        <v>3629</v>
      </c>
      <c r="BM692" t="s">
        <v>13256</v>
      </c>
      <c r="BN692">
        <v>35127010</v>
      </c>
      <c r="BO692" t="s">
        <v>640</v>
      </c>
      <c r="BP692" t="s">
        <v>74</v>
      </c>
      <c r="BQ692" t="s">
        <v>74</v>
      </c>
      <c r="BR692" t="s">
        <v>106</v>
      </c>
      <c r="BS692" t="s">
        <v>13257</v>
      </c>
      <c r="BT692" t="str">
        <f>HYPERLINK("https%3A%2F%2Fwww.webofscience.com%2Fwos%2Fwoscc%2Ffull-record%2FWOS:000747845400005","View Full Record in Web of Science")</f>
        <v>View Full Record in Web of Science</v>
      </c>
    </row>
    <row r="693" spans="1:72" x14ac:dyDescent="0.15">
      <c r="A693" t="s">
        <v>72</v>
      </c>
      <c r="B693" t="s">
        <v>13258</v>
      </c>
      <c r="C693" t="s">
        <v>74</v>
      </c>
      <c r="D693" t="s">
        <v>74</v>
      </c>
      <c r="E693" t="s">
        <v>74</v>
      </c>
      <c r="F693" t="s">
        <v>13259</v>
      </c>
      <c r="G693" t="s">
        <v>74</v>
      </c>
      <c r="H693" t="s">
        <v>74</v>
      </c>
      <c r="I693" t="s">
        <v>13260</v>
      </c>
      <c r="J693" t="s">
        <v>13261</v>
      </c>
      <c r="K693" t="s">
        <v>74</v>
      </c>
      <c r="L693" t="s">
        <v>74</v>
      </c>
      <c r="M693" t="s">
        <v>78</v>
      </c>
      <c r="N693" t="s">
        <v>79</v>
      </c>
      <c r="O693" t="s">
        <v>74</v>
      </c>
      <c r="P693" t="s">
        <v>74</v>
      </c>
      <c r="Q693" t="s">
        <v>74</v>
      </c>
      <c r="R693" t="s">
        <v>74</v>
      </c>
      <c r="S693" t="s">
        <v>74</v>
      </c>
      <c r="T693" t="s">
        <v>13262</v>
      </c>
      <c r="U693" t="s">
        <v>13263</v>
      </c>
      <c r="V693" t="s">
        <v>13264</v>
      </c>
      <c r="W693" t="s">
        <v>13265</v>
      </c>
      <c r="X693" t="s">
        <v>13266</v>
      </c>
      <c r="Y693" t="s">
        <v>13267</v>
      </c>
      <c r="Z693" t="s">
        <v>13268</v>
      </c>
      <c r="AA693" t="s">
        <v>13269</v>
      </c>
      <c r="AB693" t="s">
        <v>13270</v>
      </c>
      <c r="AC693" t="s">
        <v>74</v>
      </c>
      <c r="AD693" t="s">
        <v>74</v>
      </c>
      <c r="AE693" t="s">
        <v>74</v>
      </c>
      <c r="AF693" t="s">
        <v>74</v>
      </c>
      <c r="AG693">
        <v>48</v>
      </c>
      <c r="AH693">
        <v>9</v>
      </c>
      <c r="AI693">
        <v>9</v>
      </c>
      <c r="AJ693">
        <v>3</v>
      </c>
      <c r="AK693">
        <v>23</v>
      </c>
      <c r="AL693" t="s">
        <v>2632</v>
      </c>
      <c r="AM693" t="s">
        <v>2633</v>
      </c>
      <c r="AN693" t="s">
        <v>2634</v>
      </c>
      <c r="AO693" t="s">
        <v>74</v>
      </c>
      <c r="AP693" t="s">
        <v>13271</v>
      </c>
      <c r="AQ693" t="s">
        <v>74</v>
      </c>
      <c r="AR693" t="s">
        <v>13272</v>
      </c>
      <c r="AS693" t="s">
        <v>13273</v>
      </c>
      <c r="AT693" t="s">
        <v>4645</v>
      </c>
      <c r="AU693">
        <v>2022</v>
      </c>
      <c r="AV693">
        <v>20</v>
      </c>
      <c r="AW693">
        <v>1</v>
      </c>
      <c r="AX693" t="s">
        <v>74</v>
      </c>
      <c r="AY693" t="s">
        <v>74</v>
      </c>
      <c r="AZ693" t="s">
        <v>74</v>
      </c>
      <c r="BA693" t="s">
        <v>74</v>
      </c>
      <c r="BB693" t="s">
        <v>74</v>
      </c>
      <c r="BC693" t="s">
        <v>74</v>
      </c>
      <c r="BD693">
        <v>34</v>
      </c>
      <c r="BE693" t="s">
        <v>13274</v>
      </c>
      <c r="BF693" t="str">
        <f>HYPERLINK("http://dx.doi.org/10.3390/md20010034","http://dx.doi.org/10.3390/md20010034")</f>
        <v>http://dx.doi.org/10.3390/md20010034</v>
      </c>
      <c r="BG693" t="s">
        <v>74</v>
      </c>
      <c r="BH693" t="s">
        <v>74</v>
      </c>
      <c r="BI693">
        <v>12</v>
      </c>
      <c r="BJ693" t="s">
        <v>7047</v>
      </c>
      <c r="BK693" t="s">
        <v>103</v>
      </c>
      <c r="BL693" t="s">
        <v>7048</v>
      </c>
      <c r="BM693" t="s">
        <v>13275</v>
      </c>
      <c r="BN693">
        <v>35049888</v>
      </c>
      <c r="BO693" t="s">
        <v>211</v>
      </c>
      <c r="BP693" t="s">
        <v>74</v>
      </c>
      <c r="BQ693" t="s">
        <v>74</v>
      </c>
      <c r="BR693" t="s">
        <v>106</v>
      </c>
      <c r="BS693" t="s">
        <v>13276</v>
      </c>
      <c r="BT693" t="str">
        <f>HYPERLINK("https%3A%2F%2Fwww.webofscience.com%2Fwos%2Fwoscc%2Ffull-record%2FWOS:000757034900001","View Full Record in Web of Science")</f>
        <v>View Full Record in Web of Science</v>
      </c>
    </row>
    <row r="694" spans="1:72" x14ac:dyDescent="0.15">
      <c r="A694" t="s">
        <v>72</v>
      </c>
      <c r="B694" t="s">
        <v>13277</v>
      </c>
      <c r="C694" t="s">
        <v>74</v>
      </c>
      <c r="D694" t="s">
        <v>74</v>
      </c>
      <c r="E694" t="s">
        <v>74</v>
      </c>
      <c r="F694" t="s">
        <v>13278</v>
      </c>
      <c r="G694" t="s">
        <v>74</v>
      </c>
      <c r="H694" t="s">
        <v>74</v>
      </c>
      <c r="I694" t="s">
        <v>13279</v>
      </c>
      <c r="J694" t="s">
        <v>13280</v>
      </c>
      <c r="K694" t="s">
        <v>74</v>
      </c>
      <c r="L694" t="s">
        <v>74</v>
      </c>
      <c r="M694" t="s">
        <v>78</v>
      </c>
      <c r="N694" t="s">
        <v>79</v>
      </c>
      <c r="O694" t="s">
        <v>74</v>
      </c>
      <c r="P694" t="s">
        <v>74</v>
      </c>
      <c r="Q694" t="s">
        <v>74</v>
      </c>
      <c r="R694" t="s">
        <v>74</v>
      </c>
      <c r="S694" t="s">
        <v>74</v>
      </c>
      <c r="T694" t="s">
        <v>13281</v>
      </c>
      <c r="U694" t="s">
        <v>13282</v>
      </c>
      <c r="V694" t="s">
        <v>13283</v>
      </c>
      <c r="W694" t="s">
        <v>13284</v>
      </c>
      <c r="X694" t="s">
        <v>13285</v>
      </c>
      <c r="Y694" t="s">
        <v>13286</v>
      </c>
      <c r="Z694" t="s">
        <v>13287</v>
      </c>
      <c r="AA694" t="s">
        <v>13288</v>
      </c>
      <c r="AB694" t="s">
        <v>13289</v>
      </c>
      <c r="AC694" t="s">
        <v>13290</v>
      </c>
      <c r="AD694" t="s">
        <v>13291</v>
      </c>
      <c r="AE694" t="s">
        <v>13292</v>
      </c>
      <c r="AF694" t="s">
        <v>74</v>
      </c>
      <c r="AG694">
        <v>127</v>
      </c>
      <c r="AH694">
        <v>6</v>
      </c>
      <c r="AI694">
        <v>6</v>
      </c>
      <c r="AJ694">
        <v>1</v>
      </c>
      <c r="AK694">
        <v>15</v>
      </c>
      <c r="AL694" t="s">
        <v>605</v>
      </c>
      <c r="AM694" t="s">
        <v>606</v>
      </c>
      <c r="AN694" t="s">
        <v>607</v>
      </c>
      <c r="AO694" t="s">
        <v>13293</v>
      </c>
      <c r="AP694" t="s">
        <v>13294</v>
      </c>
      <c r="AQ694" t="s">
        <v>74</v>
      </c>
      <c r="AR694" t="s">
        <v>13295</v>
      </c>
      <c r="AS694" t="s">
        <v>13296</v>
      </c>
      <c r="AT694" t="s">
        <v>4645</v>
      </c>
      <c r="AU694">
        <v>2022</v>
      </c>
      <c r="AV694">
        <v>58</v>
      </c>
      <c r="AW694">
        <v>1</v>
      </c>
      <c r="AX694" t="s">
        <v>74</v>
      </c>
      <c r="AY694" t="s">
        <v>74</v>
      </c>
      <c r="AZ694" t="s">
        <v>74</v>
      </c>
      <c r="BA694" t="s">
        <v>74</v>
      </c>
      <c r="BB694" t="s">
        <v>74</v>
      </c>
      <c r="BC694" t="s">
        <v>74</v>
      </c>
      <c r="BD694" t="s">
        <v>13297</v>
      </c>
      <c r="BE694" t="s">
        <v>13298</v>
      </c>
      <c r="BF694" t="str">
        <f>HYPERLINK("http://dx.doi.org/10.1029/2020WR029409","http://dx.doi.org/10.1029/2020WR029409")</f>
        <v>http://dx.doi.org/10.1029/2020WR029409</v>
      </c>
      <c r="BG694" t="s">
        <v>74</v>
      </c>
      <c r="BH694" t="s">
        <v>74</v>
      </c>
      <c r="BI694">
        <v>20</v>
      </c>
      <c r="BJ694" t="s">
        <v>13299</v>
      </c>
      <c r="BK694" t="s">
        <v>103</v>
      </c>
      <c r="BL694" t="s">
        <v>13300</v>
      </c>
      <c r="BM694" t="s">
        <v>13301</v>
      </c>
      <c r="BN694" t="s">
        <v>74</v>
      </c>
      <c r="BO694" t="s">
        <v>640</v>
      </c>
      <c r="BP694" t="s">
        <v>74</v>
      </c>
      <c r="BQ694" t="s">
        <v>74</v>
      </c>
      <c r="BR694" t="s">
        <v>106</v>
      </c>
      <c r="BS694" t="s">
        <v>13302</v>
      </c>
      <c r="BT694" t="str">
        <f>HYPERLINK("https%3A%2F%2Fwww.webofscience.com%2Fwos%2Fwoscc%2Ffull-record%2FWOS:000751310200010","View Full Record in Web of Science")</f>
        <v>View Full Record in Web of Science</v>
      </c>
    </row>
    <row r="695" spans="1:72" x14ac:dyDescent="0.15">
      <c r="A695" t="s">
        <v>72</v>
      </c>
      <c r="B695" t="s">
        <v>13303</v>
      </c>
      <c r="C695" t="s">
        <v>74</v>
      </c>
      <c r="D695" t="s">
        <v>74</v>
      </c>
      <c r="E695" t="s">
        <v>74</v>
      </c>
      <c r="F695" t="s">
        <v>13304</v>
      </c>
      <c r="G695" t="s">
        <v>74</v>
      </c>
      <c r="H695" t="s">
        <v>74</v>
      </c>
      <c r="I695" t="s">
        <v>13305</v>
      </c>
      <c r="J695" t="s">
        <v>13306</v>
      </c>
      <c r="K695" t="s">
        <v>74</v>
      </c>
      <c r="L695" t="s">
        <v>74</v>
      </c>
      <c r="M695" t="s">
        <v>78</v>
      </c>
      <c r="N695" t="s">
        <v>79</v>
      </c>
      <c r="O695" t="s">
        <v>74</v>
      </c>
      <c r="P695" t="s">
        <v>74</v>
      </c>
      <c r="Q695" t="s">
        <v>74</v>
      </c>
      <c r="R695" t="s">
        <v>74</v>
      </c>
      <c r="S695" t="s">
        <v>74</v>
      </c>
      <c r="T695" t="s">
        <v>13307</v>
      </c>
      <c r="U695" t="s">
        <v>13308</v>
      </c>
      <c r="V695" t="s">
        <v>13309</v>
      </c>
      <c r="W695" t="s">
        <v>13310</v>
      </c>
      <c r="X695" t="s">
        <v>13311</v>
      </c>
      <c r="Y695" t="s">
        <v>13312</v>
      </c>
      <c r="Z695" t="s">
        <v>13313</v>
      </c>
      <c r="AA695" t="s">
        <v>13314</v>
      </c>
      <c r="AB695" t="s">
        <v>13315</v>
      </c>
      <c r="AC695" t="s">
        <v>13316</v>
      </c>
      <c r="AD695" t="s">
        <v>13317</v>
      </c>
      <c r="AE695" t="s">
        <v>13318</v>
      </c>
      <c r="AF695" t="s">
        <v>74</v>
      </c>
      <c r="AG695">
        <v>86</v>
      </c>
      <c r="AH695">
        <v>10</v>
      </c>
      <c r="AI695">
        <v>11</v>
      </c>
      <c r="AJ695">
        <v>2</v>
      </c>
      <c r="AK695">
        <v>17</v>
      </c>
      <c r="AL695" t="s">
        <v>3255</v>
      </c>
      <c r="AM695" t="s">
        <v>606</v>
      </c>
      <c r="AN695" t="s">
        <v>3256</v>
      </c>
      <c r="AO695" t="s">
        <v>13319</v>
      </c>
      <c r="AP695" t="s">
        <v>13320</v>
      </c>
      <c r="AQ695" t="s">
        <v>74</v>
      </c>
      <c r="AR695" t="s">
        <v>13321</v>
      </c>
      <c r="AS695" t="s">
        <v>13322</v>
      </c>
      <c r="AT695" t="s">
        <v>4645</v>
      </c>
      <c r="AU695">
        <v>2022</v>
      </c>
      <c r="AV695">
        <v>88</v>
      </c>
      <c r="AW695">
        <v>2</v>
      </c>
      <c r="AX695" t="s">
        <v>74</v>
      </c>
      <c r="AY695" t="s">
        <v>74</v>
      </c>
      <c r="AZ695" t="s">
        <v>74</v>
      </c>
      <c r="BA695" t="s">
        <v>74</v>
      </c>
      <c r="BB695" t="s">
        <v>74</v>
      </c>
      <c r="BC695" t="s">
        <v>74</v>
      </c>
      <c r="BD695" t="s">
        <v>13323</v>
      </c>
      <c r="BE695" t="s">
        <v>13324</v>
      </c>
      <c r="BF695" t="str">
        <f>HYPERLINK("http://dx.doi.org/10.1128/AEM.01869-21","http://dx.doi.org/10.1128/AEM.01869-21")</f>
        <v>http://dx.doi.org/10.1128/AEM.01869-21</v>
      </c>
      <c r="BG695" t="s">
        <v>74</v>
      </c>
      <c r="BH695" t="s">
        <v>74</v>
      </c>
      <c r="BI695">
        <v>19</v>
      </c>
      <c r="BJ695" t="s">
        <v>9579</v>
      </c>
      <c r="BK695" t="s">
        <v>103</v>
      </c>
      <c r="BL695" t="s">
        <v>9579</v>
      </c>
      <c r="BM695" t="s">
        <v>13325</v>
      </c>
      <c r="BN695">
        <v>34731056</v>
      </c>
      <c r="BO695" t="s">
        <v>749</v>
      </c>
      <c r="BP695" t="s">
        <v>74</v>
      </c>
      <c r="BQ695" t="s">
        <v>74</v>
      </c>
      <c r="BR695" t="s">
        <v>106</v>
      </c>
      <c r="BS695" t="s">
        <v>13326</v>
      </c>
      <c r="BT695" t="str">
        <f>HYPERLINK("https%3A%2F%2Fwww.webofscience.com%2Fwos%2Fwoscc%2Ffull-record%2FWOS:000748723400021","View Full Record in Web of Science")</f>
        <v>View Full Record in Web of Science</v>
      </c>
    </row>
    <row r="696" spans="1:72" x14ac:dyDescent="0.15">
      <c r="A696" t="s">
        <v>72</v>
      </c>
      <c r="B696" t="s">
        <v>13327</v>
      </c>
      <c r="C696" t="s">
        <v>74</v>
      </c>
      <c r="D696" t="s">
        <v>74</v>
      </c>
      <c r="E696" t="s">
        <v>74</v>
      </c>
      <c r="F696" t="s">
        <v>13328</v>
      </c>
      <c r="G696" t="s">
        <v>74</v>
      </c>
      <c r="H696" t="s">
        <v>74</v>
      </c>
      <c r="I696" t="s">
        <v>13329</v>
      </c>
      <c r="J696" t="s">
        <v>8773</v>
      </c>
      <c r="K696" t="s">
        <v>74</v>
      </c>
      <c r="L696" t="s">
        <v>74</v>
      </c>
      <c r="M696" t="s">
        <v>78</v>
      </c>
      <c r="N696" t="s">
        <v>79</v>
      </c>
      <c r="O696" t="s">
        <v>74</v>
      </c>
      <c r="P696" t="s">
        <v>74</v>
      </c>
      <c r="Q696" t="s">
        <v>74</v>
      </c>
      <c r="R696" t="s">
        <v>74</v>
      </c>
      <c r="S696" t="s">
        <v>74</v>
      </c>
      <c r="T696" t="s">
        <v>13330</v>
      </c>
      <c r="U696" t="s">
        <v>13331</v>
      </c>
      <c r="V696" t="s">
        <v>13332</v>
      </c>
      <c r="W696" t="s">
        <v>13333</v>
      </c>
      <c r="X696" t="s">
        <v>13334</v>
      </c>
      <c r="Y696" t="s">
        <v>13335</v>
      </c>
      <c r="Z696" t="s">
        <v>13336</v>
      </c>
      <c r="AA696" t="s">
        <v>74</v>
      </c>
      <c r="AB696" t="s">
        <v>13337</v>
      </c>
      <c r="AC696" t="s">
        <v>13338</v>
      </c>
      <c r="AD696" t="s">
        <v>13339</v>
      </c>
      <c r="AE696" t="s">
        <v>13340</v>
      </c>
      <c r="AF696" t="s">
        <v>74</v>
      </c>
      <c r="AG696">
        <v>70</v>
      </c>
      <c r="AH696">
        <v>1</v>
      </c>
      <c r="AI696">
        <v>1</v>
      </c>
      <c r="AJ696">
        <v>3</v>
      </c>
      <c r="AK696">
        <v>5</v>
      </c>
      <c r="AL696" t="s">
        <v>8786</v>
      </c>
      <c r="AM696" t="s">
        <v>436</v>
      </c>
      <c r="AN696" t="s">
        <v>8787</v>
      </c>
      <c r="AO696" t="s">
        <v>8788</v>
      </c>
      <c r="AP696" t="s">
        <v>8789</v>
      </c>
      <c r="AQ696" t="s">
        <v>74</v>
      </c>
      <c r="AR696" t="s">
        <v>8790</v>
      </c>
      <c r="AS696" t="s">
        <v>8791</v>
      </c>
      <c r="AT696" t="s">
        <v>74</v>
      </c>
      <c r="AU696">
        <v>2022</v>
      </c>
      <c r="AV696">
        <v>72</v>
      </c>
      <c r="AW696">
        <v>1</v>
      </c>
      <c r="AX696" t="s">
        <v>74</v>
      </c>
      <c r="AY696" t="s">
        <v>74</v>
      </c>
      <c r="AZ696" t="s">
        <v>74</v>
      </c>
      <c r="BA696" t="s">
        <v>74</v>
      </c>
      <c r="BB696" t="s">
        <v>74</v>
      </c>
      <c r="BC696" t="s">
        <v>74</v>
      </c>
      <c r="BD696">
        <v>5205</v>
      </c>
      <c r="BE696" t="s">
        <v>13341</v>
      </c>
      <c r="BF696" t="str">
        <f>HYPERLINK("http://dx.doi.org/10.1099/ijsem.0.005205","http://dx.doi.org/10.1099/ijsem.0.005205")</f>
        <v>http://dx.doi.org/10.1099/ijsem.0.005205</v>
      </c>
      <c r="BG696" t="s">
        <v>74</v>
      </c>
      <c r="BH696" t="s">
        <v>74</v>
      </c>
      <c r="BI696">
        <v>10</v>
      </c>
      <c r="BJ696" t="s">
        <v>747</v>
      </c>
      <c r="BK696" t="s">
        <v>103</v>
      </c>
      <c r="BL696" t="s">
        <v>747</v>
      </c>
      <c r="BM696" t="s">
        <v>13342</v>
      </c>
      <c r="BN696">
        <v>35085061</v>
      </c>
      <c r="BO696" t="s">
        <v>74</v>
      </c>
      <c r="BP696" t="s">
        <v>74</v>
      </c>
      <c r="BQ696" t="s">
        <v>74</v>
      </c>
      <c r="BR696" t="s">
        <v>106</v>
      </c>
      <c r="BS696" t="s">
        <v>13343</v>
      </c>
      <c r="BT696" t="str">
        <f>HYPERLINK("https%3A%2F%2Fwww.webofscience.com%2Fwos%2Fwoscc%2Ffull-record%2FWOS:000751531900001","View Full Record in Web of Science")</f>
        <v>View Full Record in Web of Science</v>
      </c>
    </row>
    <row r="697" spans="1:72" x14ac:dyDescent="0.15">
      <c r="A697" t="s">
        <v>72</v>
      </c>
      <c r="B697" t="s">
        <v>13344</v>
      </c>
      <c r="C697" t="s">
        <v>74</v>
      </c>
      <c r="D697" t="s">
        <v>74</v>
      </c>
      <c r="E697" t="s">
        <v>74</v>
      </c>
      <c r="F697" t="s">
        <v>13345</v>
      </c>
      <c r="G697" t="s">
        <v>74</v>
      </c>
      <c r="H697" t="s">
        <v>74</v>
      </c>
      <c r="I697" t="s">
        <v>13346</v>
      </c>
      <c r="J697" t="s">
        <v>2724</v>
      </c>
      <c r="K697" t="s">
        <v>74</v>
      </c>
      <c r="L697" t="s">
        <v>74</v>
      </c>
      <c r="M697" t="s">
        <v>78</v>
      </c>
      <c r="N697" t="s">
        <v>79</v>
      </c>
      <c r="O697" t="s">
        <v>74</v>
      </c>
      <c r="P697" t="s">
        <v>74</v>
      </c>
      <c r="Q697" t="s">
        <v>74</v>
      </c>
      <c r="R697" t="s">
        <v>74</v>
      </c>
      <c r="S697" t="s">
        <v>74</v>
      </c>
      <c r="T697" t="s">
        <v>13347</v>
      </c>
      <c r="U697" t="s">
        <v>13348</v>
      </c>
      <c r="V697" t="s">
        <v>13349</v>
      </c>
      <c r="W697" t="s">
        <v>13350</v>
      </c>
      <c r="X697" t="s">
        <v>13351</v>
      </c>
      <c r="Y697" t="s">
        <v>13352</v>
      </c>
      <c r="Z697" t="s">
        <v>13353</v>
      </c>
      <c r="AA697" t="s">
        <v>13354</v>
      </c>
      <c r="AB697" t="s">
        <v>13355</v>
      </c>
      <c r="AC697" t="s">
        <v>74</v>
      </c>
      <c r="AD697" t="s">
        <v>74</v>
      </c>
      <c r="AE697" t="s">
        <v>74</v>
      </c>
      <c r="AF697" t="s">
        <v>74</v>
      </c>
      <c r="AG697">
        <v>43</v>
      </c>
      <c r="AH697">
        <v>8</v>
      </c>
      <c r="AI697">
        <v>8</v>
      </c>
      <c r="AJ697">
        <v>2</v>
      </c>
      <c r="AK697">
        <v>28</v>
      </c>
      <c r="AL697" t="s">
        <v>2632</v>
      </c>
      <c r="AM697" t="s">
        <v>2633</v>
      </c>
      <c r="AN697" t="s">
        <v>2634</v>
      </c>
      <c r="AO697" t="s">
        <v>74</v>
      </c>
      <c r="AP697" t="s">
        <v>2737</v>
      </c>
      <c r="AQ697" t="s">
        <v>74</v>
      </c>
      <c r="AR697" t="s">
        <v>2738</v>
      </c>
      <c r="AS697" t="s">
        <v>2739</v>
      </c>
      <c r="AT697" t="s">
        <v>4645</v>
      </c>
      <c r="AU697">
        <v>2022</v>
      </c>
      <c r="AV697">
        <v>14</v>
      </c>
      <c r="AW697">
        <v>1</v>
      </c>
      <c r="AX697" t="s">
        <v>74</v>
      </c>
      <c r="AY697" t="s">
        <v>74</v>
      </c>
      <c r="AZ697" t="s">
        <v>74</v>
      </c>
      <c r="BA697" t="s">
        <v>74</v>
      </c>
      <c r="BB697" t="s">
        <v>74</v>
      </c>
      <c r="BC697" t="s">
        <v>74</v>
      </c>
      <c r="BD697">
        <v>10</v>
      </c>
      <c r="BE697" t="s">
        <v>13356</v>
      </c>
      <c r="BF697" t="str">
        <f>HYPERLINK("http://dx.doi.org/10.3390/rs14010010","http://dx.doi.org/10.3390/rs14010010")</f>
        <v>http://dx.doi.org/10.3390/rs14010010</v>
      </c>
      <c r="BG697" t="s">
        <v>74</v>
      </c>
      <c r="BH697" t="s">
        <v>74</v>
      </c>
      <c r="BI697">
        <v>25</v>
      </c>
      <c r="BJ697" t="s">
        <v>2741</v>
      </c>
      <c r="BK697" t="s">
        <v>103</v>
      </c>
      <c r="BL697" t="s">
        <v>2742</v>
      </c>
      <c r="BM697" t="s">
        <v>13357</v>
      </c>
      <c r="BN697" t="s">
        <v>74</v>
      </c>
      <c r="BO697" t="s">
        <v>292</v>
      </c>
      <c r="BP697" t="s">
        <v>74</v>
      </c>
      <c r="BQ697" t="s">
        <v>74</v>
      </c>
      <c r="BR697" t="s">
        <v>106</v>
      </c>
      <c r="BS697" t="s">
        <v>13358</v>
      </c>
      <c r="BT697" t="str">
        <f>HYPERLINK("https%3A%2F%2Fwww.webofscience.com%2Fwos%2Fwoscc%2Ffull-record%2FWOS:000752857600001","View Full Record in Web of Science")</f>
        <v>View Full Record in Web of Science</v>
      </c>
    </row>
    <row r="698" spans="1:72" x14ac:dyDescent="0.15">
      <c r="A698" t="s">
        <v>72</v>
      </c>
      <c r="B698" t="s">
        <v>13359</v>
      </c>
      <c r="C698" t="s">
        <v>74</v>
      </c>
      <c r="D698" t="s">
        <v>74</v>
      </c>
      <c r="E698" t="s">
        <v>74</v>
      </c>
      <c r="F698" t="s">
        <v>13360</v>
      </c>
      <c r="G698" t="s">
        <v>74</v>
      </c>
      <c r="H698" t="s">
        <v>74</v>
      </c>
      <c r="I698" t="s">
        <v>13361</v>
      </c>
      <c r="J698" t="s">
        <v>13362</v>
      </c>
      <c r="K698" t="s">
        <v>74</v>
      </c>
      <c r="L698" t="s">
        <v>74</v>
      </c>
      <c r="M698" t="s">
        <v>78</v>
      </c>
      <c r="N698" t="s">
        <v>79</v>
      </c>
      <c r="O698" t="s">
        <v>74</v>
      </c>
      <c r="P698" t="s">
        <v>74</v>
      </c>
      <c r="Q698" t="s">
        <v>74</v>
      </c>
      <c r="R698" t="s">
        <v>74</v>
      </c>
      <c r="S698" t="s">
        <v>74</v>
      </c>
      <c r="T698" t="s">
        <v>74</v>
      </c>
      <c r="U698" t="s">
        <v>13363</v>
      </c>
      <c r="V698" t="s">
        <v>13364</v>
      </c>
      <c r="W698" t="s">
        <v>13365</v>
      </c>
      <c r="X698" t="s">
        <v>13366</v>
      </c>
      <c r="Y698" t="s">
        <v>13367</v>
      </c>
      <c r="Z698" t="s">
        <v>13368</v>
      </c>
      <c r="AA698" t="s">
        <v>13369</v>
      </c>
      <c r="AB698" t="s">
        <v>13370</v>
      </c>
      <c r="AC698" t="s">
        <v>13371</v>
      </c>
      <c r="AD698" t="s">
        <v>13372</v>
      </c>
      <c r="AE698" t="s">
        <v>13373</v>
      </c>
      <c r="AF698" t="s">
        <v>74</v>
      </c>
      <c r="AG698">
        <v>24</v>
      </c>
      <c r="AH698">
        <v>1</v>
      </c>
      <c r="AI698">
        <v>1</v>
      </c>
      <c r="AJ698">
        <v>3</v>
      </c>
      <c r="AK698">
        <v>10</v>
      </c>
      <c r="AL698" t="s">
        <v>605</v>
      </c>
      <c r="AM698" t="s">
        <v>606</v>
      </c>
      <c r="AN698" t="s">
        <v>607</v>
      </c>
      <c r="AO698" t="s">
        <v>74</v>
      </c>
      <c r="AP698" t="s">
        <v>13374</v>
      </c>
      <c r="AQ698" t="s">
        <v>74</v>
      </c>
      <c r="AR698" t="s">
        <v>13375</v>
      </c>
      <c r="AS698" t="s">
        <v>13376</v>
      </c>
      <c r="AT698" t="s">
        <v>4645</v>
      </c>
      <c r="AU698">
        <v>2022</v>
      </c>
      <c r="AV698">
        <v>9</v>
      </c>
      <c r="AW698">
        <v>1</v>
      </c>
      <c r="AX698" t="s">
        <v>74</v>
      </c>
      <c r="AY698" t="s">
        <v>74</v>
      </c>
      <c r="AZ698" t="s">
        <v>74</v>
      </c>
      <c r="BA698" t="s">
        <v>74</v>
      </c>
      <c r="BB698" t="s">
        <v>74</v>
      </c>
      <c r="BC698" t="s">
        <v>74</v>
      </c>
      <c r="BD698" t="s">
        <v>13377</v>
      </c>
      <c r="BE698" t="s">
        <v>13378</v>
      </c>
      <c r="BF698" t="str">
        <f>HYPERLINK("http://dx.doi.org/10.1029/2021EA002073","http://dx.doi.org/10.1029/2021EA002073")</f>
        <v>http://dx.doi.org/10.1029/2021EA002073</v>
      </c>
      <c r="BG698" t="s">
        <v>74</v>
      </c>
      <c r="BH698" t="s">
        <v>74</v>
      </c>
      <c r="BI698">
        <v>16</v>
      </c>
      <c r="BJ698" t="s">
        <v>11582</v>
      </c>
      <c r="BK698" t="s">
        <v>103</v>
      </c>
      <c r="BL698" t="s">
        <v>11583</v>
      </c>
      <c r="BM698" t="s">
        <v>13379</v>
      </c>
      <c r="BN698">
        <v>35865261</v>
      </c>
      <c r="BO698" t="s">
        <v>640</v>
      </c>
      <c r="BP698" t="s">
        <v>74</v>
      </c>
      <c r="BQ698" t="s">
        <v>74</v>
      </c>
      <c r="BR698" t="s">
        <v>106</v>
      </c>
      <c r="BS698" t="s">
        <v>13380</v>
      </c>
      <c r="BT698" t="str">
        <f>HYPERLINK("https%3A%2F%2Fwww.webofscience.com%2Fwos%2Fwoscc%2Ffull-record%2FWOS:000751237800014","View Full Record in Web of Science")</f>
        <v>View Full Record in Web of Science</v>
      </c>
    </row>
    <row r="699" spans="1:72" x14ac:dyDescent="0.15">
      <c r="A699" t="s">
        <v>72</v>
      </c>
      <c r="B699" t="s">
        <v>13381</v>
      </c>
      <c r="C699" t="s">
        <v>74</v>
      </c>
      <c r="D699" t="s">
        <v>74</v>
      </c>
      <c r="E699" t="s">
        <v>74</v>
      </c>
      <c r="F699" t="s">
        <v>13382</v>
      </c>
      <c r="G699" t="s">
        <v>74</v>
      </c>
      <c r="H699" t="s">
        <v>74</v>
      </c>
      <c r="I699" t="s">
        <v>13383</v>
      </c>
      <c r="J699" t="s">
        <v>13384</v>
      </c>
      <c r="K699" t="s">
        <v>74</v>
      </c>
      <c r="L699" t="s">
        <v>74</v>
      </c>
      <c r="M699" t="s">
        <v>78</v>
      </c>
      <c r="N699" t="s">
        <v>79</v>
      </c>
      <c r="O699" t="s">
        <v>74</v>
      </c>
      <c r="P699" t="s">
        <v>74</v>
      </c>
      <c r="Q699" t="s">
        <v>74</v>
      </c>
      <c r="R699" t="s">
        <v>74</v>
      </c>
      <c r="S699" t="s">
        <v>74</v>
      </c>
      <c r="T699" t="s">
        <v>13385</v>
      </c>
      <c r="U699" t="s">
        <v>13386</v>
      </c>
      <c r="V699" t="s">
        <v>13387</v>
      </c>
      <c r="W699" t="s">
        <v>13388</v>
      </c>
      <c r="X699" t="s">
        <v>13389</v>
      </c>
      <c r="Y699" t="s">
        <v>13390</v>
      </c>
      <c r="Z699" t="s">
        <v>13391</v>
      </c>
      <c r="AA699" t="s">
        <v>13392</v>
      </c>
      <c r="AB699" t="s">
        <v>13393</v>
      </c>
      <c r="AC699" t="s">
        <v>13394</v>
      </c>
      <c r="AD699" t="s">
        <v>13395</v>
      </c>
      <c r="AE699" t="s">
        <v>13396</v>
      </c>
      <c r="AF699" t="s">
        <v>74</v>
      </c>
      <c r="AG699">
        <v>120</v>
      </c>
      <c r="AH699">
        <v>9</v>
      </c>
      <c r="AI699">
        <v>9</v>
      </c>
      <c r="AJ699">
        <v>5</v>
      </c>
      <c r="AK699">
        <v>32</v>
      </c>
      <c r="AL699" t="s">
        <v>605</v>
      </c>
      <c r="AM699" t="s">
        <v>606</v>
      </c>
      <c r="AN699" t="s">
        <v>607</v>
      </c>
      <c r="AO699" t="s">
        <v>13397</v>
      </c>
      <c r="AP699" t="s">
        <v>13398</v>
      </c>
      <c r="AQ699" t="s">
        <v>74</v>
      </c>
      <c r="AR699" t="s">
        <v>13399</v>
      </c>
      <c r="AS699" t="s">
        <v>13400</v>
      </c>
      <c r="AT699" t="s">
        <v>4645</v>
      </c>
      <c r="AU699">
        <v>2022</v>
      </c>
      <c r="AV699">
        <v>127</v>
      </c>
      <c r="AW699">
        <v>1</v>
      </c>
      <c r="AX699" t="s">
        <v>74</v>
      </c>
      <c r="AY699" t="s">
        <v>74</v>
      </c>
      <c r="AZ699" t="s">
        <v>74</v>
      </c>
      <c r="BA699" t="s">
        <v>74</v>
      </c>
      <c r="BB699" t="s">
        <v>74</v>
      </c>
      <c r="BC699" t="s">
        <v>74</v>
      </c>
      <c r="BD699" t="s">
        <v>13401</v>
      </c>
      <c r="BE699" t="s">
        <v>13402</v>
      </c>
      <c r="BF699" t="str">
        <f>HYPERLINK("http://dx.doi.org/10.1029/2021JG006485","http://dx.doi.org/10.1029/2021JG006485")</f>
        <v>http://dx.doi.org/10.1029/2021JG006485</v>
      </c>
      <c r="BG699" t="s">
        <v>74</v>
      </c>
      <c r="BH699" t="s">
        <v>74</v>
      </c>
      <c r="BI699">
        <v>25</v>
      </c>
      <c r="BJ699" t="s">
        <v>7591</v>
      </c>
      <c r="BK699" t="s">
        <v>103</v>
      </c>
      <c r="BL699" t="s">
        <v>417</v>
      </c>
      <c r="BM699" t="s">
        <v>13403</v>
      </c>
      <c r="BN699" t="s">
        <v>74</v>
      </c>
      <c r="BO699" t="s">
        <v>5641</v>
      </c>
      <c r="BP699" t="s">
        <v>74</v>
      </c>
      <c r="BQ699" t="s">
        <v>74</v>
      </c>
      <c r="BR699" t="s">
        <v>106</v>
      </c>
      <c r="BS699" t="s">
        <v>13404</v>
      </c>
      <c r="BT699" t="str">
        <f>HYPERLINK("https%3A%2F%2Fwww.webofscience.com%2Fwos%2Fwoscc%2Ffull-record%2FWOS:000751889000005","View Full Record in Web of Science")</f>
        <v>View Full Record in Web of Science</v>
      </c>
    </row>
    <row r="700" spans="1:72" x14ac:dyDescent="0.15">
      <c r="A700" t="s">
        <v>72</v>
      </c>
      <c r="B700" t="s">
        <v>13405</v>
      </c>
      <c r="C700" t="s">
        <v>74</v>
      </c>
      <c r="D700" t="s">
        <v>74</v>
      </c>
      <c r="E700" t="s">
        <v>74</v>
      </c>
      <c r="F700" t="s">
        <v>13406</v>
      </c>
      <c r="G700" t="s">
        <v>74</v>
      </c>
      <c r="H700" t="s">
        <v>74</v>
      </c>
      <c r="I700" t="s">
        <v>13407</v>
      </c>
      <c r="J700" t="s">
        <v>3422</v>
      </c>
      <c r="K700" t="s">
        <v>74</v>
      </c>
      <c r="L700" t="s">
        <v>74</v>
      </c>
      <c r="M700" t="s">
        <v>78</v>
      </c>
      <c r="N700" t="s">
        <v>79</v>
      </c>
      <c r="O700" t="s">
        <v>74</v>
      </c>
      <c r="P700" t="s">
        <v>74</v>
      </c>
      <c r="Q700" t="s">
        <v>74</v>
      </c>
      <c r="R700" t="s">
        <v>74</v>
      </c>
      <c r="S700" t="s">
        <v>74</v>
      </c>
      <c r="T700" t="s">
        <v>13408</v>
      </c>
      <c r="U700" t="s">
        <v>13409</v>
      </c>
      <c r="V700" t="s">
        <v>13410</v>
      </c>
      <c r="W700" t="s">
        <v>13411</v>
      </c>
      <c r="X700" t="s">
        <v>13412</v>
      </c>
      <c r="Y700" t="s">
        <v>13413</v>
      </c>
      <c r="Z700" t="s">
        <v>13414</v>
      </c>
      <c r="AA700" t="s">
        <v>13415</v>
      </c>
      <c r="AB700" t="s">
        <v>13416</v>
      </c>
      <c r="AC700" t="s">
        <v>13417</v>
      </c>
      <c r="AD700" t="s">
        <v>13418</v>
      </c>
      <c r="AE700" t="s">
        <v>13419</v>
      </c>
      <c r="AF700" t="s">
        <v>74</v>
      </c>
      <c r="AG700">
        <v>81</v>
      </c>
      <c r="AH700">
        <v>8</v>
      </c>
      <c r="AI700">
        <v>8</v>
      </c>
      <c r="AJ700">
        <v>0</v>
      </c>
      <c r="AK700">
        <v>11</v>
      </c>
      <c r="AL700" t="s">
        <v>605</v>
      </c>
      <c r="AM700" t="s">
        <v>606</v>
      </c>
      <c r="AN700" t="s">
        <v>607</v>
      </c>
      <c r="AO700" t="s">
        <v>3435</v>
      </c>
      <c r="AP700" t="s">
        <v>3436</v>
      </c>
      <c r="AQ700" t="s">
        <v>74</v>
      </c>
      <c r="AR700" t="s">
        <v>3437</v>
      </c>
      <c r="AS700" t="s">
        <v>3438</v>
      </c>
      <c r="AT700" t="s">
        <v>4645</v>
      </c>
      <c r="AU700">
        <v>2022</v>
      </c>
      <c r="AV700">
        <v>127</v>
      </c>
      <c r="AW700">
        <v>1</v>
      </c>
      <c r="AX700" t="s">
        <v>74</v>
      </c>
      <c r="AY700" t="s">
        <v>74</v>
      </c>
      <c r="AZ700" t="s">
        <v>74</v>
      </c>
      <c r="BA700" t="s">
        <v>74</v>
      </c>
      <c r="BB700" t="s">
        <v>74</v>
      </c>
      <c r="BC700" t="s">
        <v>74</v>
      </c>
      <c r="BD700" t="s">
        <v>13420</v>
      </c>
      <c r="BE700" t="s">
        <v>13421</v>
      </c>
      <c r="BF700" t="str">
        <f>HYPERLINK("http://dx.doi.org/10.1029/2021JF006349","http://dx.doi.org/10.1029/2021JF006349")</f>
        <v>http://dx.doi.org/10.1029/2021JF006349</v>
      </c>
      <c r="BG700" t="s">
        <v>74</v>
      </c>
      <c r="BH700" t="s">
        <v>74</v>
      </c>
      <c r="BI700">
        <v>18</v>
      </c>
      <c r="BJ700" t="s">
        <v>151</v>
      </c>
      <c r="BK700" t="s">
        <v>103</v>
      </c>
      <c r="BL700" t="s">
        <v>152</v>
      </c>
      <c r="BM700" t="s">
        <v>13422</v>
      </c>
      <c r="BN700" t="s">
        <v>74</v>
      </c>
      <c r="BO700" t="s">
        <v>5641</v>
      </c>
      <c r="BP700" t="s">
        <v>74</v>
      </c>
      <c r="BQ700" t="s">
        <v>74</v>
      </c>
      <c r="BR700" t="s">
        <v>106</v>
      </c>
      <c r="BS700" t="s">
        <v>13423</v>
      </c>
      <c r="BT700" t="str">
        <f>HYPERLINK("https%3A%2F%2Fwww.webofscience.com%2Fwos%2Fwoscc%2Ffull-record%2FWOS:000751642600010","View Full Record in Web of Science")</f>
        <v>View Full Record in Web of Science</v>
      </c>
    </row>
    <row r="701" spans="1:72" x14ac:dyDescent="0.15">
      <c r="A701" t="s">
        <v>72</v>
      </c>
      <c r="B701" t="s">
        <v>13424</v>
      </c>
      <c r="C701" t="s">
        <v>74</v>
      </c>
      <c r="D701" t="s">
        <v>74</v>
      </c>
      <c r="E701" t="s">
        <v>74</v>
      </c>
      <c r="F701" t="s">
        <v>13425</v>
      </c>
      <c r="G701" t="s">
        <v>74</v>
      </c>
      <c r="H701" t="s">
        <v>74</v>
      </c>
      <c r="I701" t="s">
        <v>13426</v>
      </c>
      <c r="J701" t="s">
        <v>3446</v>
      </c>
      <c r="K701" t="s">
        <v>74</v>
      </c>
      <c r="L701" t="s">
        <v>74</v>
      </c>
      <c r="M701" t="s">
        <v>78</v>
      </c>
      <c r="N701" t="s">
        <v>79</v>
      </c>
      <c r="O701" t="s">
        <v>74</v>
      </c>
      <c r="P701" t="s">
        <v>74</v>
      </c>
      <c r="Q701" t="s">
        <v>74</v>
      </c>
      <c r="R701" t="s">
        <v>74</v>
      </c>
      <c r="S701" t="s">
        <v>74</v>
      </c>
      <c r="T701" t="s">
        <v>13427</v>
      </c>
      <c r="U701" t="s">
        <v>13428</v>
      </c>
      <c r="V701" t="s">
        <v>13429</v>
      </c>
      <c r="W701" t="s">
        <v>13430</v>
      </c>
      <c r="X701" t="s">
        <v>13431</v>
      </c>
      <c r="Y701" t="s">
        <v>13432</v>
      </c>
      <c r="Z701" t="s">
        <v>13433</v>
      </c>
      <c r="AA701" t="s">
        <v>13434</v>
      </c>
      <c r="AB701" t="s">
        <v>13435</v>
      </c>
      <c r="AC701" t="s">
        <v>13436</v>
      </c>
      <c r="AD701" t="s">
        <v>13437</v>
      </c>
      <c r="AE701" t="s">
        <v>13438</v>
      </c>
      <c r="AF701" t="s">
        <v>74</v>
      </c>
      <c r="AG701">
        <v>62</v>
      </c>
      <c r="AH701">
        <v>3</v>
      </c>
      <c r="AI701">
        <v>3</v>
      </c>
      <c r="AJ701">
        <v>3</v>
      </c>
      <c r="AK701">
        <v>11</v>
      </c>
      <c r="AL701" t="s">
        <v>605</v>
      </c>
      <c r="AM701" t="s">
        <v>606</v>
      </c>
      <c r="AN701" t="s">
        <v>607</v>
      </c>
      <c r="AO701" t="s">
        <v>3458</v>
      </c>
      <c r="AP701" t="s">
        <v>3459</v>
      </c>
      <c r="AQ701" t="s">
        <v>74</v>
      </c>
      <c r="AR701" t="s">
        <v>3460</v>
      </c>
      <c r="AS701" t="s">
        <v>3461</v>
      </c>
      <c r="AT701" t="s">
        <v>4645</v>
      </c>
      <c r="AU701">
        <v>2022</v>
      </c>
      <c r="AV701">
        <v>127</v>
      </c>
      <c r="AW701">
        <v>1</v>
      </c>
      <c r="AX701" t="s">
        <v>74</v>
      </c>
      <c r="AY701" t="s">
        <v>74</v>
      </c>
      <c r="AZ701" t="s">
        <v>74</v>
      </c>
      <c r="BA701" t="s">
        <v>74</v>
      </c>
      <c r="BB701" t="s">
        <v>74</v>
      </c>
      <c r="BC701" t="s">
        <v>74</v>
      </c>
      <c r="BD701" t="s">
        <v>13439</v>
      </c>
      <c r="BE701" t="s">
        <v>13440</v>
      </c>
      <c r="BF701" t="str">
        <f>HYPERLINK("http://dx.doi.org/10.1029/2021JC017963","http://dx.doi.org/10.1029/2021JC017963")</f>
        <v>http://dx.doi.org/10.1029/2021JC017963</v>
      </c>
      <c r="BG701" t="s">
        <v>74</v>
      </c>
      <c r="BH701" t="s">
        <v>74</v>
      </c>
      <c r="BI701">
        <v>18</v>
      </c>
      <c r="BJ701" t="s">
        <v>1131</v>
      </c>
      <c r="BK701" t="s">
        <v>103</v>
      </c>
      <c r="BL701" t="s">
        <v>1131</v>
      </c>
      <c r="BM701" t="s">
        <v>13441</v>
      </c>
      <c r="BN701" t="s">
        <v>74</v>
      </c>
      <c r="BO701" t="s">
        <v>487</v>
      </c>
      <c r="BP701" t="s">
        <v>74</v>
      </c>
      <c r="BQ701" t="s">
        <v>74</v>
      </c>
      <c r="BR701" t="s">
        <v>106</v>
      </c>
      <c r="BS701" t="s">
        <v>13442</v>
      </c>
      <c r="BT701" t="str">
        <f>HYPERLINK("https%3A%2F%2Fwww.webofscience.com%2Fwos%2Fwoscc%2Ffull-record%2FWOS:000751885800024","View Full Record in Web of Science")</f>
        <v>View Full Record in Web of Science</v>
      </c>
    </row>
    <row r="702" spans="1:72" x14ac:dyDescent="0.15">
      <c r="A702" t="s">
        <v>72</v>
      </c>
      <c r="B702" t="s">
        <v>13443</v>
      </c>
      <c r="C702" t="s">
        <v>74</v>
      </c>
      <c r="D702" t="s">
        <v>74</v>
      </c>
      <c r="E702" t="s">
        <v>74</v>
      </c>
      <c r="F702" t="s">
        <v>13444</v>
      </c>
      <c r="G702" t="s">
        <v>74</v>
      </c>
      <c r="H702" t="s">
        <v>74</v>
      </c>
      <c r="I702" t="s">
        <v>13445</v>
      </c>
      <c r="J702" t="s">
        <v>3446</v>
      </c>
      <c r="K702" t="s">
        <v>74</v>
      </c>
      <c r="L702" t="s">
        <v>74</v>
      </c>
      <c r="M702" t="s">
        <v>78</v>
      </c>
      <c r="N702" t="s">
        <v>79</v>
      </c>
      <c r="O702" t="s">
        <v>74</v>
      </c>
      <c r="P702" t="s">
        <v>74</v>
      </c>
      <c r="Q702" t="s">
        <v>74</v>
      </c>
      <c r="R702" t="s">
        <v>74</v>
      </c>
      <c r="S702" t="s">
        <v>74</v>
      </c>
      <c r="T702" t="s">
        <v>13446</v>
      </c>
      <c r="U702" t="s">
        <v>13447</v>
      </c>
      <c r="V702" t="s">
        <v>13448</v>
      </c>
      <c r="W702" t="s">
        <v>13449</v>
      </c>
      <c r="X702" t="s">
        <v>13450</v>
      </c>
      <c r="Y702" t="s">
        <v>13451</v>
      </c>
      <c r="Z702" t="s">
        <v>13452</v>
      </c>
      <c r="AA702" t="s">
        <v>13453</v>
      </c>
      <c r="AB702" t="s">
        <v>13454</v>
      </c>
      <c r="AC702" t="s">
        <v>13455</v>
      </c>
      <c r="AD702" t="s">
        <v>13456</v>
      </c>
      <c r="AE702" t="s">
        <v>13457</v>
      </c>
      <c r="AF702" t="s">
        <v>74</v>
      </c>
      <c r="AG702">
        <v>156</v>
      </c>
      <c r="AH702">
        <v>10</v>
      </c>
      <c r="AI702">
        <v>10</v>
      </c>
      <c r="AJ702">
        <v>3</v>
      </c>
      <c r="AK702">
        <v>28</v>
      </c>
      <c r="AL702" t="s">
        <v>605</v>
      </c>
      <c r="AM702" t="s">
        <v>606</v>
      </c>
      <c r="AN702" t="s">
        <v>607</v>
      </c>
      <c r="AO702" t="s">
        <v>3458</v>
      </c>
      <c r="AP702" t="s">
        <v>3459</v>
      </c>
      <c r="AQ702" t="s">
        <v>74</v>
      </c>
      <c r="AR702" t="s">
        <v>3460</v>
      </c>
      <c r="AS702" t="s">
        <v>3461</v>
      </c>
      <c r="AT702" t="s">
        <v>4645</v>
      </c>
      <c r="AU702">
        <v>2022</v>
      </c>
      <c r="AV702">
        <v>127</v>
      </c>
      <c r="AW702">
        <v>1</v>
      </c>
      <c r="AX702" t="s">
        <v>74</v>
      </c>
      <c r="AY702" t="s">
        <v>74</v>
      </c>
      <c r="AZ702" t="s">
        <v>74</v>
      </c>
      <c r="BA702" t="s">
        <v>74</v>
      </c>
      <c r="BB702" t="s">
        <v>74</v>
      </c>
      <c r="BC702" t="s">
        <v>74</v>
      </c>
      <c r="BD702" t="s">
        <v>13458</v>
      </c>
      <c r="BE702" t="s">
        <v>13459</v>
      </c>
      <c r="BF702" t="str">
        <f>HYPERLINK("http://dx.doi.org/10.1029/2021JC017525","http://dx.doi.org/10.1029/2021JC017525")</f>
        <v>http://dx.doi.org/10.1029/2021JC017525</v>
      </c>
      <c r="BG702" t="s">
        <v>74</v>
      </c>
      <c r="BH702" t="s">
        <v>74</v>
      </c>
      <c r="BI702">
        <v>24</v>
      </c>
      <c r="BJ702" t="s">
        <v>1131</v>
      </c>
      <c r="BK702" t="s">
        <v>103</v>
      </c>
      <c r="BL702" t="s">
        <v>1131</v>
      </c>
      <c r="BM702" t="s">
        <v>13441</v>
      </c>
      <c r="BN702" t="s">
        <v>74</v>
      </c>
      <c r="BO702" t="s">
        <v>13460</v>
      </c>
      <c r="BP702" t="s">
        <v>74</v>
      </c>
      <c r="BQ702" t="s">
        <v>74</v>
      </c>
      <c r="BR702" t="s">
        <v>106</v>
      </c>
      <c r="BS702" t="s">
        <v>13461</v>
      </c>
      <c r="BT702" t="str">
        <f>HYPERLINK("https%3A%2F%2Fwww.webofscience.com%2Fwos%2Fwoscc%2Ffull-record%2FWOS:000751885800009","View Full Record in Web of Science")</f>
        <v>View Full Record in Web of Science</v>
      </c>
    </row>
    <row r="703" spans="1:72" x14ac:dyDescent="0.15">
      <c r="A703" t="s">
        <v>72</v>
      </c>
      <c r="B703" t="s">
        <v>13462</v>
      </c>
      <c r="C703" t="s">
        <v>74</v>
      </c>
      <c r="D703" t="s">
        <v>74</v>
      </c>
      <c r="E703" t="s">
        <v>74</v>
      </c>
      <c r="F703" t="s">
        <v>13463</v>
      </c>
      <c r="G703" t="s">
        <v>74</v>
      </c>
      <c r="H703" t="s">
        <v>74</v>
      </c>
      <c r="I703" t="s">
        <v>13464</v>
      </c>
      <c r="J703" t="s">
        <v>2724</v>
      </c>
      <c r="K703" t="s">
        <v>74</v>
      </c>
      <c r="L703" t="s">
        <v>74</v>
      </c>
      <c r="M703" t="s">
        <v>78</v>
      </c>
      <c r="N703" t="s">
        <v>79</v>
      </c>
      <c r="O703" t="s">
        <v>74</v>
      </c>
      <c r="P703" t="s">
        <v>74</v>
      </c>
      <c r="Q703" t="s">
        <v>74</v>
      </c>
      <c r="R703" t="s">
        <v>74</v>
      </c>
      <c r="S703" t="s">
        <v>74</v>
      </c>
      <c r="T703" t="s">
        <v>13465</v>
      </c>
      <c r="U703" t="s">
        <v>13466</v>
      </c>
      <c r="V703" t="s">
        <v>13467</v>
      </c>
      <c r="W703" t="s">
        <v>13468</v>
      </c>
      <c r="X703" t="s">
        <v>13469</v>
      </c>
      <c r="Y703" t="s">
        <v>13470</v>
      </c>
      <c r="Z703" t="s">
        <v>13471</v>
      </c>
      <c r="AA703" t="s">
        <v>13472</v>
      </c>
      <c r="AB703" t="s">
        <v>13473</v>
      </c>
      <c r="AC703" t="s">
        <v>13474</v>
      </c>
      <c r="AD703" t="s">
        <v>13475</v>
      </c>
      <c r="AE703" t="s">
        <v>13476</v>
      </c>
      <c r="AF703" t="s">
        <v>74</v>
      </c>
      <c r="AG703">
        <v>59</v>
      </c>
      <c r="AH703">
        <v>2</v>
      </c>
      <c r="AI703">
        <v>3</v>
      </c>
      <c r="AJ703">
        <v>4</v>
      </c>
      <c r="AK703">
        <v>14</v>
      </c>
      <c r="AL703" t="s">
        <v>2632</v>
      </c>
      <c r="AM703" t="s">
        <v>2633</v>
      </c>
      <c r="AN703" t="s">
        <v>2634</v>
      </c>
      <c r="AO703" t="s">
        <v>74</v>
      </c>
      <c r="AP703" t="s">
        <v>2737</v>
      </c>
      <c r="AQ703" t="s">
        <v>74</v>
      </c>
      <c r="AR703" t="s">
        <v>2738</v>
      </c>
      <c r="AS703" t="s">
        <v>2739</v>
      </c>
      <c r="AT703" t="s">
        <v>4645</v>
      </c>
      <c r="AU703">
        <v>2022</v>
      </c>
      <c r="AV703">
        <v>14</v>
      </c>
      <c r="AW703">
        <v>1</v>
      </c>
      <c r="AX703" t="s">
        <v>74</v>
      </c>
      <c r="AY703" t="s">
        <v>74</v>
      </c>
      <c r="AZ703" t="s">
        <v>74</v>
      </c>
      <c r="BA703" t="s">
        <v>74</v>
      </c>
      <c r="BB703" t="s">
        <v>74</v>
      </c>
      <c r="BC703" t="s">
        <v>74</v>
      </c>
      <c r="BD703">
        <v>154</v>
      </c>
      <c r="BE703" t="s">
        <v>13477</v>
      </c>
      <c r="BF703" t="str">
        <f>HYPERLINK("http://dx.doi.org/10.3390/rs14010154","http://dx.doi.org/10.3390/rs14010154")</f>
        <v>http://dx.doi.org/10.3390/rs14010154</v>
      </c>
      <c r="BG703" t="s">
        <v>74</v>
      </c>
      <c r="BH703" t="s">
        <v>74</v>
      </c>
      <c r="BI703">
        <v>16</v>
      </c>
      <c r="BJ703" t="s">
        <v>2741</v>
      </c>
      <c r="BK703" t="s">
        <v>103</v>
      </c>
      <c r="BL703" t="s">
        <v>2742</v>
      </c>
      <c r="BM703" t="s">
        <v>13478</v>
      </c>
      <c r="BN703" t="s">
        <v>74</v>
      </c>
      <c r="BO703" t="s">
        <v>445</v>
      </c>
      <c r="BP703" t="s">
        <v>74</v>
      </c>
      <c r="BQ703" t="s">
        <v>74</v>
      </c>
      <c r="BR703" t="s">
        <v>106</v>
      </c>
      <c r="BS703" t="s">
        <v>13479</v>
      </c>
      <c r="BT703" t="str">
        <f>HYPERLINK("https%3A%2F%2Fwww.webofscience.com%2Fwos%2Fwoscc%2Ffull-record%2FWOS:000752238700001","View Full Record in Web of Science")</f>
        <v>View Full Record in Web of Science</v>
      </c>
    </row>
    <row r="704" spans="1:72" x14ac:dyDescent="0.15">
      <c r="A704" t="s">
        <v>72</v>
      </c>
      <c r="B704" t="s">
        <v>13480</v>
      </c>
      <c r="C704" t="s">
        <v>74</v>
      </c>
      <c r="D704" t="s">
        <v>74</v>
      </c>
      <c r="E704" t="s">
        <v>74</v>
      </c>
      <c r="F704" t="s">
        <v>13481</v>
      </c>
      <c r="G704" t="s">
        <v>74</v>
      </c>
      <c r="H704" t="s">
        <v>74</v>
      </c>
      <c r="I704" t="s">
        <v>13482</v>
      </c>
      <c r="J704" t="s">
        <v>3546</v>
      </c>
      <c r="K704" t="s">
        <v>74</v>
      </c>
      <c r="L704" t="s">
        <v>74</v>
      </c>
      <c r="M704" t="s">
        <v>78</v>
      </c>
      <c r="N704" t="s">
        <v>79</v>
      </c>
      <c r="O704" t="s">
        <v>74</v>
      </c>
      <c r="P704" t="s">
        <v>74</v>
      </c>
      <c r="Q704" t="s">
        <v>74</v>
      </c>
      <c r="R704" t="s">
        <v>74</v>
      </c>
      <c r="S704" t="s">
        <v>74</v>
      </c>
      <c r="T704" t="s">
        <v>13483</v>
      </c>
      <c r="U704" t="s">
        <v>13484</v>
      </c>
      <c r="V704" t="s">
        <v>13485</v>
      </c>
      <c r="W704" t="s">
        <v>13486</v>
      </c>
      <c r="X704" t="s">
        <v>13487</v>
      </c>
      <c r="Y704" t="s">
        <v>13488</v>
      </c>
      <c r="Z704" t="s">
        <v>13489</v>
      </c>
      <c r="AA704" t="s">
        <v>13490</v>
      </c>
      <c r="AB704" t="s">
        <v>13491</v>
      </c>
      <c r="AC704" t="s">
        <v>13492</v>
      </c>
      <c r="AD704" t="s">
        <v>13493</v>
      </c>
      <c r="AE704" t="s">
        <v>13494</v>
      </c>
      <c r="AF704" t="s">
        <v>74</v>
      </c>
      <c r="AG704">
        <v>79</v>
      </c>
      <c r="AH704">
        <v>2</v>
      </c>
      <c r="AI704">
        <v>2</v>
      </c>
      <c r="AJ704">
        <v>1</v>
      </c>
      <c r="AK704">
        <v>21</v>
      </c>
      <c r="AL704" t="s">
        <v>605</v>
      </c>
      <c r="AM704" t="s">
        <v>606</v>
      </c>
      <c r="AN704" t="s">
        <v>607</v>
      </c>
      <c r="AO704" t="s">
        <v>3559</v>
      </c>
      <c r="AP704" t="s">
        <v>3560</v>
      </c>
      <c r="AQ704" t="s">
        <v>74</v>
      </c>
      <c r="AR704" t="s">
        <v>3561</v>
      </c>
      <c r="AS704" t="s">
        <v>3562</v>
      </c>
      <c r="AT704" t="s">
        <v>4645</v>
      </c>
      <c r="AU704">
        <v>2022</v>
      </c>
      <c r="AV704">
        <v>37</v>
      </c>
      <c r="AW704">
        <v>1</v>
      </c>
      <c r="AX704" t="s">
        <v>74</v>
      </c>
      <c r="AY704" t="s">
        <v>74</v>
      </c>
      <c r="AZ704" t="s">
        <v>74</v>
      </c>
      <c r="BA704" t="s">
        <v>74</v>
      </c>
      <c r="BB704" t="s">
        <v>74</v>
      </c>
      <c r="BC704" t="s">
        <v>74</v>
      </c>
      <c r="BD704" t="s">
        <v>13495</v>
      </c>
      <c r="BE704" t="s">
        <v>13496</v>
      </c>
      <c r="BF704" t="str">
        <f>HYPERLINK("http://dx.doi.org/10.1029/2021PA004303","http://dx.doi.org/10.1029/2021PA004303")</f>
        <v>http://dx.doi.org/10.1029/2021PA004303</v>
      </c>
      <c r="BG704" t="s">
        <v>74</v>
      </c>
      <c r="BH704" t="s">
        <v>74</v>
      </c>
      <c r="BI704">
        <v>16</v>
      </c>
      <c r="BJ704" t="s">
        <v>3565</v>
      </c>
      <c r="BK704" t="s">
        <v>103</v>
      </c>
      <c r="BL704" t="s">
        <v>3566</v>
      </c>
      <c r="BM704" t="s">
        <v>13497</v>
      </c>
      <c r="BN704" t="s">
        <v>74</v>
      </c>
      <c r="BO704" t="s">
        <v>74</v>
      </c>
      <c r="BP704" t="s">
        <v>74</v>
      </c>
      <c r="BQ704" t="s">
        <v>74</v>
      </c>
      <c r="BR704" t="s">
        <v>106</v>
      </c>
      <c r="BS704" t="s">
        <v>13498</v>
      </c>
      <c r="BT704" t="str">
        <f>HYPERLINK("https%3A%2F%2Fwww.webofscience.com%2Fwos%2Fwoscc%2Ffull-record%2FWOS:000751243200003","View Full Record in Web of Science")</f>
        <v>View Full Record in Web of Science</v>
      </c>
    </row>
    <row r="705" spans="1:72" x14ac:dyDescent="0.15">
      <c r="A705" t="s">
        <v>72</v>
      </c>
      <c r="B705" t="s">
        <v>13499</v>
      </c>
      <c r="C705" t="s">
        <v>74</v>
      </c>
      <c r="D705" t="s">
        <v>74</v>
      </c>
      <c r="E705" t="s">
        <v>74</v>
      </c>
      <c r="F705" t="s">
        <v>13500</v>
      </c>
      <c r="G705" t="s">
        <v>74</v>
      </c>
      <c r="H705" t="s">
        <v>74</v>
      </c>
      <c r="I705" t="s">
        <v>13501</v>
      </c>
      <c r="J705" t="s">
        <v>3487</v>
      </c>
      <c r="K705" t="s">
        <v>74</v>
      </c>
      <c r="L705" t="s">
        <v>74</v>
      </c>
      <c r="M705" t="s">
        <v>78</v>
      </c>
      <c r="N705" t="s">
        <v>79</v>
      </c>
      <c r="O705" t="s">
        <v>74</v>
      </c>
      <c r="P705" t="s">
        <v>74</v>
      </c>
      <c r="Q705" t="s">
        <v>74</v>
      </c>
      <c r="R705" t="s">
        <v>74</v>
      </c>
      <c r="S705" t="s">
        <v>74</v>
      </c>
      <c r="T705" t="s">
        <v>13502</v>
      </c>
      <c r="U705" t="s">
        <v>13503</v>
      </c>
      <c r="V705" t="s">
        <v>13504</v>
      </c>
      <c r="W705" t="s">
        <v>13505</v>
      </c>
      <c r="X705" t="s">
        <v>13506</v>
      </c>
      <c r="Y705" t="s">
        <v>13507</v>
      </c>
      <c r="Z705" t="s">
        <v>13508</v>
      </c>
      <c r="AA705" t="s">
        <v>13509</v>
      </c>
      <c r="AB705" t="s">
        <v>13510</v>
      </c>
      <c r="AC705" t="s">
        <v>13511</v>
      </c>
      <c r="AD705" t="s">
        <v>13512</v>
      </c>
      <c r="AE705" t="s">
        <v>13513</v>
      </c>
      <c r="AF705" t="s">
        <v>74</v>
      </c>
      <c r="AG705">
        <v>55</v>
      </c>
      <c r="AH705">
        <v>0</v>
      </c>
      <c r="AI705">
        <v>0</v>
      </c>
      <c r="AJ705">
        <v>0</v>
      </c>
      <c r="AK705">
        <v>8</v>
      </c>
      <c r="AL705" t="s">
        <v>605</v>
      </c>
      <c r="AM705" t="s">
        <v>606</v>
      </c>
      <c r="AN705" t="s">
        <v>607</v>
      </c>
      <c r="AO705" t="s">
        <v>74</v>
      </c>
      <c r="AP705" t="s">
        <v>3500</v>
      </c>
      <c r="AQ705" t="s">
        <v>74</v>
      </c>
      <c r="AR705" t="s">
        <v>3501</v>
      </c>
      <c r="AS705" t="s">
        <v>3502</v>
      </c>
      <c r="AT705" t="s">
        <v>4645</v>
      </c>
      <c r="AU705">
        <v>2022</v>
      </c>
      <c r="AV705">
        <v>20</v>
      </c>
      <c r="AW705">
        <v>1</v>
      </c>
      <c r="AX705" t="s">
        <v>74</v>
      </c>
      <c r="AY705" t="s">
        <v>74</v>
      </c>
      <c r="AZ705" t="s">
        <v>74</v>
      </c>
      <c r="BA705" t="s">
        <v>74</v>
      </c>
      <c r="BB705" t="s">
        <v>74</v>
      </c>
      <c r="BC705" t="s">
        <v>74</v>
      </c>
      <c r="BD705" t="s">
        <v>13514</v>
      </c>
      <c r="BE705" t="s">
        <v>13515</v>
      </c>
      <c r="BF705" t="str">
        <f>HYPERLINK("http://dx.doi.org/10.1029/2021SW002903","http://dx.doi.org/10.1029/2021SW002903")</f>
        <v>http://dx.doi.org/10.1029/2021SW002903</v>
      </c>
      <c r="BG705" t="s">
        <v>74</v>
      </c>
      <c r="BH705" t="s">
        <v>74</v>
      </c>
      <c r="BI705">
        <v>18</v>
      </c>
      <c r="BJ705" t="s">
        <v>3505</v>
      </c>
      <c r="BK705" t="s">
        <v>103</v>
      </c>
      <c r="BL705" t="s">
        <v>3505</v>
      </c>
      <c r="BM705" t="s">
        <v>13516</v>
      </c>
      <c r="BN705" t="s">
        <v>74</v>
      </c>
      <c r="BO705" t="s">
        <v>1762</v>
      </c>
      <c r="BP705" t="s">
        <v>74</v>
      </c>
      <c r="BQ705" t="s">
        <v>74</v>
      </c>
      <c r="BR705" t="s">
        <v>106</v>
      </c>
      <c r="BS705" t="s">
        <v>13517</v>
      </c>
      <c r="BT705" t="str">
        <f>HYPERLINK("https%3A%2F%2Fwww.webofscience.com%2Fwos%2Fwoscc%2Ffull-record%2FWOS:000751312200005","View Full Record in Web of Science")</f>
        <v>View Full Record in Web of Science</v>
      </c>
    </row>
    <row r="706" spans="1:72" x14ac:dyDescent="0.15">
      <c r="A706" t="s">
        <v>72</v>
      </c>
      <c r="B706" t="s">
        <v>13518</v>
      </c>
      <c r="C706" t="s">
        <v>74</v>
      </c>
      <c r="D706" t="s">
        <v>74</v>
      </c>
      <c r="E706" t="s">
        <v>74</v>
      </c>
      <c r="F706" t="s">
        <v>13519</v>
      </c>
      <c r="G706" t="s">
        <v>74</v>
      </c>
      <c r="H706" t="s">
        <v>74</v>
      </c>
      <c r="I706" t="s">
        <v>13520</v>
      </c>
      <c r="J706" t="s">
        <v>13521</v>
      </c>
      <c r="K706" t="s">
        <v>74</v>
      </c>
      <c r="L706" t="s">
        <v>74</v>
      </c>
      <c r="M706" t="s">
        <v>13522</v>
      </c>
      <c r="N706" t="s">
        <v>79</v>
      </c>
      <c r="O706" t="s">
        <v>74</v>
      </c>
      <c r="P706" t="s">
        <v>74</v>
      </c>
      <c r="Q706" t="s">
        <v>74</v>
      </c>
      <c r="R706" t="s">
        <v>74</v>
      </c>
      <c r="S706" t="s">
        <v>74</v>
      </c>
      <c r="T706" t="s">
        <v>13523</v>
      </c>
      <c r="U706" t="s">
        <v>74</v>
      </c>
      <c r="V706" t="s">
        <v>13524</v>
      </c>
      <c r="W706" t="s">
        <v>13525</v>
      </c>
      <c r="X706" t="s">
        <v>13526</v>
      </c>
      <c r="Y706" t="s">
        <v>13527</v>
      </c>
      <c r="Z706" t="s">
        <v>13528</v>
      </c>
      <c r="AA706" t="s">
        <v>13529</v>
      </c>
      <c r="AB706" t="s">
        <v>74</v>
      </c>
      <c r="AC706" t="s">
        <v>74</v>
      </c>
      <c r="AD706" t="s">
        <v>74</v>
      </c>
      <c r="AE706" t="s">
        <v>74</v>
      </c>
      <c r="AF706" t="s">
        <v>74</v>
      </c>
      <c r="AG706">
        <v>28</v>
      </c>
      <c r="AH706">
        <v>1</v>
      </c>
      <c r="AI706">
        <v>1</v>
      </c>
      <c r="AJ706">
        <v>0</v>
      </c>
      <c r="AK706">
        <v>1</v>
      </c>
      <c r="AL706" t="s">
        <v>13530</v>
      </c>
      <c r="AM706" t="s">
        <v>9645</v>
      </c>
      <c r="AN706" t="s">
        <v>13531</v>
      </c>
      <c r="AO706" t="s">
        <v>13532</v>
      </c>
      <c r="AP706" t="s">
        <v>74</v>
      </c>
      <c r="AQ706" t="s">
        <v>74</v>
      </c>
      <c r="AR706" t="s">
        <v>13533</v>
      </c>
      <c r="AS706" t="s">
        <v>13534</v>
      </c>
      <c r="AT706" t="s">
        <v>4645</v>
      </c>
      <c r="AU706">
        <v>2022</v>
      </c>
      <c r="AV706">
        <v>65</v>
      </c>
      <c r="AW706">
        <v>1</v>
      </c>
      <c r="AX706" t="s">
        <v>74</v>
      </c>
      <c r="AY706" t="s">
        <v>74</v>
      </c>
      <c r="AZ706" t="s">
        <v>74</v>
      </c>
      <c r="BA706" t="s">
        <v>74</v>
      </c>
      <c r="BB706">
        <v>43</v>
      </c>
      <c r="BC706">
        <v>52</v>
      </c>
      <c r="BD706" t="s">
        <v>74</v>
      </c>
      <c r="BE706" t="s">
        <v>13535</v>
      </c>
      <c r="BF706" t="str">
        <f>HYPERLINK("http://dx.doi.org/10.25288/tjb.1002087","http://dx.doi.org/10.25288/tjb.1002087")</f>
        <v>http://dx.doi.org/10.25288/tjb.1002087</v>
      </c>
      <c r="BG706" t="s">
        <v>74</v>
      </c>
      <c r="BH706" t="s">
        <v>74</v>
      </c>
      <c r="BI706">
        <v>10</v>
      </c>
      <c r="BJ706" t="s">
        <v>151</v>
      </c>
      <c r="BK706" t="s">
        <v>724</v>
      </c>
      <c r="BL706" t="s">
        <v>152</v>
      </c>
      <c r="BM706" t="s">
        <v>13536</v>
      </c>
      <c r="BN706" t="s">
        <v>74</v>
      </c>
      <c r="BO706" t="s">
        <v>445</v>
      </c>
      <c r="BP706" t="s">
        <v>74</v>
      </c>
      <c r="BQ706" t="s">
        <v>74</v>
      </c>
      <c r="BR706" t="s">
        <v>106</v>
      </c>
      <c r="BS706" t="s">
        <v>13537</v>
      </c>
      <c r="BT706" t="str">
        <f>HYPERLINK("https%3A%2F%2Fwww.webofscience.com%2Fwos%2Fwoscc%2Ffull-record%2FWOS:000749736700003","View Full Record in Web of Science")</f>
        <v>View Full Record in Web of Science</v>
      </c>
    </row>
    <row r="707" spans="1:72" x14ac:dyDescent="0.15">
      <c r="A707" t="s">
        <v>72</v>
      </c>
      <c r="B707" t="s">
        <v>13538</v>
      </c>
      <c r="C707" t="s">
        <v>74</v>
      </c>
      <c r="D707" t="s">
        <v>74</v>
      </c>
      <c r="E707" t="s">
        <v>74</v>
      </c>
      <c r="F707" t="s">
        <v>13539</v>
      </c>
      <c r="G707" t="s">
        <v>74</v>
      </c>
      <c r="H707" t="s">
        <v>74</v>
      </c>
      <c r="I707" t="s">
        <v>13540</v>
      </c>
      <c r="J707" t="s">
        <v>13541</v>
      </c>
      <c r="K707" t="s">
        <v>74</v>
      </c>
      <c r="L707" t="s">
        <v>74</v>
      </c>
      <c r="M707" t="s">
        <v>78</v>
      </c>
      <c r="N707" t="s">
        <v>79</v>
      </c>
      <c r="O707" t="s">
        <v>74</v>
      </c>
      <c r="P707" t="s">
        <v>74</v>
      </c>
      <c r="Q707" t="s">
        <v>74</v>
      </c>
      <c r="R707" t="s">
        <v>74</v>
      </c>
      <c r="S707" t="s">
        <v>74</v>
      </c>
      <c r="T707" t="s">
        <v>13542</v>
      </c>
      <c r="U707" t="s">
        <v>13543</v>
      </c>
      <c r="V707" t="s">
        <v>13544</v>
      </c>
      <c r="W707" t="s">
        <v>13545</v>
      </c>
      <c r="X707" t="s">
        <v>13546</v>
      </c>
      <c r="Y707" t="s">
        <v>13547</v>
      </c>
      <c r="Z707" t="s">
        <v>13548</v>
      </c>
      <c r="AA707" t="s">
        <v>74</v>
      </c>
      <c r="AB707" t="s">
        <v>74</v>
      </c>
      <c r="AC707" t="s">
        <v>13549</v>
      </c>
      <c r="AD707" t="s">
        <v>13550</v>
      </c>
      <c r="AE707" t="s">
        <v>13551</v>
      </c>
      <c r="AF707" t="s">
        <v>74</v>
      </c>
      <c r="AG707">
        <v>89</v>
      </c>
      <c r="AH707">
        <v>2</v>
      </c>
      <c r="AI707">
        <v>2</v>
      </c>
      <c r="AJ707">
        <v>0</v>
      </c>
      <c r="AK707">
        <v>13</v>
      </c>
      <c r="AL707" t="s">
        <v>1074</v>
      </c>
      <c r="AM707" t="s">
        <v>506</v>
      </c>
      <c r="AN707" t="s">
        <v>1075</v>
      </c>
      <c r="AO707" t="s">
        <v>13552</v>
      </c>
      <c r="AP707" t="s">
        <v>13553</v>
      </c>
      <c r="AQ707" t="s">
        <v>74</v>
      </c>
      <c r="AR707" t="s">
        <v>13554</v>
      </c>
      <c r="AS707" t="s">
        <v>13555</v>
      </c>
      <c r="AT707" t="s">
        <v>4645</v>
      </c>
      <c r="AU707">
        <v>2022</v>
      </c>
      <c r="AV707">
        <v>41</v>
      </c>
      <c r="AW707">
        <v>1</v>
      </c>
      <c r="AX707" t="s">
        <v>74</v>
      </c>
      <c r="AY707" t="s">
        <v>74</v>
      </c>
      <c r="AZ707" t="s">
        <v>74</v>
      </c>
      <c r="BA707" t="s">
        <v>74</v>
      </c>
      <c r="BB707">
        <v>99</v>
      </c>
      <c r="BC707">
        <v>117</v>
      </c>
      <c r="BD707" t="s">
        <v>74</v>
      </c>
      <c r="BE707" t="s">
        <v>13556</v>
      </c>
      <c r="BF707" t="str">
        <f>HYPERLINK("http://dx.doi.org/10.1007/s13131-021-1865-4","http://dx.doi.org/10.1007/s13131-021-1865-4")</f>
        <v>http://dx.doi.org/10.1007/s13131-021-1865-4</v>
      </c>
      <c r="BG707" t="s">
        <v>74</v>
      </c>
      <c r="BH707" t="s">
        <v>74</v>
      </c>
      <c r="BI707">
        <v>19</v>
      </c>
      <c r="BJ707" t="s">
        <v>1131</v>
      </c>
      <c r="BK707" t="s">
        <v>103</v>
      </c>
      <c r="BL707" t="s">
        <v>1131</v>
      </c>
      <c r="BM707" t="s">
        <v>13557</v>
      </c>
      <c r="BN707" t="s">
        <v>74</v>
      </c>
      <c r="BO707" t="s">
        <v>74</v>
      </c>
      <c r="BP707" t="s">
        <v>74</v>
      </c>
      <c r="BQ707" t="s">
        <v>74</v>
      </c>
      <c r="BR707" t="s">
        <v>106</v>
      </c>
      <c r="BS707" t="s">
        <v>13558</v>
      </c>
      <c r="BT707" t="str">
        <f>HYPERLINK("https%3A%2F%2Fwww.webofscience.com%2Fwos%2Fwoscc%2Ffull-record%2FWOS:000745437900010","View Full Record in Web of Science")</f>
        <v>View Full Record in Web of Science</v>
      </c>
    </row>
    <row r="708" spans="1:72" x14ac:dyDescent="0.15">
      <c r="A708" t="s">
        <v>72</v>
      </c>
      <c r="B708" t="s">
        <v>13559</v>
      </c>
      <c r="C708" t="s">
        <v>74</v>
      </c>
      <c r="D708" t="s">
        <v>74</v>
      </c>
      <c r="E708" t="s">
        <v>74</v>
      </c>
      <c r="F708" t="s">
        <v>13560</v>
      </c>
      <c r="G708" t="s">
        <v>74</v>
      </c>
      <c r="H708" t="s">
        <v>74</v>
      </c>
      <c r="I708" t="s">
        <v>13561</v>
      </c>
      <c r="J708" t="s">
        <v>13306</v>
      </c>
      <c r="K708" t="s">
        <v>74</v>
      </c>
      <c r="L708" t="s">
        <v>74</v>
      </c>
      <c r="M708" t="s">
        <v>78</v>
      </c>
      <c r="N708" t="s">
        <v>79</v>
      </c>
      <c r="O708" t="s">
        <v>74</v>
      </c>
      <c r="P708" t="s">
        <v>74</v>
      </c>
      <c r="Q708" t="s">
        <v>74</v>
      </c>
      <c r="R708" t="s">
        <v>74</v>
      </c>
      <c r="S708" t="s">
        <v>74</v>
      </c>
      <c r="T708" t="s">
        <v>13562</v>
      </c>
      <c r="U708" t="s">
        <v>13563</v>
      </c>
      <c r="V708" t="s">
        <v>13564</v>
      </c>
      <c r="W708" t="s">
        <v>13565</v>
      </c>
      <c r="X708" t="s">
        <v>13566</v>
      </c>
      <c r="Y708" t="s">
        <v>13567</v>
      </c>
      <c r="Z708" t="s">
        <v>13568</v>
      </c>
      <c r="AA708" t="s">
        <v>13569</v>
      </c>
      <c r="AB708" t="s">
        <v>13570</v>
      </c>
      <c r="AC708" t="s">
        <v>13571</v>
      </c>
      <c r="AD708" t="s">
        <v>13572</v>
      </c>
      <c r="AE708" t="s">
        <v>13573</v>
      </c>
      <c r="AF708" t="s">
        <v>74</v>
      </c>
      <c r="AG708">
        <v>68</v>
      </c>
      <c r="AH708">
        <v>15</v>
      </c>
      <c r="AI708">
        <v>16</v>
      </c>
      <c r="AJ708">
        <v>6</v>
      </c>
      <c r="AK708">
        <v>64</v>
      </c>
      <c r="AL708" t="s">
        <v>3255</v>
      </c>
      <c r="AM708" t="s">
        <v>606</v>
      </c>
      <c r="AN708" t="s">
        <v>3256</v>
      </c>
      <c r="AO708" t="s">
        <v>13319</v>
      </c>
      <c r="AP708" t="s">
        <v>13320</v>
      </c>
      <c r="AQ708" t="s">
        <v>74</v>
      </c>
      <c r="AR708" t="s">
        <v>13321</v>
      </c>
      <c r="AS708" t="s">
        <v>13322</v>
      </c>
      <c r="AT708" t="s">
        <v>4645</v>
      </c>
      <c r="AU708">
        <v>2022</v>
      </c>
      <c r="AV708">
        <v>88</v>
      </c>
      <c r="AW708">
        <v>1</v>
      </c>
      <c r="AX708" t="s">
        <v>74</v>
      </c>
      <c r="AY708" t="s">
        <v>74</v>
      </c>
      <c r="AZ708" t="s">
        <v>74</v>
      </c>
      <c r="BA708" t="s">
        <v>74</v>
      </c>
      <c r="BB708" t="s">
        <v>74</v>
      </c>
      <c r="BC708" t="s">
        <v>74</v>
      </c>
      <c r="BD708" t="s">
        <v>13574</v>
      </c>
      <c r="BE708" t="s">
        <v>13575</v>
      </c>
      <c r="BF708" t="str">
        <f>HYPERLINK("http://dx.doi.org/10.1128/AEM.01842-21","http://dx.doi.org/10.1128/AEM.01842-21")</f>
        <v>http://dx.doi.org/10.1128/AEM.01842-21</v>
      </c>
      <c r="BG708" t="s">
        <v>74</v>
      </c>
      <c r="BH708" t="s">
        <v>74</v>
      </c>
      <c r="BI708">
        <v>14</v>
      </c>
      <c r="BJ708" t="s">
        <v>9579</v>
      </c>
      <c r="BK708" t="s">
        <v>103</v>
      </c>
      <c r="BL708" t="s">
        <v>9579</v>
      </c>
      <c r="BM708" t="s">
        <v>13576</v>
      </c>
      <c r="BN708">
        <v>34705547</v>
      </c>
      <c r="BO708" t="s">
        <v>640</v>
      </c>
      <c r="BP708" t="s">
        <v>74</v>
      </c>
      <c r="BQ708" t="s">
        <v>74</v>
      </c>
      <c r="BR708" t="s">
        <v>106</v>
      </c>
      <c r="BS708" t="s">
        <v>13577</v>
      </c>
      <c r="BT708" t="str">
        <f>HYPERLINK("https%3A%2F%2Fwww.webofscience.com%2Fwos%2Fwoscc%2Ffull-record%2FWOS:000748722200027","View Full Record in Web of Science")</f>
        <v>View Full Record in Web of Science</v>
      </c>
    </row>
    <row r="709" spans="1:72" x14ac:dyDescent="0.15">
      <c r="A709" t="s">
        <v>72</v>
      </c>
      <c r="B709" t="s">
        <v>13578</v>
      </c>
      <c r="C709" t="s">
        <v>74</v>
      </c>
      <c r="D709" t="s">
        <v>74</v>
      </c>
      <c r="E709" t="s">
        <v>74</v>
      </c>
      <c r="F709" t="s">
        <v>13579</v>
      </c>
      <c r="G709" t="s">
        <v>74</v>
      </c>
      <c r="H709" t="s">
        <v>74</v>
      </c>
      <c r="I709" t="s">
        <v>13580</v>
      </c>
      <c r="J709" t="s">
        <v>13581</v>
      </c>
      <c r="K709" t="s">
        <v>74</v>
      </c>
      <c r="L709" t="s">
        <v>74</v>
      </c>
      <c r="M709" t="s">
        <v>78</v>
      </c>
      <c r="N709" t="s">
        <v>79</v>
      </c>
      <c r="O709" t="s">
        <v>74</v>
      </c>
      <c r="P709" t="s">
        <v>74</v>
      </c>
      <c r="Q709" t="s">
        <v>74</v>
      </c>
      <c r="R709" t="s">
        <v>74</v>
      </c>
      <c r="S709" t="s">
        <v>74</v>
      </c>
      <c r="T709" t="s">
        <v>13582</v>
      </c>
      <c r="U709" t="s">
        <v>13583</v>
      </c>
      <c r="V709" t="s">
        <v>13584</v>
      </c>
      <c r="W709" t="s">
        <v>13585</v>
      </c>
      <c r="X709" t="s">
        <v>13586</v>
      </c>
      <c r="Y709" t="s">
        <v>13587</v>
      </c>
      <c r="Z709" t="s">
        <v>13588</v>
      </c>
      <c r="AA709" t="s">
        <v>13589</v>
      </c>
      <c r="AB709" t="s">
        <v>13590</v>
      </c>
      <c r="AC709" t="s">
        <v>13591</v>
      </c>
      <c r="AD709" t="s">
        <v>13592</v>
      </c>
      <c r="AE709" t="s">
        <v>13593</v>
      </c>
      <c r="AF709" t="s">
        <v>74</v>
      </c>
      <c r="AG709">
        <v>119</v>
      </c>
      <c r="AH709">
        <v>5</v>
      </c>
      <c r="AI709">
        <v>5</v>
      </c>
      <c r="AJ709">
        <v>4</v>
      </c>
      <c r="AK709">
        <v>14</v>
      </c>
      <c r="AL709" t="s">
        <v>2632</v>
      </c>
      <c r="AM709" t="s">
        <v>2633</v>
      </c>
      <c r="AN709" t="s">
        <v>2634</v>
      </c>
      <c r="AO709" t="s">
        <v>74</v>
      </c>
      <c r="AP709" t="s">
        <v>13594</v>
      </c>
      <c r="AQ709" t="s">
        <v>74</v>
      </c>
      <c r="AR709" t="s">
        <v>13581</v>
      </c>
      <c r="AS709" t="s">
        <v>13595</v>
      </c>
      <c r="AT709" t="s">
        <v>4645</v>
      </c>
      <c r="AU709">
        <v>2022</v>
      </c>
      <c r="AV709">
        <v>14</v>
      </c>
      <c r="AW709">
        <v>1</v>
      </c>
      <c r="AX709" t="s">
        <v>74</v>
      </c>
      <c r="AY709" t="s">
        <v>74</v>
      </c>
      <c r="AZ709" t="s">
        <v>74</v>
      </c>
      <c r="BA709" t="s">
        <v>74</v>
      </c>
      <c r="BB709" t="s">
        <v>74</v>
      </c>
      <c r="BC709" t="s">
        <v>74</v>
      </c>
      <c r="BD709">
        <v>56</v>
      </c>
      <c r="BE709" t="s">
        <v>13596</v>
      </c>
      <c r="BF709" t="str">
        <f>HYPERLINK("http://dx.doi.org/10.3390/d14010056","http://dx.doi.org/10.3390/d14010056")</f>
        <v>http://dx.doi.org/10.3390/d14010056</v>
      </c>
      <c r="BG709" t="s">
        <v>74</v>
      </c>
      <c r="BH709" t="s">
        <v>74</v>
      </c>
      <c r="BI709">
        <v>24</v>
      </c>
      <c r="BJ709" t="s">
        <v>1081</v>
      </c>
      <c r="BK709" t="s">
        <v>103</v>
      </c>
      <c r="BL709" t="s">
        <v>1082</v>
      </c>
      <c r="BM709" t="s">
        <v>13597</v>
      </c>
      <c r="BN709" t="s">
        <v>74</v>
      </c>
      <c r="BO709" t="s">
        <v>445</v>
      </c>
      <c r="BP709" t="s">
        <v>74</v>
      </c>
      <c r="BQ709" t="s">
        <v>74</v>
      </c>
      <c r="BR709" t="s">
        <v>106</v>
      </c>
      <c r="BS709" t="s">
        <v>13598</v>
      </c>
      <c r="BT709" t="str">
        <f>HYPERLINK("https%3A%2F%2Fwww.webofscience.com%2Fwos%2Fwoscc%2Ffull-record%2FWOS:000749909200001","View Full Record in Web of Science")</f>
        <v>View Full Record in Web of Science</v>
      </c>
    </row>
    <row r="710" spans="1:72" x14ac:dyDescent="0.15">
      <c r="A710" t="s">
        <v>72</v>
      </c>
      <c r="B710" t="s">
        <v>13599</v>
      </c>
      <c r="C710" t="s">
        <v>74</v>
      </c>
      <c r="D710" t="s">
        <v>74</v>
      </c>
      <c r="E710" t="s">
        <v>74</v>
      </c>
      <c r="F710" t="s">
        <v>13600</v>
      </c>
      <c r="G710" t="s">
        <v>74</v>
      </c>
      <c r="H710" t="s">
        <v>74</v>
      </c>
      <c r="I710" t="s">
        <v>13601</v>
      </c>
      <c r="J710" t="s">
        <v>9737</v>
      </c>
      <c r="K710" t="s">
        <v>74</v>
      </c>
      <c r="L710" t="s">
        <v>74</v>
      </c>
      <c r="M710" t="s">
        <v>78</v>
      </c>
      <c r="N710" t="s">
        <v>79</v>
      </c>
      <c r="O710" t="s">
        <v>74</v>
      </c>
      <c r="P710" t="s">
        <v>74</v>
      </c>
      <c r="Q710" t="s">
        <v>74</v>
      </c>
      <c r="R710" t="s">
        <v>74</v>
      </c>
      <c r="S710" t="s">
        <v>74</v>
      </c>
      <c r="T710" t="s">
        <v>13602</v>
      </c>
      <c r="U710" t="s">
        <v>13603</v>
      </c>
      <c r="V710" t="s">
        <v>13604</v>
      </c>
      <c r="W710" t="s">
        <v>13605</v>
      </c>
      <c r="X710" t="s">
        <v>13606</v>
      </c>
      <c r="Y710" t="s">
        <v>13607</v>
      </c>
      <c r="Z710" t="s">
        <v>13608</v>
      </c>
      <c r="AA710" t="s">
        <v>13609</v>
      </c>
      <c r="AB710" t="s">
        <v>13610</v>
      </c>
      <c r="AC710" t="s">
        <v>13611</v>
      </c>
      <c r="AD710" t="s">
        <v>13612</v>
      </c>
      <c r="AE710" t="s">
        <v>13613</v>
      </c>
      <c r="AF710" t="s">
        <v>74</v>
      </c>
      <c r="AG710">
        <v>43</v>
      </c>
      <c r="AH710">
        <v>3</v>
      </c>
      <c r="AI710">
        <v>3</v>
      </c>
      <c r="AJ710">
        <v>1</v>
      </c>
      <c r="AK710">
        <v>12</v>
      </c>
      <c r="AL710" t="s">
        <v>1667</v>
      </c>
      <c r="AM710" t="s">
        <v>1668</v>
      </c>
      <c r="AN710" t="s">
        <v>1669</v>
      </c>
      <c r="AO710" t="s">
        <v>9750</v>
      </c>
      <c r="AP710" t="s">
        <v>9751</v>
      </c>
      <c r="AQ710" t="s">
        <v>74</v>
      </c>
      <c r="AR710" t="s">
        <v>9752</v>
      </c>
      <c r="AS710" t="s">
        <v>9753</v>
      </c>
      <c r="AT710" t="s">
        <v>74</v>
      </c>
      <c r="AU710">
        <v>2022</v>
      </c>
      <c r="AV710">
        <v>15</v>
      </c>
      <c r="AW710" t="s">
        <v>74</v>
      </c>
      <c r="AX710" t="s">
        <v>74</v>
      </c>
      <c r="AY710" t="s">
        <v>74</v>
      </c>
      <c r="AZ710" t="s">
        <v>74</v>
      </c>
      <c r="BA710" t="s">
        <v>74</v>
      </c>
      <c r="BB710">
        <v>1309</v>
      </c>
      <c r="BC710">
        <v>1326</v>
      </c>
      <c r="BD710" t="s">
        <v>74</v>
      </c>
      <c r="BE710" t="s">
        <v>13614</v>
      </c>
      <c r="BF710" t="str">
        <f>HYPERLINK("http://dx.doi.org/10.1109/JSTARS.2021.3134021","http://dx.doi.org/10.1109/JSTARS.2021.3134021")</f>
        <v>http://dx.doi.org/10.1109/JSTARS.2021.3134021</v>
      </c>
      <c r="BG710" t="s">
        <v>74</v>
      </c>
      <c r="BH710" t="s">
        <v>74</v>
      </c>
      <c r="BI710">
        <v>18</v>
      </c>
      <c r="BJ710" t="s">
        <v>9755</v>
      </c>
      <c r="BK710" t="s">
        <v>103</v>
      </c>
      <c r="BL710" t="s">
        <v>9756</v>
      </c>
      <c r="BM710" t="s">
        <v>13615</v>
      </c>
      <c r="BN710" t="s">
        <v>74</v>
      </c>
      <c r="BO710" t="s">
        <v>292</v>
      </c>
      <c r="BP710" t="s">
        <v>74</v>
      </c>
      <c r="BQ710" t="s">
        <v>74</v>
      </c>
      <c r="BR710" t="s">
        <v>106</v>
      </c>
      <c r="BS710" t="s">
        <v>13616</v>
      </c>
      <c r="BT710" t="str">
        <f>HYPERLINK("https%3A%2F%2Fwww.webofscience.com%2Fwos%2Fwoscc%2Ffull-record%2FWOS:000750397500003","View Full Record in Web of Science")</f>
        <v>View Full Record in Web of Science</v>
      </c>
    </row>
    <row r="711" spans="1:72" x14ac:dyDescent="0.15">
      <c r="A711" t="s">
        <v>72</v>
      </c>
      <c r="B711" t="s">
        <v>13617</v>
      </c>
      <c r="C711" t="s">
        <v>74</v>
      </c>
      <c r="D711" t="s">
        <v>74</v>
      </c>
      <c r="E711" t="s">
        <v>74</v>
      </c>
      <c r="F711" t="s">
        <v>13618</v>
      </c>
      <c r="G711" t="s">
        <v>74</v>
      </c>
      <c r="H711" t="s">
        <v>74</v>
      </c>
      <c r="I711" t="s">
        <v>13619</v>
      </c>
      <c r="J711" t="s">
        <v>13620</v>
      </c>
      <c r="K711" t="s">
        <v>74</v>
      </c>
      <c r="L711" t="s">
        <v>74</v>
      </c>
      <c r="M711" t="s">
        <v>78</v>
      </c>
      <c r="N711" t="s">
        <v>79</v>
      </c>
      <c r="O711" t="s">
        <v>74</v>
      </c>
      <c r="P711" t="s">
        <v>74</v>
      </c>
      <c r="Q711" t="s">
        <v>74</v>
      </c>
      <c r="R711" t="s">
        <v>74</v>
      </c>
      <c r="S711" t="s">
        <v>74</v>
      </c>
      <c r="T711" t="s">
        <v>74</v>
      </c>
      <c r="U711" t="s">
        <v>13621</v>
      </c>
      <c r="V711" t="s">
        <v>13622</v>
      </c>
      <c r="W711" t="s">
        <v>13623</v>
      </c>
      <c r="X711" t="s">
        <v>13624</v>
      </c>
      <c r="Y711" t="s">
        <v>13625</v>
      </c>
      <c r="Z711" t="s">
        <v>13626</v>
      </c>
      <c r="AA711" t="s">
        <v>13627</v>
      </c>
      <c r="AB711" t="s">
        <v>13628</v>
      </c>
      <c r="AC711" t="s">
        <v>13629</v>
      </c>
      <c r="AD711" t="s">
        <v>13630</v>
      </c>
      <c r="AE711" t="s">
        <v>13631</v>
      </c>
      <c r="AF711" t="s">
        <v>74</v>
      </c>
      <c r="AG711">
        <v>87</v>
      </c>
      <c r="AH711">
        <v>11</v>
      </c>
      <c r="AI711">
        <v>11</v>
      </c>
      <c r="AJ711">
        <v>5</v>
      </c>
      <c r="AK711">
        <v>10</v>
      </c>
      <c r="AL711" t="s">
        <v>13632</v>
      </c>
      <c r="AM711" t="s">
        <v>606</v>
      </c>
      <c r="AN711" t="s">
        <v>13633</v>
      </c>
      <c r="AO711" t="s">
        <v>13634</v>
      </c>
      <c r="AP711" t="s">
        <v>74</v>
      </c>
      <c r="AQ711" t="s">
        <v>74</v>
      </c>
      <c r="AR711" t="s">
        <v>13635</v>
      </c>
      <c r="AS711" t="s">
        <v>13636</v>
      </c>
      <c r="AT711" t="s">
        <v>4645</v>
      </c>
      <c r="AU711">
        <v>2022</v>
      </c>
      <c r="AV711">
        <v>8</v>
      </c>
      <c r="AW711">
        <v>4</v>
      </c>
      <c r="AX711" t="s">
        <v>74</v>
      </c>
      <c r="AY711" t="s">
        <v>74</v>
      </c>
      <c r="AZ711" t="s">
        <v>74</v>
      </c>
      <c r="BA711" t="s">
        <v>74</v>
      </c>
      <c r="BB711" t="s">
        <v>74</v>
      </c>
      <c r="BC711" t="s">
        <v>74</v>
      </c>
      <c r="BD711" t="s">
        <v>13637</v>
      </c>
      <c r="BE711" t="s">
        <v>13638</v>
      </c>
      <c r="BF711" t="str">
        <f>HYPERLINK("http://dx.doi.org/10.1126/sciadv.abj8138","http://dx.doi.org/10.1126/sciadv.abj8138")</f>
        <v>http://dx.doi.org/10.1126/sciadv.abj8138</v>
      </c>
      <c r="BG711" t="s">
        <v>74</v>
      </c>
      <c r="BH711" t="s">
        <v>74</v>
      </c>
      <c r="BI711">
        <v>14</v>
      </c>
      <c r="BJ711" t="s">
        <v>289</v>
      </c>
      <c r="BK711" t="s">
        <v>103</v>
      </c>
      <c r="BL711" t="s">
        <v>290</v>
      </c>
      <c r="BM711" t="s">
        <v>13639</v>
      </c>
      <c r="BN711">
        <v>35080966</v>
      </c>
      <c r="BO711" t="s">
        <v>640</v>
      </c>
      <c r="BP711" t="s">
        <v>74</v>
      </c>
      <c r="BQ711" t="s">
        <v>74</v>
      </c>
      <c r="BR711" t="s">
        <v>106</v>
      </c>
      <c r="BS711" t="s">
        <v>13640</v>
      </c>
      <c r="BT711" t="str">
        <f>HYPERLINK("https%3A%2F%2Fwww.webofscience.com%2Fwos%2Fwoscc%2Ffull-record%2FWOS:000747329300010","View Full Record in Web of Science")</f>
        <v>View Full Record in Web of Science</v>
      </c>
    </row>
    <row r="712" spans="1:72" x14ac:dyDescent="0.15">
      <c r="A712" t="s">
        <v>72</v>
      </c>
      <c r="B712" t="s">
        <v>13641</v>
      </c>
      <c r="C712" t="s">
        <v>74</v>
      </c>
      <c r="D712" t="s">
        <v>74</v>
      </c>
      <c r="E712" t="s">
        <v>74</v>
      </c>
      <c r="F712" t="s">
        <v>13642</v>
      </c>
      <c r="G712" t="s">
        <v>74</v>
      </c>
      <c r="H712" t="s">
        <v>74</v>
      </c>
      <c r="I712" t="s">
        <v>13643</v>
      </c>
      <c r="J712" t="s">
        <v>13134</v>
      </c>
      <c r="K712" t="s">
        <v>74</v>
      </c>
      <c r="L712" t="s">
        <v>74</v>
      </c>
      <c r="M712" t="s">
        <v>78</v>
      </c>
      <c r="N712" t="s">
        <v>79</v>
      </c>
      <c r="O712" t="s">
        <v>74</v>
      </c>
      <c r="P712" t="s">
        <v>74</v>
      </c>
      <c r="Q712" t="s">
        <v>74</v>
      </c>
      <c r="R712" t="s">
        <v>74</v>
      </c>
      <c r="S712" t="s">
        <v>74</v>
      </c>
      <c r="T712" t="s">
        <v>13644</v>
      </c>
      <c r="U712" t="s">
        <v>13645</v>
      </c>
      <c r="V712" t="s">
        <v>13646</v>
      </c>
      <c r="W712" t="s">
        <v>13647</v>
      </c>
      <c r="X712" t="s">
        <v>13648</v>
      </c>
      <c r="Y712" t="s">
        <v>13649</v>
      </c>
      <c r="Z712" t="s">
        <v>13650</v>
      </c>
      <c r="AA712" t="s">
        <v>13651</v>
      </c>
      <c r="AB712" t="s">
        <v>13652</v>
      </c>
      <c r="AC712" t="s">
        <v>13653</v>
      </c>
      <c r="AD712" t="s">
        <v>13654</v>
      </c>
      <c r="AE712" t="s">
        <v>13655</v>
      </c>
      <c r="AF712" t="s">
        <v>74</v>
      </c>
      <c r="AG712">
        <v>68</v>
      </c>
      <c r="AH712">
        <v>1</v>
      </c>
      <c r="AI712">
        <v>2</v>
      </c>
      <c r="AJ712">
        <v>2</v>
      </c>
      <c r="AK712">
        <v>8</v>
      </c>
      <c r="AL712" t="s">
        <v>2632</v>
      </c>
      <c r="AM712" t="s">
        <v>2633</v>
      </c>
      <c r="AN712" t="s">
        <v>2634</v>
      </c>
      <c r="AO712" t="s">
        <v>74</v>
      </c>
      <c r="AP712" t="s">
        <v>13147</v>
      </c>
      <c r="AQ712" t="s">
        <v>74</v>
      </c>
      <c r="AR712" t="s">
        <v>13148</v>
      </c>
      <c r="AS712" t="s">
        <v>13149</v>
      </c>
      <c r="AT712" t="s">
        <v>4645</v>
      </c>
      <c r="AU712">
        <v>2022</v>
      </c>
      <c r="AV712">
        <v>14</v>
      </c>
      <c r="AW712">
        <v>1</v>
      </c>
      <c r="AX712" t="s">
        <v>74</v>
      </c>
      <c r="AY712" t="s">
        <v>74</v>
      </c>
      <c r="AZ712" t="s">
        <v>74</v>
      </c>
      <c r="BA712" t="s">
        <v>74</v>
      </c>
      <c r="BB712" t="s">
        <v>74</v>
      </c>
      <c r="BC712" t="s">
        <v>74</v>
      </c>
      <c r="BD712">
        <v>109</v>
      </c>
      <c r="BE712" t="s">
        <v>13656</v>
      </c>
      <c r="BF712" t="str">
        <f>HYPERLINK("http://dx.doi.org/10.3390/w14010109","http://dx.doi.org/10.3390/w14010109")</f>
        <v>http://dx.doi.org/10.3390/w14010109</v>
      </c>
      <c r="BG712" t="s">
        <v>74</v>
      </c>
      <c r="BH712" t="s">
        <v>74</v>
      </c>
      <c r="BI712">
        <v>12</v>
      </c>
      <c r="BJ712" t="s">
        <v>13151</v>
      </c>
      <c r="BK712" t="s">
        <v>103</v>
      </c>
      <c r="BL712" t="s">
        <v>13152</v>
      </c>
      <c r="BM712" t="s">
        <v>13657</v>
      </c>
      <c r="BN712" t="s">
        <v>74</v>
      </c>
      <c r="BO712" t="s">
        <v>445</v>
      </c>
      <c r="BP712" t="s">
        <v>74</v>
      </c>
      <c r="BQ712" t="s">
        <v>74</v>
      </c>
      <c r="BR712" t="s">
        <v>106</v>
      </c>
      <c r="BS712" t="s">
        <v>13658</v>
      </c>
      <c r="BT712" t="str">
        <f>HYPERLINK("https%3A%2F%2Fwww.webofscience.com%2Fwos%2Fwoscc%2Ffull-record%2FWOS:000751400300001","View Full Record in Web of Science")</f>
        <v>View Full Record in Web of Science</v>
      </c>
    </row>
    <row r="713" spans="1:72" x14ac:dyDescent="0.15">
      <c r="A713" t="s">
        <v>72</v>
      </c>
      <c r="B713" t="s">
        <v>13659</v>
      </c>
      <c r="C713" t="s">
        <v>74</v>
      </c>
      <c r="D713" t="s">
        <v>74</v>
      </c>
      <c r="E713" t="s">
        <v>74</v>
      </c>
      <c r="F713" t="s">
        <v>13660</v>
      </c>
      <c r="G713" t="s">
        <v>74</v>
      </c>
      <c r="H713" t="s">
        <v>74</v>
      </c>
      <c r="I713" t="s">
        <v>13661</v>
      </c>
      <c r="J713" t="s">
        <v>3759</v>
      </c>
      <c r="K713" t="s">
        <v>74</v>
      </c>
      <c r="L713" t="s">
        <v>74</v>
      </c>
      <c r="M713" t="s">
        <v>78</v>
      </c>
      <c r="N713" t="s">
        <v>79</v>
      </c>
      <c r="O713" t="s">
        <v>74</v>
      </c>
      <c r="P713" t="s">
        <v>74</v>
      </c>
      <c r="Q713" t="s">
        <v>74</v>
      </c>
      <c r="R713" t="s">
        <v>74</v>
      </c>
      <c r="S713" t="s">
        <v>74</v>
      </c>
      <c r="T713" t="s">
        <v>13662</v>
      </c>
      <c r="U713" t="s">
        <v>13663</v>
      </c>
      <c r="V713" t="s">
        <v>13664</v>
      </c>
      <c r="W713" t="s">
        <v>13665</v>
      </c>
      <c r="X713" t="s">
        <v>13666</v>
      </c>
      <c r="Y713" t="s">
        <v>13667</v>
      </c>
      <c r="Z713" t="s">
        <v>13668</v>
      </c>
      <c r="AA713" t="s">
        <v>74</v>
      </c>
      <c r="AB713" t="s">
        <v>13669</v>
      </c>
      <c r="AC713" t="s">
        <v>74</v>
      </c>
      <c r="AD713" t="s">
        <v>74</v>
      </c>
      <c r="AE713" t="s">
        <v>74</v>
      </c>
      <c r="AF713" t="s">
        <v>74</v>
      </c>
      <c r="AG713">
        <v>47</v>
      </c>
      <c r="AH713">
        <v>5</v>
      </c>
      <c r="AI713">
        <v>5</v>
      </c>
      <c r="AJ713">
        <v>0</v>
      </c>
      <c r="AK713">
        <v>11</v>
      </c>
      <c r="AL713" t="s">
        <v>2632</v>
      </c>
      <c r="AM713" t="s">
        <v>2633</v>
      </c>
      <c r="AN713" t="s">
        <v>2634</v>
      </c>
      <c r="AO713" t="s">
        <v>74</v>
      </c>
      <c r="AP713" t="s">
        <v>3772</v>
      </c>
      <c r="AQ713" t="s">
        <v>74</v>
      </c>
      <c r="AR713" t="s">
        <v>3773</v>
      </c>
      <c r="AS713" t="s">
        <v>3774</v>
      </c>
      <c r="AT713" t="s">
        <v>4645</v>
      </c>
      <c r="AU713">
        <v>2022</v>
      </c>
      <c r="AV713">
        <v>10</v>
      </c>
      <c r="AW713">
        <v>1</v>
      </c>
      <c r="AX713" t="s">
        <v>74</v>
      </c>
      <c r="AY713" t="s">
        <v>74</v>
      </c>
      <c r="AZ713" t="s">
        <v>74</v>
      </c>
      <c r="BA713" t="s">
        <v>74</v>
      </c>
      <c r="BB713" t="s">
        <v>74</v>
      </c>
      <c r="BC713" t="s">
        <v>74</v>
      </c>
      <c r="BD713">
        <v>56</v>
      </c>
      <c r="BE713" t="s">
        <v>13670</v>
      </c>
      <c r="BF713" t="str">
        <f>HYPERLINK("http://dx.doi.org/10.3390/jmse10010056","http://dx.doi.org/10.3390/jmse10010056")</f>
        <v>http://dx.doi.org/10.3390/jmse10010056</v>
      </c>
      <c r="BG713" t="s">
        <v>74</v>
      </c>
      <c r="BH713" t="s">
        <v>74</v>
      </c>
      <c r="BI713">
        <v>14</v>
      </c>
      <c r="BJ713" t="s">
        <v>3776</v>
      </c>
      <c r="BK713" t="s">
        <v>103</v>
      </c>
      <c r="BL713" t="s">
        <v>3777</v>
      </c>
      <c r="BM713" t="s">
        <v>13671</v>
      </c>
      <c r="BN713" t="s">
        <v>74</v>
      </c>
      <c r="BO713" t="s">
        <v>445</v>
      </c>
      <c r="BP713" t="s">
        <v>74</v>
      </c>
      <c r="BQ713" t="s">
        <v>74</v>
      </c>
      <c r="BR713" t="s">
        <v>106</v>
      </c>
      <c r="BS713" t="s">
        <v>13672</v>
      </c>
      <c r="BT713" t="str">
        <f>HYPERLINK("https%3A%2F%2Fwww.webofscience.com%2Fwos%2Fwoscc%2Ffull-record%2FWOS:000749815000001","View Full Record in Web of Science")</f>
        <v>View Full Record in Web of Science</v>
      </c>
    </row>
    <row r="714" spans="1:72" x14ac:dyDescent="0.15">
      <c r="A714" t="s">
        <v>72</v>
      </c>
      <c r="B714" t="s">
        <v>13673</v>
      </c>
      <c r="C714" t="s">
        <v>74</v>
      </c>
      <c r="D714" t="s">
        <v>74</v>
      </c>
      <c r="E714" t="s">
        <v>74</v>
      </c>
      <c r="F714" t="s">
        <v>13674</v>
      </c>
      <c r="G714" t="s">
        <v>74</v>
      </c>
      <c r="H714" t="s">
        <v>74</v>
      </c>
      <c r="I714" t="s">
        <v>13675</v>
      </c>
      <c r="J714" t="s">
        <v>13676</v>
      </c>
      <c r="K714" t="s">
        <v>74</v>
      </c>
      <c r="L714" t="s">
        <v>74</v>
      </c>
      <c r="M714" t="s">
        <v>78</v>
      </c>
      <c r="N714" t="s">
        <v>79</v>
      </c>
      <c r="O714" t="s">
        <v>74</v>
      </c>
      <c r="P714" t="s">
        <v>74</v>
      </c>
      <c r="Q714" t="s">
        <v>74</v>
      </c>
      <c r="R714" t="s">
        <v>74</v>
      </c>
      <c r="S714" t="s">
        <v>74</v>
      </c>
      <c r="T714" t="s">
        <v>13677</v>
      </c>
      <c r="U714" t="s">
        <v>13678</v>
      </c>
      <c r="V714" t="s">
        <v>13679</v>
      </c>
      <c r="W714" t="s">
        <v>13680</v>
      </c>
      <c r="X714" t="s">
        <v>13681</v>
      </c>
      <c r="Y714" t="s">
        <v>13682</v>
      </c>
      <c r="Z714" t="s">
        <v>13683</v>
      </c>
      <c r="AA714" t="s">
        <v>13684</v>
      </c>
      <c r="AB714" t="s">
        <v>13685</v>
      </c>
      <c r="AC714" t="s">
        <v>13686</v>
      </c>
      <c r="AD714" t="s">
        <v>13687</v>
      </c>
      <c r="AE714" t="s">
        <v>13688</v>
      </c>
      <c r="AF714" t="s">
        <v>74</v>
      </c>
      <c r="AG714">
        <v>97</v>
      </c>
      <c r="AH714">
        <v>9</v>
      </c>
      <c r="AI714">
        <v>10</v>
      </c>
      <c r="AJ714">
        <v>3</v>
      </c>
      <c r="AK714">
        <v>7</v>
      </c>
      <c r="AL714" t="s">
        <v>198</v>
      </c>
      <c r="AM714" t="s">
        <v>506</v>
      </c>
      <c r="AN714" t="s">
        <v>1695</v>
      </c>
      <c r="AO714" t="s">
        <v>13689</v>
      </c>
      <c r="AP714" t="s">
        <v>13690</v>
      </c>
      <c r="AQ714" t="s">
        <v>74</v>
      </c>
      <c r="AR714" t="s">
        <v>13691</v>
      </c>
      <c r="AS714" t="s">
        <v>13692</v>
      </c>
      <c r="AT714" t="s">
        <v>4645</v>
      </c>
      <c r="AU714">
        <v>2022</v>
      </c>
      <c r="AV714">
        <v>105</v>
      </c>
      <c r="AW714" t="s">
        <v>74</v>
      </c>
      <c r="AX714" t="s">
        <v>74</v>
      </c>
      <c r="AY714" t="s">
        <v>74</v>
      </c>
      <c r="AZ714" t="s">
        <v>74</v>
      </c>
      <c r="BA714" t="s">
        <v>74</v>
      </c>
      <c r="BB714">
        <v>166</v>
      </c>
      <c r="BC714">
        <v>181</v>
      </c>
      <c r="BD714" t="s">
        <v>74</v>
      </c>
      <c r="BE714" t="s">
        <v>13693</v>
      </c>
      <c r="BF714" t="str">
        <f>HYPERLINK("http://dx.doi.org/10.1017/qua.2021.45","http://dx.doi.org/10.1017/qua.2021.45")</f>
        <v>http://dx.doi.org/10.1017/qua.2021.45</v>
      </c>
      <c r="BG714" t="s">
        <v>74</v>
      </c>
      <c r="BH714" t="s">
        <v>74</v>
      </c>
      <c r="BI714">
        <v>16</v>
      </c>
      <c r="BJ714" t="s">
        <v>208</v>
      </c>
      <c r="BK714" t="s">
        <v>103</v>
      </c>
      <c r="BL714" t="s">
        <v>209</v>
      </c>
      <c r="BM714" t="s">
        <v>13694</v>
      </c>
      <c r="BN714" t="s">
        <v>74</v>
      </c>
      <c r="BO714" t="s">
        <v>74</v>
      </c>
      <c r="BP714" t="s">
        <v>74</v>
      </c>
      <c r="BQ714" t="s">
        <v>74</v>
      </c>
      <c r="BR714" t="s">
        <v>106</v>
      </c>
      <c r="BS714" t="s">
        <v>13695</v>
      </c>
      <c r="BT714" t="str">
        <f>HYPERLINK("https%3A%2F%2Fwww.webofscience.com%2Fwos%2Fwoscc%2Ffull-record%2FWOS:000749708100012","View Full Record in Web of Science")</f>
        <v>View Full Record in Web of Science</v>
      </c>
    </row>
    <row r="715" spans="1:72" x14ac:dyDescent="0.15">
      <c r="A715" t="s">
        <v>72</v>
      </c>
      <c r="B715" t="s">
        <v>13696</v>
      </c>
      <c r="C715" t="s">
        <v>74</v>
      </c>
      <c r="D715" t="s">
        <v>74</v>
      </c>
      <c r="E715" t="s">
        <v>74</v>
      </c>
      <c r="F715" t="s">
        <v>13697</v>
      </c>
      <c r="G715" t="s">
        <v>74</v>
      </c>
      <c r="H715" t="s">
        <v>74</v>
      </c>
      <c r="I715" t="s">
        <v>13698</v>
      </c>
      <c r="J715" t="s">
        <v>2724</v>
      </c>
      <c r="K715" t="s">
        <v>74</v>
      </c>
      <c r="L715" t="s">
        <v>74</v>
      </c>
      <c r="M715" t="s">
        <v>78</v>
      </c>
      <c r="N715" t="s">
        <v>79</v>
      </c>
      <c r="O715" t="s">
        <v>74</v>
      </c>
      <c r="P715" t="s">
        <v>74</v>
      </c>
      <c r="Q715" t="s">
        <v>74</v>
      </c>
      <c r="R715" t="s">
        <v>74</v>
      </c>
      <c r="S715" t="s">
        <v>74</v>
      </c>
      <c r="T715" t="s">
        <v>13699</v>
      </c>
      <c r="U715" t="s">
        <v>13700</v>
      </c>
      <c r="V715" t="s">
        <v>13701</v>
      </c>
      <c r="W715" t="s">
        <v>13702</v>
      </c>
      <c r="X715" t="s">
        <v>13703</v>
      </c>
      <c r="Y715" t="s">
        <v>13704</v>
      </c>
      <c r="Z715" t="s">
        <v>13705</v>
      </c>
      <c r="AA715" t="s">
        <v>13706</v>
      </c>
      <c r="AB715" t="s">
        <v>13707</v>
      </c>
      <c r="AC715" t="s">
        <v>13708</v>
      </c>
      <c r="AD715" t="s">
        <v>13709</v>
      </c>
      <c r="AE715" t="s">
        <v>13710</v>
      </c>
      <c r="AF715" t="s">
        <v>74</v>
      </c>
      <c r="AG715">
        <v>138</v>
      </c>
      <c r="AH715">
        <v>1</v>
      </c>
      <c r="AI715">
        <v>1</v>
      </c>
      <c r="AJ715">
        <v>3</v>
      </c>
      <c r="AK715">
        <v>15</v>
      </c>
      <c r="AL715" t="s">
        <v>2632</v>
      </c>
      <c r="AM715" t="s">
        <v>2633</v>
      </c>
      <c r="AN715" t="s">
        <v>2634</v>
      </c>
      <c r="AO715" t="s">
        <v>74</v>
      </c>
      <c r="AP715" t="s">
        <v>2737</v>
      </c>
      <c r="AQ715" t="s">
        <v>74</v>
      </c>
      <c r="AR715" t="s">
        <v>2738</v>
      </c>
      <c r="AS715" t="s">
        <v>2739</v>
      </c>
      <c r="AT715" t="s">
        <v>4645</v>
      </c>
      <c r="AU715">
        <v>2022</v>
      </c>
      <c r="AV715">
        <v>14</v>
      </c>
      <c r="AW715">
        <v>2</v>
      </c>
      <c r="AX715" t="s">
        <v>74</v>
      </c>
      <c r="AY715" t="s">
        <v>74</v>
      </c>
      <c r="AZ715" t="s">
        <v>74</v>
      </c>
      <c r="BA715" t="s">
        <v>74</v>
      </c>
      <c r="BB715" t="s">
        <v>74</v>
      </c>
      <c r="BC715" t="s">
        <v>74</v>
      </c>
      <c r="BD715">
        <v>332</v>
      </c>
      <c r="BE715" t="s">
        <v>13711</v>
      </c>
      <c r="BF715" t="str">
        <f>HYPERLINK("http://dx.doi.org/10.3390/rs14020332","http://dx.doi.org/10.3390/rs14020332")</f>
        <v>http://dx.doi.org/10.3390/rs14020332</v>
      </c>
      <c r="BG715" t="s">
        <v>74</v>
      </c>
      <c r="BH715" t="s">
        <v>74</v>
      </c>
      <c r="BI715">
        <v>30</v>
      </c>
      <c r="BJ715" t="s">
        <v>2741</v>
      </c>
      <c r="BK715" t="s">
        <v>103</v>
      </c>
      <c r="BL715" t="s">
        <v>2742</v>
      </c>
      <c r="BM715" t="s">
        <v>13712</v>
      </c>
      <c r="BN715" t="s">
        <v>74</v>
      </c>
      <c r="BO715" t="s">
        <v>445</v>
      </c>
      <c r="BP715" t="s">
        <v>74</v>
      </c>
      <c r="BQ715" t="s">
        <v>74</v>
      </c>
      <c r="BR715" t="s">
        <v>106</v>
      </c>
      <c r="BS715" t="s">
        <v>13713</v>
      </c>
      <c r="BT715" t="str">
        <f>HYPERLINK("https%3A%2F%2Fwww.webofscience.com%2Fwos%2Fwoscc%2Ffull-record%2FWOS:000748958400001","View Full Record in Web of Science")</f>
        <v>View Full Record in Web of Science</v>
      </c>
    </row>
    <row r="716" spans="1:72" x14ac:dyDescent="0.15">
      <c r="A716" t="s">
        <v>72</v>
      </c>
      <c r="B716" t="s">
        <v>13714</v>
      </c>
      <c r="C716" t="s">
        <v>74</v>
      </c>
      <c r="D716" t="s">
        <v>74</v>
      </c>
      <c r="E716" t="s">
        <v>74</v>
      </c>
      <c r="F716" t="s">
        <v>13715</v>
      </c>
      <c r="G716" t="s">
        <v>74</v>
      </c>
      <c r="H716" t="s">
        <v>74</v>
      </c>
      <c r="I716" t="s">
        <v>13716</v>
      </c>
      <c r="J716" t="s">
        <v>2724</v>
      </c>
      <c r="K716" t="s">
        <v>74</v>
      </c>
      <c r="L716" t="s">
        <v>74</v>
      </c>
      <c r="M716" t="s">
        <v>78</v>
      </c>
      <c r="N716" t="s">
        <v>79</v>
      </c>
      <c r="O716" t="s">
        <v>74</v>
      </c>
      <c r="P716" t="s">
        <v>74</v>
      </c>
      <c r="Q716" t="s">
        <v>74</v>
      </c>
      <c r="R716" t="s">
        <v>74</v>
      </c>
      <c r="S716" t="s">
        <v>74</v>
      </c>
      <c r="T716" t="s">
        <v>13717</v>
      </c>
      <c r="U716" t="s">
        <v>13718</v>
      </c>
      <c r="V716" t="s">
        <v>13719</v>
      </c>
      <c r="W716" t="s">
        <v>13720</v>
      </c>
      <c r="X716" t="s">
        <v>13721</v>
      </c>
      <c r="Y716" t="s">
        <v>13722</v>
      </c>
      <c r="Z716" t="s">
        <v>13723</v>
      </c>
      <c r="AA716" t="s">
        <v>13724</v>
      </c>
      <c r="AB716" t="s">
        <v>13725</v>
      </c>
      <c r="AC716" t="s">
        <v>13726</v>
      </c>
      <c r="AD716" t="s">
        <v>13727</v>
      </c>
      <c r="AE716" t="s">
        <v>13728</v>
      </c>
      <c r="AF716" t="s">
        <v>74</v>
      </c>
      <c r="AG716">
        <v>43</v>
      </c>
      <c r="AH716">
        <v>3</v>
      </c>
      <c r="AI716">
        <v>4</v>
      </c>
      <c r="AJ716">
        <v>2</v>
      </c>
      <c r="AK716">
        <v>20</v>
      </c>
      <c r="AL716" t="s">
        <v>2632</v>
      </c>
      <c r="AM716" t="s">
        <v>2633</v>
      </c>
      <c r="AN716" t="s">
        <v>2634</v>
      </c>
      <c r="AO716" t="s">
        <v>74</v>
      </c>
      <c r="AP716" t="s">
        <v>2737</v>
      </c>
      <c r="AQ716" t="s">
        <v>74</v>
      </c>
      <c r="AR716" t="s">
        <v>2738</v>
      </c>
      <c r="AS716" t="s">
        <v>2739</v>
      </c>
      <c r="AT716" t="s">
        <v>4645</v>
      </c>
      <c r="AU716">
        <v>2022</v>
      </c>
      <c r="AV716">
        <v>14</v>
      </c>
      <c r="AW716">
        <v>2</v>
      </c>
      <c r="AX716" t="s">
        <v>74</v>
      </c>
      <c r="AY716" t="s">
        <v>74</v>
      </c>
      <c r="AZ716" t="s">
        <v>74</v>
      </c>
      <c r="BA716" t="s">
        <v>74</v>
      </c>
      <c r="BB716" t="s">
        <v>74</v>
      </c>
      <c r="BC716" t="s">
        <v>74</v>
      </c>
      <c r="BD716">
        <v>391</v>
      </c>
      <c r="BE716" t="s">
        <v>13729</v>
      </c>
      <c r="BF716" t="str">
        <f>HYPERLINK("http://dx.doi.org/10.3390/rs14020391","http://dx.doi.org/10.3390/rs14020391")</f>
        <v>http://dx.doi.org/10.3390/rs14020391</v>
      </c>
      <c r="BG716" t="s">
        <v>74</v>
      </c>
      <c r="BH716" t="s">
        <v>74</v>
      </c>
      <c r="BI716">
        <v>15</v>
      </c>
      <c r="BJ716" t="s">
        <v>2741</v>
      </c>
      <c r="BK716" t="s">
        <v>103</v>
      </c>
      <c r="BL716" t="s">
        <v>2742</v>
      </c>
      <c r="BM716" t="s">
        <v>13730</v>
      </c>
      <c r="BN716" t="s">
        <v>74</v>
      </c>
      <c r="BO716" t="s">
        <v>445</v>
      </c>
      <c r="BP716" t="s">
        <v>74</v>
      </c>
      <c r="BQ716" t="s">
        <v>74</v>
      </c>
      <c r="BR716" t="s">
        <v>106</v>
      </c>
      <c r="BS716" t="s">
        <v>13731</v>
      </c>
      <c r="BT716" t="str">
        <f>HYPERLINK("https%3A%2F%2Fwww.webofscience.com%2Fwos%2Fwoscc%2Ffull-record%2FWOS:000747920300001","View Full Record in Web of Science")</f>
        <v>View Full Record in Web of Science</v>
      </c>
    </row>
    <row r="717" spans="1:72" x14ac:dyDescent="0.15">
      <c r="A717" t="s">
        <v>72</v>
      </c>
      <c r="B717" t="s">
        <v>13732</v>
      </c>
      <c r="C717" t="s">
        <v>74</v>
      </c>
      <c r="D717" t="s">
        <v>74</v>
      </c>
      <c r="E717" t="s">
        <v>74</v>
      </c>
      <c r="F717" t="s">
        <v>13733</v>
      </c>
      <c r="G717" t="s">
        <v>74</v>
      </c>
      <c r="H717" t="s">
        <v>74</v>
      </c>
      <c r="I717" t="s">
        <v>13734</v>
      </c>
      <c r="J717" t="s">
        <v>10767</v>
      </c>
      <c r="K717" t="s">
        <v>74</v>
      </c>
      <c r="L717" t="s">
        <v>74</v>
      </c>
      <c r="M717" t="s">
        <v>78</v>
      </c>
      <c r="N717" t="s">
        <v>79</v>
      </c>
      <c r="O717" t="s">
        <v>74</v>
      </c>
      <c r="P717" t="s">
        <v>74</v>
      </c>
      <c r="Q717" t="s">
        <v>74</v>
      </c>
      <c r="R717" t="s">
        <v>74</v>
      </c>
      <c r="S717" t="s">
        <v>74</v>
      </c>
      <c r="T717" t="s">
        <v>13735</v>
      </c>
      <c r="U717" t="s">
        <v>13736</v>
      </c>
      <c r="V717" t="s">
        <v>13737</v>
      </c>
      <c r="W717" t="s">
        <v>13738</v>
      </c>
      <c r="X717" t="s">
        <v>13739</v>
      </c>
      <c r="Y717" t="s">
        <v>13740</v>
      </c>
      <c r="Z717" t="s">
        <v>13741</v>
      </c>
      <c r="AA717" t="s">
        <v>13742</v>
      </c>
      <c r="AB717" t="s">
        <v>13743</v>
      </c>
      <c r="AC717" t="s">
        <v>13744</v>
      </c>
      <c r="AD717" t="s">
        <v>13745</v>
      </c>
      <c r="AE717" t="s">
        <v>13746</v>
      </c>
      <c r="AF717" t="s">
        <v>74</v>
      </c>
      <c r="AG717">
        <v>16</v>
      </c>
      <c r="AH717">
        <v>3</v>
      </c>
      <c r="AI717">
        <v>4</v>
      </c>
      <c r="AJ717">
        <v>2</v>
      </c>
      <c r="AK717">
        <v>19</v>
      </c>
      <c r="AL717" t="s">
        <v>1667</v>
      </c>
      <c r="AM717" t="s">
        <v>1668</v>
      </c>
      <c r="AN717" t="s">
        <v>1669</v>
      </c>
      <c r="AO717" t="s">
        <v>10780</v>
      </c>
      <c r="AP717" t="s">
        <v>10781</v>
      </c>
      <c r="AQ717" t="s">
        <v>74</v>
      </c>
      <c r="AR717" t="s">
        <v>10782</v>
      </c>
      <c r="AS717" t="s">
        <v>10783</v>
      </c>
      <c r="AT717" t="s">
        <v>74</v>
      </c>
      <c r="AU717">
        <v>2022</v>
      </c>
      <c r="AV717">
        <v>19</v>
      </c>
      <c r="AW717" t="s">
        <v>74</v>
      </c>
      <c r="AX717" t="s">
        <v>74</v>
      </c>
      <c r="AY717" t="s">
        <v>74</v>
      </c>
      <c r="AZ717" t="s">
        <v>74</v>
      </c>
      <c r="BA717" t="s">
        <v>74</v>
      </c>
      <c r="BB717" t="s">
        <v>74</v>
      </c>
      <c r="BC717" t="s">
        <v>74</v>
      </c>
      <c r="BD717">
        <v>1002905</v>
      </c>
      <c r="BE717" t="s">
        <v>13747</v>
      </c>
      <c r="BF717" t="str">
        <f>HYPERLINK("http://dx.doi.org/10.1109/LGRS.2021.3092511","http://dx.doi.org/10.1109/LGRS.2021.3092511")</f>
        <v>http://dx.doi.org/10.1109/LGRS.2021.3092511</v>
      </c>
      <c r="BG717" t="s">
        <v>74</v>
      </c>
      <c r="BH717" t="s">
        <v>74</v>
      </c>
      <c r="BI717">
        <v>5</v>
      </c>
      <c r="BJ717" t="s">
        <v>9214</v>
      </c>
      <c r="BK717" t="s">
        <v>103</v>
      </c>
      <c r="BL717" t="s">
        <v>9215</v>
      </c>
      <c r="BM717" t="s">
        <v>13748</v>
      </c>
      <c r="BN717" t="s">
        <v>74</v>
      </c>
      <c r="BO717" t="s">
        <v>948</v>
      </c>
      <c r="BP717" t="s">
        <v>74</v>
      </c>
      <c r="BQ717" t="s">
        <v>74</v>
      </c>
      <c r="BR717" t="s">
        <v>106</v>
      </c>
      <c r="BS717" t="s">
        <v>13749</v>
      </c>
      <c r="BT717" t="str">
        <f>HYPERLINK("https%3A%2F%2Fwww.webofscience.com%2Fwos%2Fwoscc%2Ffull-record%2FWOS:000730789400039","View Full Record in Web of Science")</f>
        <v>View Full Record in Web of Science</v>
      </c>
    </row>
    <row r="718" spans="1:72" x14ac:dyDescent="0.15">
      <c r="A718" t="s">
        <v>72</v>
      </c>
      <c r="B718" t="s">
        <v>13750</v>
      </c>
      <c r="C718" t="s">
        <v>74</v>
      </c>
      <c r="D718" t="s">
        <v>74</v>
      </c>
      <c r="E718" t="s">
        <v>74</v>
      </c>
      <c r="F718" t="s">
        <v>13751</v>
      </c>
      <c r="G718" t="s">
        <v>74</v>
      </c>
      <c r="H718" t="s">
        <v>74</v>
      </c>
      <c r="I718" t="s">
        <v>13752</v>
      </c>
      <c r="J718" t="s">
        <v>10767</v>
      </c>
      <c r="K718" t="s">
        <v>74</v>
      </c>
      <c r="L718" t="s">
        <v>74</v>
      </c>
      <c r="M718" t="s">
        <v>78</v>
      </c>
      <c r="N718" t="s">
        <v>79</v>
      </c>
      <c r="O718" t="s">
        <v>74</v>
      </c>
      <c r="P718" t="s">
        <v>74</v>
      </c>
      <c r="Q718" t="s">
        <v>74</v>
      </c>
      <c r="R718" t="s">
        <v>74</v>
      </c>
      <c r="S718" t="s">
        <v>74</v>
      </c>
      <c r="T718" t="s">
        <v>13753</v>
      </c>
      <c r="U718" t="s">
        <v>13754</v>
      </c>
      <c r="V718" t="s">
        <v>13755</v>
      </c>
      <c r="W718" t="s">
        <v>13756</v>
      </c>
      <c r="X718" t="s">
        <v>13757</v>
      </c>
      <c r="Y718" t="s">
        <v>13758</v>
      </c>
      <c r="Z718" t="s">
        <v>13759</v>
      </c>
      <c r="AA718" t="s">
        <v>8656</v>
      </c>
      <c r="AB718" t="s">
        <v>74</v>
      </c>
      <c r="AC718" t="s">
        <v>13760</v>
      </c>
      <c r="AD718" t="s">
        <v>13761</v>
      </c>
      <c r="AE718" t="s">
        <v>13762</v>
      </c>
      <c r="AF718" t="s">
        <v>74</v>
      </c>
      <c r="AG718">
        <v>17</v>
      </c>
      <c r="AH718">
        <v>0</v>
      </c>
      <c r="AI718">
        <v>0</v>
      </c>
      <c r="AJ718">
        <v>4</v>
      </c>
      <c r="AK718">
        <v>20</v>
      </c>
      <c r="AL718" t="s">
        <v>1667</v>
      </c>
      <c r="AM718" t="s">
        <v>1668</v>
      </c>
      <c r="AN718" t="s">
        <v>1669</v>
      </c>
      <c r="AO718" t="s">
        <v>10780</v>
      </c>
      <c r="AP718" t="s">
        <v>10781</v>
      </c>
      <c r="AQ718" t="s">
        <v>74</v>
      </c>
      <c r="AR718" t="s">
        <v>10782</v>
      </c>
      <c r="AS718" t="s">
        <v>10783</v>
      </c>
      <c r="AT718" t="s">
        <v>74</v>
      </c>
      <c r="AU718">
        <v>2022</v>
      </c>
      <c r="AV718">
        <v>19</v>
      </c>
      <c r="AW718" t="s">
        <v>74</v>
      </c>
      <c r="AX718" t="s">
        <v>74</v>
      </c>
      <c r="AY718" t="s">
        <v>74</v>
      </c>
      <c r="AZ718" t="s">
        <v>74</v>
      </c>
      <c r="BA718" t="s">
        <v>74</v>
      </c>
      <c r="BB718" t="s">
        <v>74</v>
      </c>
      <c r="BC718" t="s">
        <v>74</v>
      </c>
      <c r="BD718">
        <v>2000505</v>
      </c>
      <c r="BE718" t="s">
        <v>13763</v>
      </c>
      <c r="BF718" t="str">
        <f>HYPERLINK("http://dx.doi.org/10.1109/LGRS.2021.3090395","http://dx.doi.org/10.1109/LGRS.2021.3090395")</f>
        <v>http://dx.doi.org/10.1109/LGRS.2021.3090395</v>
      </c>
      <c r="BG718" t="s">
        <v>74</v>
      </c>
      <c r="BH718" t="s">
        <v>74</v>
      </c>
      <c r="BI718">
        <v>5</v>
      </c>
      <c r="BJ718" t="s">
        <v>9214</v>
      </c>
      <c r="BK718" t="s">
        <v>103</v>
      </c>
      <c r="BL718" t="s">
        <v>9215</v>
      </c>
      <c r="BM718" t="s">
        <v>13748</v>
      </c>
      <c r="BN718" t="s">
        <v>74</v>
      </c>
      <c r="BO718" t="s">
        <v>74</v>
      </c>
      <c r="BP718" t="s">
        <v>74</v>
      </c>
      <c r="BQ718" t="s">
        <v>74</v>
      </c>
      <c r="BR718" t="s">
        <v>106</v>
      </c>
      <c r="BS718" t="s">
        <v>13764</v>
      </c>
      <c r="BT718" t="str">
        <f>HYPERLINK("https%3A%2F%2Fwww.webofscience.com%2Fwos%2Fwoscc%2Ffull-record%2FWOS:000730789400043","View Full Record in Web of Science")</f>
        <v>View Full Record in Web of Science</v>
      </c>
    </row>
    <row r="719" spans="1:72" x14ac:dyDescent="0.15">
      <c r="A719" t="s">
        <v>72</v>
      </c>
      <c r="B719" t="s">
        <v>13765</v>
      </c>
      <c r="C719" t="s">
        <v>74</v>
      </c>
      <c r="D719" t="s">
        <v>74</v>
      </c>
      <c r="E719" t="s">
        <v>74</v>
      </c>
      <c r="F719" t="s">
        <v>13766</v>
      </c>
      <c r="G719" t="s">
        <v>74</v>
      </c>
      <c r="H719" t="s">
        <v>74</v>
      </c>
      <c r="I719" t="s">
        <v>13767</v>
      </c>
      <c r="J719" t="s">
        <v>13768</v>
      </c>
      <c r="K719" t="s">
        <v>74</v>
      </c>
      <c r="L719" t="s">
        <v>74</v>
      </c>
      <c r="M719" t="s">
        <v>78</v>
      </c>
      <c r="N719" t="s">
        <v>79</v>
      </c>
      <c r="O719" t="s">
        <v>74</v>
      </c>
      <c r="P719" t="s">
        <v>74</v>
      </c>
      <c r="Q719" t="s">
        <v>74</v>
      </c>
      <c r="R719" t="s">
        <v>74</v>
      </c>
      <c r="S719" t="s">
        <v>74</v>
      </c>
      <c r="T719" t="s">
        <v>13769</v>
      </c>
      <c r="U719" t="s">
        <v>13770</v>
      </c>
      <c r="V719" t="s">
        <v>13771</v>
      </c>
      <c r="W719" t="s">
        <v>13772</v>
      </c>
      <c r="X719" t="s">
        <v>13773</v>
      </c>
      <c r="Y719" t="s">
        <v>13774</v>
      </c>
      <c r="Z719" t="s">
        <v>13775</v>
      </c>
      <c r="AA719" t="s">
        <v>13776</v>
      </c>
      <c r="AB719" t="s">
        <v>13777</v>
      </c>
      <c r="AC719" t="s">
        <v>74</v>
      </c>
      <c r="AD719" t="s">
        <v>74</v>
      </c>
      <c r="AE719" t="s">
        <v>74</v>
      </c>
      <c r="AF719" t="s">
        <v>74</v>
      </c>
      <c r="AG719">
        <v>85</v>
      </c>
      <c r="AH719">
        <v>4</v>
      </c>
      <c r="AI719">
        <v>4</v>
      </c>
      <c r="AJ719">
        <v>1</v>
      </c>
      <c r="AK719">
        <v>10</v>
      </c>
      <c r="AL719" t="s">
        <v>2632</v>
      </c>
      <c r="AM719" t="s">
        <v>2633</v>
      </c>
      <c r="AN719" t="s">
        <v>2634</v>
      </c>
      <c r="AO719" t="s">
        <v>74</v>
      </c>
      <c r="AP719" t="s">
        <v>13778</v>
      </c>
      <c r="AQ719" t="s">
        <v>74</v>
      </c>
      <c r="AR719" t="s">
        <v>13779</v>
      </c>
      <c r="AS719" t="s">
        <v>13780</v>
      </c>
      <c r="AT719" t="s">
        <v>4645</v>
      </c>
      <c r="AU719">
        <v>2022</v>
      </c>
      <c r="AV719">
        <v>8</v>
      </c>
      <c r="AW719">
        <v>1</v>
      </c>
      <c r="AX719" t="s">
        <v>74</v>
      </c>
      <c r="AY719" t="s">
        <v>74</v>
      </c>
      <c r="AZ719" t="s">
        <v>74</v>
      </c>
      <c r="BA719" t="s">
        <v>74</v>
      </c>
      <c r="BB719" t="s">
        <v>74</v>
      </c>
      <c r="BC719" t="s">
        <v>74</v>
      </c>
      <c r="BD719">
        <v>65</v>
      </c>
      <c r="BE719" t="s">
        <v>13781</v>
      </c>
      <c r="BF719" t="str">
        <f>HYPERLINK("http://dx.doi.org/10.3390/jof8010065","http://dx.doi.org/10.3390/jof8010065")</f>
        <v>http://dx.doi.org/10.3390/jof8010065</v>
      </c>
      <c r="BG719" t="s">
        <v>74</v>
      </c>
      <c r="BH719" t="s">
        <v>74</v>
      </c>
      <c r="BI719">
        <v>14</v>
      </c>
      <c r="BJ719" t="s">
        <v>13782</v>
      </c>
      <c r="BK719" t="s">
        <v>103</v>
      </c>
      <c r="BL719" t="s">
        <v>13782</v>
      </c>
      <c r="BM719" t="s">
        <v>13783</v>
      </c>
      <c r="BN719">
        <v>35050005</v>
      </c>
      <c r="BO719" t="s">
        <v>292</v>
      </c>
      <c r="BP719" t="s">
        <v>74</v>
      </c>
      <c r="BQ719" t="s">
        <v>74</v>
      </c>
      <c r="BR719" t="s">
        <v>106</v>
      </c>
      <c r="BS719" t="s">
        <v>13784</v>
      </c>
      <c r="BT719" t="str">
        <f>HYPERLINK("https%3A%2F%2Fwww.webofscience.com%2Fwos%2Fwoscc%2Ffull-record%2FWOS:000747181300001","View Full Record in Web of Science")</f>
        <v>View Full Record in Web of Science</v>
      </c>
    </row>
    <row r="720" spans="1:72" x14ac:dyDescent="0.15">
      <c r="A720" t="s">
        <v>72</v>
      </c>
      <c r="B720" t="s">
        <v>13785</v>
      </c>
      <c r="C720" t="s">
        <v>74</v>
      </c>
      <c r="D720" t="s">
        <v>74</v>
      </c>
      <c r="E720" t="s">
        <v>74</v>
      </c>
      <c r="F720" t="s">
        <v>13786</v>
      </c>
      <c r="G720" t="s">
        <v>74</v>
      </c>
      <c r="H720" t="s">
        <v>74</v>
      </c>
      <c r="I720" t="s">
        <v>13787</v>
      </c>
      <c r="J720" t="s">
        <v>13788</v>
      </c>
      <c r="K720" t="s">
        <v>74</v>
      </c>
      <c r="L720" t="s">
        <v>74</v>
      </c>
      <c r="M720" t="s">
        <v>78</v>
      </c>
      <c r="N720" t="s">
        <v>79</v>
      </c>
      <c r="O720" t="s">
        <v>74</v>
      </c>
      <c r="P720" t="s">
        <v>74</v>
      </c>
      <c r="Q720" t="s">
        <v>74</v>
      </c>
      <c r="R720" t="s">
        <v>74</v>
      </c>
      <c r="S720" t="s">
        <v>74</v>
      </c>
      <c r="T720" t="s">
        <v>13789</v>
      </c>
      <c r="U720" t="s">
        <v>13790</v>
      </c>
      <c r="V720" t="s">
        <v>13791</v>
      </c>
      <c r="W720" t="s">
        <v>13792</v>
      </c>
      <c r="X720" t="s">
        <v>13793</v>
      </c>
      <c r="Y720" t="s">
        <v>13794</v>
      </c>
      <c r="Z720" t="s">
        <v>13795</v>
      </c>
      <c r="AA720" t="s">
        <v>13796</v>
      </c>
      <c r="AB720" t="s">
        <v>13797</v>
      </c>
      <c r="AC720" t="s">
        <v>13798</v>
      </c>
      <c r="AD720" t="s">
        <v>13799</v>
      </c>
      <c r="AE720" t="s">
        <v>13800</v>
      </c>
      <c r="AF720" t="s">
        <v>74</v>
      </c>
      <c r="AG720">
        <v>87</v>
      </c>
      <c r="AH720">
        <v>5</v>
      </c>
      <c r="AI720">
        <v>5</v>
      </c>
      <c r="AJ720">
        <v>3</v>
      </c>
      <c r="AK720">
        <v>13</v>
      </c>
      <c r="AL720" t="s">
        <v>2632</v>
      </c>
      <c r="AM720" t="s">
        <v>2633</v>
      </c>
      <c r="AN720" t="s">
        <v>2634</v>
      </c>
      <c r="AO720" t="s">
        <v>74</v>
      </c>
      <c r="AP720" t="s">
        <v>13801</v>
      </c>
      <c r="AQ720" t="s">
        <v>74</v>
      </c>
      <c r="AR720" t="s">
        <v>13788</v>
      </c>
      <c r="AS720" t="s">
        <v>13802</v>
      </c>
      <c r="AT720" t="s">
        <v>4645</v>
      </c>
      <c r="AU720">
        <v>2022</v>
      </c>
      <c r="AV720">
        <v>8</v>
      </c>
      <c r="AW720">
        <v>1</v>
      </c>
      <c r="AX720" t="s">
        <v>74</v>
      </c>
      <c r="AY720" t="s">
        <v>74</v>
      </c>
      <c r="AZ720" t="s">
        <v>74</v>
      </c>
      <c r="BA720" t="s">
        <v>74</v>
      </c>
      <c r="BB720" t="s">
        <v>74</v>
      </c>
      <c r="BC720" t="s">
        <v>74</v>
      </c>
      <c r="BD720">
        <v>7</v>
      </c>
      <c r="BE720" t="s">
        <v>13803</v>
      </c>
      <c r="BF720" t="str">
        <f>HYPERLINK("http://dx.doi.org/10.3390/fermentation8010007","http://dx.doi.org/10.3390/fermentation8010007")</f>
        <v>http://dx.doi.org/10.3390/fermentation8010007</v>
      </c>
      <c r="BG720" t="s">
        <v>74</v>
      </c>
      <c r="BH720" t="s">
        <v>74</v>
      </c>
      <c r="BI720">
        <v>18</v>
      </c>
      <c r="BJ720" t="s">
        <v>13804</v>
      </c>
      <c r="BK720" t="s">
        <v>103</v>
      </c>
      <c r="BL720" t="s">
        <v>13804</v>
      </c>
      <c r="BM720" t="s">
        <v>13805</v>
      </c>
      <c r="BN720" t="s">
        <v>74</v>
      </c>
      <c r="BO720" t="s">
        <v>445</v>
      </c>
      <c r="BP720" t="s">
        <v>74</v>
      </c>
      <c r="BQ720" t="s">
        <v>74</v>
      </c>
      <c r="BR720" t="s">
        <v>106</v>
      </c>
      <c r="BS720" t="s">
        <v>13806</v>
      </c>
      <c r="BT720" t="str">
        <f>HYPERLINK("https%3A%2F%2Fwww.webofscience.com%2Fwos%2Fwoscc%2Ffull-record%2FWOS:000746238700001","View Full Record in Web of Science")</f>
        <v>View Full Record in Web of Science</v>
      </c>
    </row>
    <row r="721" spans="1:72" x14ac:dyDescent="0.15">
      <c r="A721" t="s">
        <v>72</v>
      </c>
      <c r="B721" t="s">
        <v>13807</v>
      </c>
      <c r="C721" t="s">
        <v>74</v>
      </c>
      <c r="D721" t="s">
        <v>74</v>
      </c>
      <c r="E721" t="s">
        <v>74</v>
      </c>
      <c r="F721" t="s">
        <v>13808</v>
      </c>
      <c r="G721" t="s">
        <v>74</v>
      </c>
      <c r="H721" t="s">
        <v>74</v>
      </c>
      <c r="I721" t="s">
        <v>13809</v>
      </c>
      <c r="J721" t="s">
        <v>13810</v>
      </c>
      <c r="K721" t="s">
        <v>74</v>
      </c>
      <c r="L721" t="s">
        <v>74</v>
      </c>
      <c r="M721" t="s">
        <v>78</v>
      </c>
      <c r="N721" t="s">
        <v>79</v>
      </c>
      <c r="O721" t="s">
        <v>74</v>
      </c>
      <c r="P721" t="s">
        <v>74</v>
      </c>
      <c r="Q721" t="s">
        <v>74</v>
      </c>
      <c r="R721" t="s">
        <v>74</v>
      </c>
      <c r="S721" t="s">
        <v>74</v>
      </c>
      <c r="T721" t="s">
        <v>13811</v>
      </c>
      <c r="U721" t="s">
        <v>13812</v>
      </c>
      <c r="V721" t="s">
        <v>13813</v>
      </c>
      <c r="W721" t="s">
        <v>13814</v>
      </c>
      <c r="X721" t="s">
        <v>13815</v>
      </c>
      <c r="Y721" t="s">
        <v>13816</v>
      </c>
      <c r="Z721" t="s">
        <v>13817</v>
      </c>
      <c r="AA721" t="s">
        <v>74</v>
      </c>
      <c r="AB721" t="s">
        <v>13818</v>
      </c>
      <c r="AC721" t="s">
        <v>74</v>
      </c>
      <c r="AD721" t="s">
        <v>74</v>
      </c>
      <c r="AE721" t="s">
        <v>74</v>
      </c>
      <c r="AF721" t="s">
        <v>74</v>
      </c>
      <c r="AG721">
        <v>68</v>
      </c>
      <c r="AH721">
        <v>1</v>
      </c>
      <c r="AI721">
        <v>1</v>
      </c>
      <c r="AJ721">
        <v>2</v>
      </c>
      <c r="AK721">
        <v>48</v>
      </c>
      <c r="AL721" t="s">
        <v>2632</v>
      </c>
      <c r="AM721" t="s">
        <v>2633</v>
      </c>
      <c r="AN721" t="s">
        <v>2634</v>
      </c>
      <c r="AO721" t="s">
        <v>74</v>
      </c>
      <c r="AP721" t="s">
        <v>13819</v>
      </c>
      <c r="AQ721" t="s">
        <v>74</v>
      </c>
      <c r="AR721" t="s">
        <v>13820</v>
      </c>
      <c r="AS721" t="s">
        <v>13821</v>
      </c>
      <c r="AT721" t="s">
        <v>4645</v>
      </c>
      <c r="AU721">
        <v>2022</v>
      </c>
      <c r="AV721">
        <v>12</v>
      </c>
      <c r="AW721">
        <v>2</v>
      </c>
      <c r="AX721" t="s">
        <v>74</v>
      </c>
      <c r="AY721" t="s">
        <v>74</v>
      </c>
      <c r="AZ721" t="s">
        <v>74</v>
      </c>
      <c r="BA721" t="s">
        <v>74</v>
      </c>
      <c r="BB721" t="s">
        <v>74</v>
      </c>
      <c r="BC721" t="s">
        <v>74</v>
      </c>
      <c r="BD721">
        <v>213</v>
      </c>
      <c r="BE721" t="s">
        <v>13822</v>
      </c>
      <c r="BF721" t="str">
        <f>HYPERLINK("http://dx.doi.org/10.3390/nano12020213","http://dx.doi.org/10.3390/nano12020213")</f>
        <v>http://dx.doi.org/10.3390/nano12020213</v>
      </c>
      <c r="BG721" t="s">
        <v>74</v>
      </c>
      <c r="BH721" t="s">
        <v>74</v>
      </c>
      <c r="BI721">
        <v>13</v>
      </c>
      <c r="BJ721" t="s">
        <v>13823</v>
      </c>
      <c r="BK721" t="s">
        <v>103</v>
      </c>
      <c r="BL721" t="s">
        <v>13824</v>
      </c>
      <c r="BM721" t="s">
        <v>13825</v>
      </c>
      <c r="BN721">
        <v>35055232</v>
      </c>
      <c r="BO721" t="s">
        <v>292</v>
      </c>
      <c r="BP721" t="s">
        <v>74</v>
      </c>
      <c r="BQ721" t="s">
        <v>74</v>
      </c>
      <c r="BR721" t="s">
        <v>106</v>
      </c>
      <c r="BS721" t="s">
        <v>13826</v>
      </c>
      <c r="BT721" t="str">
        <f>HYPERLINK("https%3A%2F%2Fwww.webofscience.com%2Fwos%2Fwoscc%2Ffull-record%2FWOS:000747130800001","View Full Record in Web of Science")</f>
        <v>View Full Record in Web of Science</v>
      </c>
    </row>
    <row r="722" spans="1:72" x14ac:dyDescent="0.15">
      <c r="A722" t="s">
        <v>72</v>
      </c>
      <c r="B722" t="s">
        <v>13827</v>
      </c>
      <c r="C722" t="s">
        <v>74</v>
      </c>
      <c r="D722" t="s">
        <v>74</v>
      </c>
      <c r="E722" t="s">
        <v>74</v>
      </c>
      <c r="F722" t="s">
        <v>13828</v>
      </c>
      <c r="G722" t="s">
        <v>74</v>
      </c>
      <c r="H722" t="s">
        <v>74</v>
      </c>
      <c r="I722" t="s">
        <v>13829</v>
      </c>
      <c r="J722" t="s">
        <v>13830</v>
      </c>
      <c r="K722" t="s">
        <v>74</v>
      </c>
      <c r="L722" t="s">
        <v>74</v>
      </c>
      <c r="M722" t="s">
        <v>78</v>
      </c>
      <c r="N722" t="s">
        <v>79</v>
      </c>
      <c r="O722" t="s">
        <v>74</v>
      </c>
      <c r="P722" t="s">
        <v>74</v>
      </c>
      <c r="Q722" t="s">
        <v>74</v>
      </c>
      <c r="R722" t="s">
        <v>74</v>
      </c>
      <c r="S722" t="s">
        <v>74</v>
      </c>
      <c r="T722" t="s">
        <v>13831</v>
      </c>
      <c r="U722" t="s">
        <v>13832</v>
      </c>
      <c r="V722" t="s">
        <v>13833</v>
      </c>
      <c r="W722" t="s">
        <v>13834</v>
      </c>
      <c r="X722" t="s">
        <v>13835</v>
      </c>
      <c r="Y722" t="s">
        <v>13836</v>
      </c>
      <c r="Z722" t="s">
        <v>13837</v>
      </c>
      <c r="AA722" t="s">
        <v>74</v>
      </c>
      <c r="AB722" t="s">
        <v>13838</v>
      </c>
      <c r="AC722" t="s">
        <v>13839</v>
      </c>
      <c r="AD722" t="s">
        <v>13840</v>
      </c>
      <c r="AE722" t="s">
        <v>13841</v>
      </c>
      <c r="AF722" t="s">
        <v>74</v>
      </c>
      <c r="AG722">
        <v>49</v>
      </c>
      <c r="AH722">
        <v>16</v>
      </c>
      <c r="AI722">
        <v>17</v>
      </c>
      <c r="AJ722">
        <v>1</v>
      </c>
      <c r="AK722">
        <v>14</v>
      </c>
      <c r="AL722" t="s">
        <v>310</v>
      </c>
      <c r="AM722" t="s">
        <v>311</v>
      </c>
      <c r="AN722" t="s">
        <v>312</v>
      </c>
      <c r="AO722" t="s">
        <v>74</v>
      </c>
      <c r="AP722" t="s">
        <v>13842</v>
      </c>
      <c r="AQ722" t="s">
        <v>74</v>
      </c>
      <c r="AR722" t="s">
        <v>13843</v>
      </c>
      <c r="AS722" t="s">
        <v>13844</v>
      </c>
      <c r="AT722" t="s">
        <v>4645</v>
      </c>
      <c r="AU722">
        <v>2022</v>
      </c>
      <c r="AV722">
        <v>33</v>
      </c>
      <c r="AW722" t="s">
        <v>74</v>
      </c>
      <c r="AX722" t="s">
        <v>74</v>
      </c>
      <c r="AY722" t="s">
        <v>74</v>
      </c>
      <c r="AZ722" t="s">
        <v>74</v>
      </c>
      <c r="BA722" t="s">
        <v>74</v>
      </c>
      <c r="BB722" t="s">
        <v>74</v>
      </c>
      <c r="BC722" t="s">
        <v>74</v>
      </c>
      <c r="BD722" t="s">
        <v>13845</v>
      </c>
      <c r="BE722" t="s">
        <v>13846</v>
      </c>
      <c r="BF722" t="str">
        <f>HYPERLINK("http://dx.doi.org/10.1016/j.gecco.2021.e01990","http://dx.doi.org/10.1016/j.gecco.2021.e01990")</f>
        <v>http://dx.doi.org/10.1016/j.gecco.2021.e01990</v>
      </c>
      <c r="BG722" t="s">
        <v>74</v>
      </c>
      <c r="BH722" t="s">
        <v>74</v>
      </c>
      <c r="BI722">
        <v>14</v>
      </c>
      <c r="BJ722" t="s">
        <v>1081</v>
      </c>
      <c r="BK722" t="s">
        <v>103</v>
      </c>
      <c r="BL722" t="s">
        <v>1082</v>
      </c>
      <c r="BM722" t="s">
        <v>13847</v>
      </c>
      <c r="BN722" t="s">
        <v>74</v>
      </c>
      <c r="BO722" t="s">
        <v>4294</v>
      </c>
      <c r="BP722" t="s">
        <v>74</v>
      </c>
      <c r="BQ722" t="s">
        <v>74</v>
      </c>
      <c r="BR722" t="s">
        <v>106</v>
      </c>
      <c r="BS722" t="s">
        <v>13848</v>
      </c>
      <c r="BT722" t="str">
        <f>HYPERLINK("https%3A%2F%2Fwww.webofscience.com%2Fwos%2Fwoscc%2Ffull-record%2FWOS:000743069700004","View Full Record in Web of Science")</f>
        <v>View Full Record in Web of Science</v>
      </c>
    </row>
    <row r="723" spans="1:72" x14ac:dyDescent="0.15">
      <c r="A723" t="s">
        <v>72</v>
      </c>
      <c r="B723" t="s">
        <v>13849</v>
      </c>
      <c r="C723" t="s">
        <v>74</v>
      </c>
      <c r="D723" t="s">
        <v>74</v>
      </c>
      <c r="E723" t="s">
        <v>74</v>
      </c>
      <c r="F723" t="s">
        <v>13850</v>
      </c>
      <c r="G723" t="s">
        <v>74</v>
      </c>
      <c r="H723" t="s">
        <v>74</v>
      </c>
      <c r="I723" t="s">
        <v>13851</v>
      </c>
      <c r="J723" t="s">
        <v>3244</v>
      </c>
      <c r="K723" t="s">
        <v>74</v>
      </c>
      <c r="L723" t="s">
        <v>74</v>
      </c>
      <c r="M723" t="s">
        <v>78</v>
      </c>
      <c r="N723" t="s">
        <v>1434</v>
      </c>
      <c r="O723" t="s">
        <v>74</v>
      </c>
      <c r="P723" t="s">
        <v>74</v>
      </c>
      <c r="Q723" t="s">
        <v>74</v>
      </c>
      <c r="R723" t="s">
        <v>74</v>
      </c>
      <c r="S723" t="s">
        <v>74</v>
      </c>
      <c r="T723" t="s">
        <v>74</v>
      </c>
      <c r="U723" t="s">
        <v>13852</v>
      </c>
      <c r="V723" t="s">
        <v>13853</v>
      </c>
      <c r="W723" t="s">
        <v>13854</v>
      </c>
      <c r="X723" t="s">
        <v>13855</v>
      </c>
      <c r="Y723" t="s">
        <v>13856</v>
      </c>
      <c r="Z723" t="s">
        <v>13857</v>
      </c>
      <c r="AA723" t="s">
        <v>13858</v>
      </c>
      <c r="AB723" t="s">
        <v>13859</v>
      </c>
      <c r="AC723" t="s">
        <v>13860</v>
      </c>
      <c r="AD723" t="s">
        <v>13861</v>
      </c>
      <c r="AE723" t="s">
        <v>13862</v>
      </c>
      <c r="AF723" t="s">
        <v>74</v>
      </c>
      <c r="AG723">
        <v>14</v>
      </c>
      <c r="AH723">
        <v>1</v>
      </c>
      <c r="AI723">
        <v>1</v>
      </c>
      <c r="AJ723">
        <v>1</v>
      </c>
      <c r="AK723">
        <v>2</v>
      </c>
      <c r="AL723" t="s">
        <v>3255</v>
      </c>
      <c r="AM723" t="s">
        <v>606</v>
      </c>
      <c r="AN723" t="s">
        <v>3256</v>
      </c>
      <c r="AO723" t="s">
        <v>3257</v>
      </c>
      <c r="AP723" t="s">
        <v>74</v>
      </c>
      <c r="AQ723" t="s">
        <v>74</v>
      </c>
      <c r="AR723" t="s">
        <v>3258</v>
      </c>
      <c r="AS723" t="s">
        <v>3259</v>
      </c>
      <c r="AT723" t="s">
        <v>4645</v>
      </c>
      <c r="AU723">
        <v>2022</v>
      </c>
      <c r="AV723">
        <v>11</v>
      </c>
      <c r="AW723">
        <v>1</v>
      </c>
      <c r="AX723" t="s">
        <v>74</v>
      </c>
      <c r="AY723" t="s">
        <v>74</v>
      </c>
      <c r="AZ723" t="s">
        <v>74</v>
      </c>
      <c r="BA723" t="s">
        <v>74</v>
      </c>
      <c r="BB723" t="s">
        <v>74</v>
      </c>
      <c r="BC723" t="s">
        <v>74</v>
      </c>
      <c r="BD723" t="s">
        <v>13863</v>
      </c>
      <c r="BE723" t="s">
        <v>13864</v>
      </c>
      <c r="BF723" t="str">
        <f>HYPERLINK("http://dx.doi.org/10.1128/MRA.01035-21","http://dx.doi.org/10.1128/MRA.01035-21")</f>
        <v>http://dx.doi.org/10.1128/MRA.01035-21</v>
      </c>
      <c r="BG723" t="s">
        <v>74</v>
      </c>
      <c r="BH723" t="s">
        <v>74</v>
      </c>
      <c r="BI723">
        <v>2</v>
      </c>
      <c r="BJ723" t="s">
        <v>747</v>
      </c>
      <c r="BK723" t="s">
        <v>724</v>
      </c>
      <c r="BL723" t="s">
        <v>747</v>
      </c>
      <c r="BM723" t="s">
        <v>13865</v>
      </c>
      <c r="BN723">
        <v>34989621</v>
      </c>
      <c r="BO723" t="s">
        <v>640</v>
      </c>
      <c r="BP723" t="s">
        <v>74</v>
      </c>
      <c r="BQ723" t="s">
        <v>74</v>
      </c>
      <c r="BR723" t="s">
        <v>106</v>
      </c>
      <c r="BS723" t="s">
        <v>13866</v>
      </c>
      <c r="BT723" t="str">
        <f>HYPERLINK("https%3A%2F%2Fwww.webofscience.com%2Fwos%2Fwoscc%2Ffull-record%2FWOS:000746032300013","View Full Record in Web of Science")</f>
        <v>View Full Record in Web of Science</v>
      </c>
    </row>
    <row r="724" spans="1:72" x14ac:dyDescent="0.15">
      <c r="A724" t="s">
        <v>72</v>
      </c>
      <c r="B724" t="s">
        <v>13867</v>
      </c>
      <c r="C724" t="s">
        <v>74</v>
      </c>
      <c r="D724" t="s">
        <v>74</v>
      </c>
      <c r="E724" t="s">
        <v>74</v>
      </c>
      <c r="F724" t="s">
        <v>13868</v>
      </c>
      <c r="G724" t="s">
        <v>74</v>
      </c>
      <c r="H724" t="s">
        <v>74</v>
      </c>
      <c r="I724" t="s">
        <v>13869</v>
      </c>
      <c r="J724" t="s">
        <v>2724</v>
      </c>
      <c r="K724" t="s">
        <v>74</v>
      </c>
      <c r="L724" t="s">
        <v>74</v>
      </c>
      <c r="M724" t="s">
        <v>78</v>
      </c>
      <c r="N724" t="s">
        <v>79</v>
      </c>
      <c r="O724" t="s">
        <v>74</v>
      </c>
      <c r="P724" t="s">
        <v>74</v>
      </c>
      <c r="Q724" t="s">
        <v>74</v>
      </c>
      <c r="R724" t="s">
        <v>74</v>
      </c>
      <c r="S724" t="s">
        <v>74</v>
      </c>
      <c r="T724" t="s">
        <v>13870</v>
      </c>
      <c r="U724" t="s">
        <v>13871</v>
      </c>
      <c r="V724" t="s">
        <v>13872</v>
      </c>
      <c r="W724" t="s">
        <v>13873</v>
      </c>
      <c r="X724" t="s">
        <v>13874</v>
      </c>
      <c r="Y724" t="s">
        <v>13875</v>
      </c>
      <c r="Z724" t="s">
        <v>13876</v>
      </c>
      <c r="AA724" t="s">
        <v>13877</v>
      </c>
      <c r="AB724" t="s">
        <v>13878</v>
      </c>
      <c r="AC724" t="s">
        <v>13879</v>
      </c>
      <c r="AD724" t="s">
        <v>13880</v>
      </c>
      <c r="AE724" t="s">
        <v>13881</v>
      </c>
      <c r="AF724" t="s">
        <v>74</v>
      </c>
      <c r="AG724">
        <v>43</v>
      </c>
      <c r="AH724">
        <v>1</v>
      </c>
      <c r="AI724">
        <v>1</v>
      </c>
      <c r="AJ724">
        <v>5</v>
      </c>
      <c r="AK724">
        <v>24</v>
      </c>
      <c r="AL724" t="s">
        <v>2632</v>
      </c>
      <c r="AM724" t="s">
        <v>2633</v>
      </c>
      <c r="AN724" t="s">
        <v>2634</v>
      </c>
      <c r="AO724" t="s">
        <v>74</v>
      </c>
      <c r="AP724" t="s">
        <v>2737</v>
      </c>
      <c r="AQ724" t="s">
        <v>74</v>
      </c>
      <c r="AR724" t="s">
        <v>2738</v>
      </c>
      <c r="AS724" t="s">
        <v>2739</v>
      </c>
      <c r="AT724" t="s">
        <v>4645</v>
      </c>
      <c r="AU724">
        <v>2022</v>
      </c>
      <c r="AV724">
        <v>14</v>
      </c>
      <c r="AW724">
        <v>2</v>
      </c>
      <c r="AX724" t="s">
        <v>74</v>
      </c>
      <c r="AY724" t="s">
        <v>74</v>
      </c>
      <c r="AZ724" t="s">
        <v>74</v>
      </c>
      <c r="BA724" t="s">
        <v>74</v>
      </c>
      <c r="BB724" t="s">
        <v>74</v>
      </c>
      <c r="BC724" t="s">
        <v>74</v>
      </c>
      <c r="BD724">
        <v>329</v>
      </c>
      <c r="BE724" t="s">
        <v>13882</v>
      </c>
      <c r="BF724" t="str">
        <f>HYPERLINK("http://dx.doi.org/10.3390/rs14020329","http://dx.doi.org/10.3390/rs14020329")</f>
        <v>http://dx.doi.org/10.3390/rs14020329</v>
      </c>
      <c r="BG724" t="s">
        <v>74</v>
      </c>
      <c r="BH724" t="s">
        <v>74</v>
      </c>
      <c r="BI724">
        <v>23</v>
      </c>
      <c r="BJ724" t="s">
        <v>2741</v>
      </c>
      <c r="BK724" t="s">
        <v>103</v>
      </c>
      <c r="BL724" t="s">
        <v>2742</v>
      </c>
      <c r="BM724" t="s">
        <v>13883</v>
      </c>
      <c r="BN724" t="s">
        <v>74</v>
      </c>
      <c r="BO724" t="s">
        <v>445</v>
      </c>
      <c r="BP724" t="s">
        <v>74</v>
      </c>
      <c r="BQ724" t="s">
        <v>74</v>
      </c>
      <c r="BR724" t="s">
        <v>106</v>
      </c>
      <c r="BS724" t="s">
        <v>13884</v>
      </c>
      <c r="BT724" t="str">
        <f>HYPERLINK("https%3A%2F%2Fwww.webofscience.com%2Fwos%2Fwoscc%2Ffull-record%2FWOS:000746993300001","View Full Record in Web of Science")</f>
        <v>View Full Record in Web of Science</v>
      </c>
    </row>
    <row r="725" spans="1:72" x14ac:dyDescent="0.15">
      <c r="A725" t="s">
        <v>72</v>
      </c>
      <c r="B725" t="s">
        <v>13885</v>
      </c>
      <c r="C725" t="s">
        <v>74</v>
      </c>
      <c r="D725" t="s">
        <v>74</v>
      </c>
      <c r="E725" t="s">
        <v>74</v>
      </c>
      <c r="F725" t="s">
        <v>13886</v>
      </c>
      <c r="G725" t="s">
        <v>74</v>
      </c>
      <c r="H725" t="s">
        <v>74</v>
      </c>
      <c r="I725" t="s">
        <v>13887</v>
      </c>
      <c r="J725" t="s">
        <v>13888</v>
      </c>
      <c r="K725" t="s">
        <v>74</v>
      </c>
      <c r="L725" t="s">
        <v>74</v>
      </c>
      <c r="M725" t="s">
        <v>78</v>
      </c>
      <c r="N725" t="s">
        <v>79</v>
      </c>
      <c r="O725" t="s">
        <v>74</v>
      </c>
      <c r="P725" t="s">
        <v>74</v>
      </c>
      <c r="Q725" t="s">
        <v>74</v>
      </c>
      <c r="R725" t="s">
        <v>74</v>
      </c>
      <c r="S725" t="s">
        <v>74</v>
      </c>
      <c r="T725" t="s">
        <v>13889</v>
      </c>
      <c r="U725" t="s">
        <v>13890</v>
      </c>
      <c r="V725" t="s">
        <v>13891</v>
      </c>
      <c r="W725" t="s">
        <v>13892</v>
      </c>
      <c r="X725" t="s">
        <v>597</v>
      </c>
      <c r="Y725" t="s">
        <v>13893</v>
      </c>
      <c r="Z725" t="s">
        <v>13894</v>
      </c>
      <c r="AA725" t="s">
        <v>74</v>
      </c>
      <c r="AB725" t="s">
        <v>13895</v>
      </c>
      <c r="AC725" t="s">
        <v>13896</v>
      </c>
      <c r="AD725" t="s">
        <v>13897</v>
      </c>
      <c r="AE725" t="s">
        <v>13898</v>
      </c>
      <c r="AF725" t="s">
        <v>74</v>
      </c>
      <c r="AG725">
        <v>56</v>
      </c>
      <c r="AH725">
        <v>2</v>
      </c>
      <c r="AI725">
        <v>2</v>
      </c>
      <c r="AJ725">
        <v>1</v>
      </c>
      <c r="AK725">
        <v>5</v>
      </c>
      <c r="AL725" t="s">
        <v>13899</v>
      </c>
      <c r="AM725" t="s">
        <v>4207</v>
      </c>
      <c r="AN725" t="s">
        <v>13900</v>
      </c>
      <c r="AO725" t="s">
        <v>13901</v>
      </c>
      <c r="AP725" t="s">
        <v>13902</v>
      </c>
      <c r="AQ725" t="s">
        <v>74</v>
      </c>
      <c r="AR725" t="s">
        <v>13903</v>
      </c>
      <c r="AS725" t="s">
        <v>13904</v>
      </c>
      <c r="AT725" t="s">
        <v>10931</v>
      </c>
      <c r="AU725">
        <v>2022</v>
      </c>
      <c r="AV725">
        <v>22</v>
      </c>
      <c r="AW725">
        <v>1</v>
      </c>
      <c r="AX725" t="s">
        <v>74</v>
      </c>
      <c r="AY725" t="s">
        <v>74</v>
      </c>
      <c r="AZ725" t="s">
        <v>74</v>
      </c>
      <c r="BA725" t="s">
        <v>74</v>
      </c>
      <c r="BB725" t="s">
        <v>74</v>
      </c>
      <c r="BC725" t="s">
        <v>74</v>
      </c>
      <c r="BD725">
        <v>15015</v>
      </c>
      <c r="BE725" t="s">
        <v>13905</v>
      </c>
      <c r="BF725" t="str">
        <f>HYPERLINK("http://dx.doi.org/10.1088/1674-4527/ac3896","http://dx.doi.org/10.1088/1674-4527/ac3896")</f>
        <v>http://dx.doi.org/10.1088/1674-4527/ac3896</v>
      </c>
      <c r="BG725" t="s">
        <v>74</v>
      </c>
      <c r="BH725" t="s">
        <v>74</v>
      </c>
      <c r="BI725">
        <v>18</v>
      </c>
      <c r="BJ725" t="s">
        <v>262</v>
      </c>
      <c r="BK725" t="s">
        <v>1034</v>
      </c>
      <c r="BL725" t="s">
        <v>262</v>
      </c>
      <c r="BM725" t="s">
        <v>13906</v>
      </c>
      <c r="BN725" t="s">
        <v>74</v>
      </c>
      <c r="BO725" t="s">
        <v>74</v>
      </c>
      <c r="BP725" t="s">
        <v>74</v>
      </c>
      <c r="BQ725" t="s">
        <v>74</v>
      </c>
      <c r="BR725" t="s">
        <v>106</v>
      </c>
      <c r="BS725" t="s">
        <v>13907</v>
      </c>
      <c r="BT725" t="str">
        <f>HYPERLINK("https%3A%2F%2Fwww.webofscience.com%2Fwos%2Fwoscc%2Ffull-record%2FWOS:000746166100001","View Full Record in Web of Science")</f>
        <v>View Full Record in Web of Science</v>
      </c>
    </row>
    <row r="726" spans="1:72" x14ac:dyDescent="0.15">
      <c r="A726" t="s">
        <v>72</v>
      </c>
      <c r="B726" t="s">
        <v>13908</v>
      </c>
      <c r="C726" t="s">
        <v>74</v>
      </c>
      <c r="D726" t="s">
        <v>74</v>
      </c>
      <c r="E726" t="s">
        <v>74</v>
      </c>
      <c r="F726" t="s">
        <v>13909</v>
      </c>
      <c r="G726" t="s">
        <v>74</v>
      </c>
      <c r="H726" t="s">
        <v>74</v>
      </c>
      <c r="I726" t="s">
        <v>13910</v>
      </c>
      <c r="J726" t="s">
        <v>3783</v>
      </c>
      <c r="K726" t="s">
        <v>74</v>
      </c>
      <c r="L726" t="s">
        <v>74</v>
      </c>
      <c r="M726" t="s">
        <v>78</v>
      </c>
      <c r="N726" t="s">
        <v>79</v>
      </c>
      <c r="O726" t="s">
        <v>74</v>
      </c>
      <c r="P726" t="s">
        <v>74</v>
      </c>
      <c r="Q726" t="s">
        <v>74</v>
      </c>
      <c r="R726" t="s">
        <v>74</v>
      </c>
      <c r="S726" t="s">
        <v>74</v>
      </c>
      <c r="T726" t="s">
        <v>13911</v>
      </c>
      <c r="U726" t="s">
        <v>13912</v>
      </c>
      <c r="V726" t="s">
        <v>13913</v>
      </c>
      <c r="W726" t="s">
        <v>13914</v>
      </c>
      <c r="X726" t="s">
        <v>13915</v>
      </c>
      <c r="Y726" t="s">
        <v>13916</v>
      </c>
      <c r="Z726" t="s">
        <v>13917</v>
      </c>
      <c r="AA726" t="s">
        <v>13918</v>
      </c>
      <c r="AB726" t="s">
        <v>13919</v>
      </c>
      <c r="AC726" t="s">
        <v>13920</v>
      </c>
      <c r="AD726" t="s">
        <v>13921</v>
      </c>
      <c r="AE726" t="s">
        <v>13922</v>
      </c>
      <c r="AF726" t="s">
        <v>74</v>
      </c>
      <c r="AG726">
        <v>108</v>
      </c>
      <c r="AH726">
        <v>12</v>
      </c>
      <c r="AI726">
        <v>13</v>
      </c>
      <c r="AJ726">
        <v>4</v>
      </c>
      <c r="AK726">
        <v>29</v>
      </c>
      <c r="AL726" t="s">
        <v>2632</v>
      </c>
      <c r="AM726" t="s">
        <v>2633</v>
      </c>
      <c r="AN726" t="s">
        <v>2634</v>
      </c>
      <c r="AO726" t="s">
        <v>74</v>
      </c>
      <c r="AP726" t="s">
        <v>3793</v>
      </c>
      <c r="AQ726" t="s">
        <v>74</v>
      </c>
      <c r="AR726" t="s">
        <v>3794</v>
      </c>
      <c r="AS726" t="s">
        <v>3795</v>
      </c>
      <c r="AT726" t="s">
        <v>4645</v>
      </c>
      <c r="AU726">
        <v>2022</v>
      </c>
      <c r="AV726">
        <v>13</v>
      </c>
      <c r="AW726">
        <v>1</v>
      </c>
      <c r="AX726" t="s">
        <v>74</v>
      </c>
      <c r="AY726" t="s">
        <v>74</v>
      </c>
      <c r="AZ726" t="s">
        <v>74</v>
      </c>
      <c r="BA726" t="s">
        <v>74</v>
      </c>
      <c r="BB726" t="s">
        <v>74</v>
      </c>
      <c r="BC726" t="s">
        <v>74</v>
      </c>
      <c r="BD726">
        <v>155</v>
      </c>
      <c r="BE726" t="s">
        <v>13923</v>
      </c>
      <c r="BF726" t="str">
        <f>HYPERLINK("http://dx.doi.org/10.3390/genes13010155","http://dx.doi.org/10.3390/genes13010155")</f>
        <v>http://dx.doi.org/10.3390/genes13010155</v>
      </c>
      <c r="BG726" t="s">
        <v>74</v>
      </c>
      <c r="BH726" t="s">
        <v>74</v>
      </c>
      <c r="BI726">
        <v>22</v>
      </c>
      <c r="BJ726" t="s">
        <v>3797</v>
      </c>
      <c r="BK726" t="s">
        <v>103</v>
      </c>
      <c r="BL726" t="s">
        <v>3797</v>
      </c>
      <c r="BM726" t="s">
        <v>13924</v>
      </c>
      <c r="BN726">
        <v>35052494</v>
      </c>
      <c r="BO726" t="s">
        <v>1494</v>
      </c>
      <c r="BP726" t="s">
        <v>74</v>
      </c>
      <c r="BQ726" t="s">
        <v>74</v>
      </c>
      <c r="BR726" t="s">
        <v>106</v>
      </c>
      <c r="BS726" t="s">
        <v>13925</v>
      </c>
      <c r="BT726" t="str">
        <f>HYPERLINK("https%3A%2F%2Fwww.webofscience.com%2Fwos%2Fwoscc%2Ffull-record%2FWOS:000746977500001","View Full Record in Web of Science")</f>
        <v>View Full Record in Web of Science</v>
      </c>
    </row>
    <row r="727" spans="1:72" x14ac:dyDescent="0.15">
      <c r="A727" t="s">
        <v>72</v>
      </c>
      <c r="B727" t="s">
        <v>13926</v>
      </c>
      <c r="C727" t="s">
        <v>74</v>
      </c>
      <c r="D727" t="s">
        <v>74</v>
      </c>
      <c r="E727" t="s">
        <v>74</v>
      </c>
      <c r="F727" t="s">
        <v>13927</v>
      </c>
      <c r="G727" t="s">
        <v>74</v>
      </c>
      <c r="H727" t="s">
        <v>74</v>
      </c>
      <c r="I727" t="s">
        <v>13928</v>
      </c>
      <c r="J727" t="s">
        <v>8773</v>
      </c>
      <c r="K727" t="s">
        <v>74</v>
      </c>
      <c r="L727" t="s">
        <v>74</v>
      </c>
      <c r="M727" t="s">
        <v>78</v>
      </c>
      <c r="N727" t="s">
        <v>79</v>
      </c>
      <c r="O727" t="s">
        <v>74</v>
      </c>
      <c r="P727" t="s">
        <v>74</v>
      </c>
      <c r="Q727" t="s">
        <v>74</v>
      </c>
      <c r="R727" t="s">
        <v>74</v>
      </c>
      <c r="S727" t="s">
        <v>74</v>
      </c>
      <c r="T727" t="s">
        <v>13929</v>
      </c>
      <c r="U727" t="s">
        <v>13930</v>
      </c>
      <c r="V727" t="s">
        <v>13931</v>
      </c>
      <c r="W727" t="s">
        <v>13932</v>
      </c>
      <c r="X727" t="s">
        <v>13334</v>
      </c>
      <c r="Y727" t="s">
        <v>13335</v>
      </c>
      <c r="Z727" t="s">
        <v>13336</v>
      </c>
      <c r="AA727" t="s">
        <v>13933</v>
      </c>
      <c r="AB727" t="s">
        <v>13337</v>
      </c>
      <c r="AC727" t="s">
        <v>13338</v>
      </c>
      <c r="AD727" t="s">
        <v>13339</v>
      </c>
      <c r="AE727" t="s">
        <v>13340</v>
      </c>
      <c r="AF727" t="s">
        <v>74</v>
      </c>
      <c r="AG727">
        <v>54</v>
      </c>
      <c r="AH727">
        <v>1</v>
      </c>
      <c r="AI727">
        <v>1</v>
      </c>
      <c r="AJ727">
        <v>4</v>
      </c>
      <c r="AK727">
        <v>24</v>
      </c>
      <c r="AL727" t="s">
        <v>8786</v>
      </c>
      <c r="AM727" t="s">
        <v>436</v>
      </c>
      <c r="AN727" t="s">
        <v>8787</v>
      </c>
      <c r="AO727" t="s">
        <v>8788</v>
      </c>
      <c r="AP727" t="s">
        <v>8789</v>
      </c>
      <c r="AQ727" t="s">
        <v>74</v>
      </c>
      <c r="AR727" t="s">
        <v>8790</v>
      </c>
      <c r="AS727" t="s">
        <v>8791</v>
      </c>
      <c r="AT727" t="s">
        <v>74</v>
      </c>
      <c r="AU727">
        <v>2022</v>
      </c>
      <c r="AV727">
        <v>72</v>
      </c>
      <c r="AW727">
        <v>1</v>
      </c>
      <c r="AX727" t="s">
        <v>74</v>
      </c>
      <c r="AY727" t="s">
        <v>74</v>
      </c>
      <c r="AZ727" t="s">
        <v>74</v>
      </c>
      <c r="BA727" t="s">
        <v>74</v>
      </c>
      <c r="BB727" t="s">
        <v>74</v>
      </c>
      <c r="BC727" t="s">
        <v>74</v>
      </c>
      <c r="BD727">
        <v>5182</v>
      </c>
      <c r="BE727" t="s">
        <v>13934</v>
      </c>
      <c r="BF727" t="str">
        <f>HYPERLINK("http://dx.doi.org/10.1099/ijsem.0.005182","http://dx.doi.org/10.1099/ijsem.0.005182")</f>
        <v>http://dx.doi.org/10.1099/ijsem.0.005182</v>
      </c>
      <c r="BG727" t="s">
        <v>74</v>
      </c>
      <c r="BH727" t="s">
        <v>74</v>
      </c>
      <c r="BI727">
        <v>9</v>
      </c>
      <c r="BJ727" t="s">
        <v>747</v>
      </c>
      <c r="BK727" t="s">
        <v>103</v>
      </c>
      <c r="BL727" t="s">
        <v>747</v>
      </c>
      <c r="BM727" t="s">
        <v>13935</v>
      </c>
      <c r="BN727">
        <v>35037850</v>
      </c>
      <c r="BO727" t="s">
        <v>74</v>
      </c>
      <c r="BP727" t="s">
        <v>74</v>
      </c>
      <c r="BQ727" t="s">
        <v>74</v>
      </c>
      <c r="BR727" t="s">
        <v>106</v>
      </c>
      <c r="BS727" t="s">
        <v>13936</v>
      </c>
      <c r="BT727" t="str">
        <f>HYPERLINK("https%3A%2F%2Fwww.webofscience.com%2Fwos%2Fwoscc%2Ffull-record%2FWOS:000745618300009","View Full Record in Web of Science")</f>
        <v>View Full Record in Web of Science</v>
      </c>
    </row>
    <row r="728" spans="1:72" x14ac:dyDescent="0.15">
      <c r="A728" t="s">
        <v>72</v>
      </c>
      <c r="B728" t="s">
        <v>13937</v>
      </c>
      <c r="C728" t="s">
        <v>74</v>
      </c>
      <c r="D728" t="s">
        <v>74</v>
      </c>
      <c r="E728" t="s">
        <v>74</v>
      </c>
      <c r="F728" t="s">
        <v>13938</v>
      </c>
      <c r="G728" t="s">
        <v>74</v>
      </c>
      <c r="H728" t="s">
        <v>74</v>
      </c>
      <c r="I728" t="s">
        <v>13939</v>
      </c>
      <c r="J728" t="s">
        <v>13134</v>
      </c>
      <c r="K728" t="s">
        <v>74</v>
      </c>
      <c r="L728" t="s">
        <v>74</v>
      </c>
      <c r="M728" t="s">
        <v>78</v>
      </c>
      <c r="N728" t="s">
        <v>79</v>
      </c>
      <c r="O728" t="s">
        <v>74</v>
      </c>
      <c r="P728" t="s">
        <v>74</v>
      </c>
      <c r="Q728" t="s">
        <v>74</v>
      </c>
      <c r="R728" t="s">
        <v>74</v>
      </c>
      <c r="S728" t="s">
        <v>74</v>
      </c>
      <c r="T728" t="s">
        <v>13940</v>
      </c>
      <c r="U728" t="s">
        <v>13941</v>
      </c>
      <c r="V728" t="s">
        <v>13942</v>
      </c>
      <c r="W728" t="s">
        <v>13943</v>
      </c>
      <c r="X728" t="s">
        <v>13944</v>
      </c>
      <c r="Y728" t="s">
        <v>13945</v>
      </c>
      <c r="Z728" t="s">
        <v>13946</v>
      </c>
      <c r="AA728" t="s">
        <v>13947</v>
      </c>
      <c r="AB728" t="s">
        <v>13948</v>
      </c>
      <c r="AC728" t="s">
        <v>13949</v>
      </c>
      <c r="AD728" t="s">
        <v>13950</v>
      </c>
      <c r="AE728" t="s">
        <v>13951</v>
      </c>
      <c r="AF728" t="s">
        <v>74</v>
      </c>
      <c r="AG728">
        <v>72</v>
      </c>
      <c r="AH728">
        <v>2</v>
      </c>
      <c r="AI728">
        <v>2</v>
      </c>
      <c r="AJ728">
        <v>0</v>
      </c>
      <c r="AK728">
        <v>3</v>
      </c>
      <c r="AL728" t="s">
        <v>2632</v>
      </c>
      <c r="AM728" t="s">
        <v>2633</v>
      </c>
      <c r="AN728" t="s">
        <v>2634</v>
      </c>
      <c r="AO728" t="s">
        <v>74</v>
      </c>
      <c r="AP728" t="s">
        <v>13147</v>
      </c>
      <c r="AQ728" t="s">
        <v>74</v>
      </c>
      <c r="AR728" t="s">
        <v>13148</v>
      </c>
      <c r="AS728" t="s">
        <v>13149</v>
      </c>
      <c r="AT728" t="s">
        <v>4645</v>
      </c>
      <c r="AU728">
        <v>2022</v>
      </c>
      <c r="AV728">
        <v>14</v>
      </c>
      <c r="AW728">
        <v>2</v>
      </c>
      <c r="AX728" t="s">
        <v>74</v>
      </c>
      <c r="AY728" t="s">
        <v>74</v>
      </c>
      <c r="AZ728" t="s">
        <v>74</v>
      </c>
      <c r="BA728" t="s">
        <v>74</v>
      </c>
      <c r="BB728" t="s">
        <v>74</v>
      </c>
      <c r="BC728" t="s">
        <v>74</v>
      </c>
      <c r="BD728">
        <v>185</v>
      </c>
      <c r="BE728" t="s">
        <v>13952</v>
      </c>
      <c r="BF728" t="str">
        <f>HYPERLINK("http://dx.doi.org/10.3390/w14020185","http://dx.doi.org/10.3390/w14020185")</f>
        <v>http://dx.doi.org/10.3390/w14020185</v>
      </c>
      <c r="BG728" t="s">
        <v>74</v>
      </c>
      <c r="BH728" t="s">
        <v>74</v>
      </c>
      <c r="BI728">
        <v>15</v>
      </c>
      <c r="BJ728" t="s">
        <v>13151</v>
      </c>
      <c r="BK728" t="s">
        <v>103</v>
      </c>
      <c r="BL728" t="s">
        <v>13152</v>
      </c>
      <c r="BM728" t="s">
        <v>13953</v>
      </c>
      <c r="BN728" t="s">
        <v>74</v>
      </c>
      <c r="BO728" t="s">
        <v>445</v>
      </c>
      <c r="BP728" t="s">
        <v>74</v>
      </c>
      <c r="BQ728" t="s">
        <v>74</v>
      </c>
      <c r="BR728" t="s">
        <v>106</v>
      </c>
      <c r="BS728" t="s">
        <v>13954</v>
      </c>
      <c r="BT728" t="str">
        <f>HYPERLINK("https%3A%2F%2Fwww.webofscience.com%2Fwos%2Fwoscc%2Ffull-record%2FWOS:000746357500001","View Full Record in Web of Science")</f>
        <v>View Full Record in Web of Science</v>
      </c>
    </row>
    <row r="729" spans="1:72" x14ac:dyDescent="0.15">
      <c r="A729" t="s">
        <v>72</v>
      </c>
      <c r="B729" t="s">
        <v>13955</v>
      </c>
      <c r="C729" t="s">
        <v>74</v>
      </c>
      <c r="D729" t="s">
        <v>74</v>
      </c>
      <c r="E729" t="s">
        <v>74</v>
      </c>
      <c r="F729" t="s">
        <v>13956</v>
      </c>
      <c r="G729" t="s">
        <v>74</v>
      </c>
      <c r="H729" t="s">
        <v>74</v>
      </c>
      <c r="I729" t="s">
        <v>13957</v>
      </c>
      <c r="J729" t="s">
        <v>9762</v>
      </c>
      <c r="K729" t="s">
        <v>74</v>
      </c>
      <c r="L729" t="s">
        <v>74</v>
      </c>
      <c r="M729" t="s">
        <v>78</v>
      </c>
      <c r="N729" t="s">
        <v>79</v>
      </c>
      <c r="O729" t="s">
        <v>74</v>
      </c>
      <c r="P729" t="s">
        <v>74</v>
      </c>
      <c r="Q729" t="s">
        <v>74</v>
      </c>
      <c r="R729" t="s">
        <v>74</v>
      </c>
      <c r="S729" t="s">
        <v>74</v>
      </c>
      <c r="T729" t="s">
        <v>74</v>
      </c>
      <c r="U729" t="s">
        <v>13958</v>
      </c>
      <c r="V729" t="s">
        <v>13959</v>
      </c>
      <c r="W729" t="s">
        <v>13960</v>
      </c>
      <c r="X729" t="s">
        <v>13961</v>
      </c>
      <c r="Y729" t="s">
        <v>13962</v>
      </c>
      <c r="Z729" t="s">
        <v>13963</v>
      </c>
      <c r="AA729" t="s">
        <v>13964</v>
      </c>
      <c r="AB729" t="s">
        <v>13965</v>
      </c>
      <c r="AC729" t="s">
        <v>13966</v>
      </c>
      <c r="AD729" t="s">
        <v>13967</v>
      </c>
      <c r="AE729" t="s">
        <v>13968</v>
      </c>
      <c r="AF729" t="s">
        <v>74</v>
      </c>
      <c r="AG729">
        <v>106</v>
      </c>
      <c r="AH729">
        <v>7</v>
      </c>
      <c r="AI729">
        <v>8</v>
      </c>
      <c r="AJ729">
        <v>0</v>
      </c>
      <c r="AK729">
        <v>11</v>
      </c>
      <c r="AL729" t="s">
        <v>9774</v>
      </c>
      <c r="AM729" t="s">
        <v>9775</v>
      </c>
      <c r="AN729" t="s">
        <v>9776</v>
      </c>
      <c r="AO729" t="s">
        <v>9777</v>
      </c>
      <c r="AP729" t="s">
        <v>9778</v>
      </c>
      <c r="AQ729" t="s">
        <v>74</v>
      </c>
      <c r="AR729" t="s">
        <v>9779</v>
      </c>
      <c r="AS729" t="s">
        <v>9780</v>
      </c>
      <c r="AT729" t="s">
        <v>8419</v>
      </c>
      <c r="AU729">
        <v>2022</v>
      </c>
      <c r="AV729">
        <v>134</v>
      </c>
      <c r="AW729" t="s">
        <v>6989</v>
      </c>
      <c r="AX729" t="s">
        <v>74</v>
      </c>
      <c r="AY729" t="s">
        <v>74</v>
      </c>
      <c r="AZ729" t="s">
        <v>74</v>
      </c>
      <c r="BA729" t="s">
        <v>74</v>
      </c>
      <c r="BB729">
        <v>348</v>
      </c>
      <c r="BC729">
        <v>370</v>
      </c>
      <c r="BD729" t="s">
        <v>74</v>
      </c>
      <c r="BE729" t="s">
        <v>13969</v>
      </c>
      <c r="BF729" t="str">
        <f>HYPERLINK("http://dx.doi.org/10.1130/B35814.1","http://dx.doi.org/10.1130/B35814.1")</f>
        <v>http://dx.doi.org/10.1130/B35814.1</v>
      </c>
      <c r="BG729" t="s">
        <v>74</v>
      </c>
      <c r="BH729" t="s">
        <v>74</v>
      </c>
      <c r="BI729">
        <v>23</v>
      </c>
      <c r="BJ729" t="s">
        <v>151</v>
      </c>
      <c r="BK729" t="s">
        <v>103</v>
      </c>
      <c r="BL729" t="s">
        <v>152</v>
      </c>
      <c r="BM729" t="s">
        <v>13970</v>
      </c>
      <c r="BN729" t="s">
        <v>74</v>
      </c>
      <c r="BO729" t="s">
        <v>659</v>
      </c>
      <c r="BP729" t="s">
        <v>74</v>
      </c>
      <c r="BQ729" t="s">
        <v>74</v>
      </c>
      <c r="BR729" t="s">
        <v>106</v>
      </c>
      <c r="BS729" t="s">
        <v>13971</v>
      </c>
      <c r="BT729" t="str">
        <f>HYPERLINK("https%3A%2F%2Fwww.webofscience.com%2Fwos%2Fwoscc%2Ffull-record%2FWOS:000740440800005","View Full Record in Web of Science")</f>
        <v>View Full Record in Web of Science</v>
      </c>
    </row>
    <row r="730" spans="1:72" x14ac:dyDescent="0.15">
      <c r="A730" t="s">
        <v>72</v>
      </c>
      <c r="B730" t="s">
        <v>13972</v>
      </c>
      <c r="C730" t="s">
        <v>74</v>
      </c>
      <c r="D730" t="s">
        <v>74</v>
      </c>
      <c r="E730" t="s">
        <v>74</v>
      </c>
      <c r="F730" t="s">
        <v>13973</v>
      </c>
      <c r="G730" t="s">
        <v>74</v>
      </c>
      <c r="H730" t="s">
        <v>74</v>
      </c>
      <c r="I730" t="s">
        <v>13974</v>
      </c>
      <c r="J730" t="s">
        <v>10767</v>
      </c>
      <c r="K730" t="s">
        <v>74</v>
      </c>
      <c r="L730" t="s">
        <v>74</v>
      </c>
      <c r="M730" t="s">
        <v>78</v>
      </c>
      <c r="N730" t="s">
        <v>79</v>
      </c>
      <c r="O730" t="s">
        <v>74</v>
      </c>
      <c r="P730" t="s">
        <v>74</v>
      </c>
      <c r="Q730" t="s">
        <v>74</v>
      </c>
      <c r="R730" t="s">
        <v>74</v>
      </c>
      <c r="S730" t="s">
        <v>74</v>
      </c>
      <c r="T730" t="s">
        <v>13975</v>
      </c>
      <c r="U730" t="s">
        <v>13976</v>
      </c>
      <c r="V730" t="s">
        <v>13977</v>
      </c>
      <c r="W730" t="s">
        <v>13978</v>
      </c>
      <c r="X730" t="s">
        <v>13979</v>
      </c>
      <c r="Y730" t="s">
        <v>13980</v>
      </c>
      <c r="Z730" t="s">
        <v>13981</v>
      </c>
      <c r="AA730" t="s">
        <v>13982</v>
      </c>
      <c r="AB730" t="s">
        <v>13983</v>
      </c>
      <c r="AC730" t="s">
        <v>13984</v>
      </c>
      <c r="AD730" t="s">
        <v>13985</v>
      </c>
      <c r="AE730" t="s">
        <v>13986</v>
      </c>
      <c r="AF730" t="s">
        <v>74</v>
      </c>
      <c r="AG730">
        <v>11</v>
      </c>
      <c r="AH730">
        <v>4</v>
      </c>
      <c r="AI730">
        <v>4</v>
      </c>
      <c r="AJ730">
        <v>5</v>
      </c>
      <c r="AK730">
        <v>9</v>
      </c>
      <c r="AL730" t="s">
        <v>1667</v>
      </c>
      <c r="AM730" t="s">
        <v>1668</v>
      </c>
      <c r="AN730" t="s">
        <v>1669</v>
      </c>
      <c r="AO730" t="s">
        <v>10780</v>
      </c>
      <c r="AP730" t="s">
        <v>10781</v>
      </c>
      <c r="AQ730" t="s">
        <v>74</v>
      </c>
      <c r="AR730" t="s">
        <v>10782</v>
      </c>
      <c r="AS730" t="s">
        <v>10783</v>
      </c>
      <c r="AT730" t="s">
        <v>74</v>
      </c>
      <c r="AU730">
        <v>2022</v>
      </c>
      <c r="AV730">
        <v>19</v>
      </c>
      <c r="AW730" t="s">
        <v>74</v>
      </c>
      <c r="AX730" t="s">
        <v>74</v>
      </c>
      <c r="AY730" t="s">
        <v>74</v>
      </c>
      <c r="AZ730" t="s">
        <v>74</v>
      </c>
      <c r="BA730" t="s">
        <v>74</v>
      </c>
      <c r="BB730" t="s">
        <v>74</v>
      </c>
      <c r="BC730" t="s">
        <v>74</v>
      </c>
      <c r="BD730">
        <v>8023303</v>
      </c>
      <c r="BE730" t="s">
        <v>13987</v>
      </c>
      <c r="BF730" t="str">
        <f>HYPERLINK("http://dx.doi.org/10.1109/LGRS.2021.3122108","http://dx.doi.org/10.1109/LGRS.2021.3122108")</f>
        <v>http://dx.doi.org/10.1109/LGRS.2021.3122108</v>
      </c>
      <c r="BG730" t="s">
        <v>74</v>
      </c>
      <c r="BH730" t="s">
        <v>74</v>
      </c>
      <c r="BI730">
        <v>3</v>
      </c>
      <c r="BJ730" t="s">
        <v>9214</v>
      </c>
      <c r="BK730" t="s">
        <v>103</v>
      </c>
      <c r="BL730" t="s">
        <v>9215</v>
      </c>
      <c r="BM730" t="s">
        <v>13988</v>
      </c>
      <c r="BN730" t="s">
        <v>74</v>
      </c>
      <c r="BO730" t="s">
        <v>9256</v>
      </c>
      <c r="BP730" t="s">
        <v>74</v>
      </c>
      <c r="BQ730" t="s">
        <v>74</v>
      </c>
      <c r="BR730" t="s">
        <v>106</v>
      </c>
      <c r="BS730" t="s">
        <v>13989</v>
      </c>
      <c r="BT730" t="str">
        <f>HYPERLINK("https%3A%2F%2Fwww.webofscience.com%2Fwos%2Fwoscc%2Ffull-record%2FWOS:000742225800089","View Full Record in Web of Science")</f>
        <v>View Full Record in Web of Science</v>
      </c>
    </row>
    <row r="731" spans="1:72" x14ac:dyDescent="0.15">
      <c r="A731" t="s">
        <v>72</v>
      </c>
      <c r="B731" t="s">
        <v>13990</v>
      </c>
      <c r="C731" t="s">
        <v>74</v>
      </c>
      <c r="D731" t="s">
        <v>74</v>
      </c>
      <c r="E731" t="s">
        <v>74</v>
      </c>
      <c r="F731" t="s">
        <v>13991</v>
      </c>
      <c r="G731" t="s">
        <v>74</v>
      </c>
      <c r="H731" t="s">
        <v>74</v>
      </c>
      <c r="I731" t="s">
        <v>13992</v>
      </c>
      <c r="J731" t="s">
        <v>10767</v>
      </c>
      <c r="K731" t="s">
        <v>74</v>
      </c>
      <c r="L731" t="s">
        <v>74</v>
      </c>
      <c r="M731" t="s">
        <v>78</v>
      </c>
      <c r="N731" t="s">
        <v>79</v>
      </c>
      <c r="O731" t="s">
        <v>74</v>
      </c>
      <c r="P731" t="s">
        <v>74</v>
      </c>
      <c r="Q731" t="s">
        <v>74</v>
      </c>
      <c r="R731" t="s">
        <v>74</v>
      </c>
      <c r="S731" t="s">
        <v>74</v>
      </c>
      <c r="T731" t="s">
        <v>13993</v>
      </c>
      <c r="U731" t="s">
        <v>13994</v>
      </c>
      <c r="V731" t="s">
        <v>13995</v>
      </c>
      <c r="W731" t="s">
        <v>13996</v>
      </c>
      <c r="X731" t="s">
        <v>13997</v>
      </c>
      <c r="Y731" t="s">
        <v>13998</v>
      </c>
      <c r="Z731" t="s">
        <v>13999</v>
      </c>
      <c r="AA731" t="s">
        <v>14000</v>
      </c>
      <c r="AB731" t="s">
        <v>74</v>
      </c>
      <c r="AC731" t="s">
        <v>14001</v>
      </c>
      <c r="AD731" t="s">
        <v>14002</v>
      </c>
      <c r="AE731" t="s">
        <v>14003</v>
      </c>
      <c r="AF731" t="s">
        <v>74</v>
      </c>
      <c r="AG731">
        <v>24</v>
      </c>
      <c r="AH731">
        <v>0</v>
      </c>
      <c r="AI731">
        <v>0</v>
      </c>
      <c r="AJ731">
        <v>0</v>
      </c>
      <c r="AK731">
        <v>10</v>
      </c>
      <c r="AL731" t="s">
        <v>1667</v>
      </c>
      <c r="AM731" t="s">
        <v>1668</v>
      </c>
      <c r="AN731" t="s">
        <v>1669</v>
      </c>
      <c r="AO731" t="s">
        <v>10780</v>
      </c>
      <c r="AP731" t="s">
        <v>10781</v>
      </c>
      <c r="AQ731" t="s">
        <v>74</v>
      </c>
      <c r="AR731" t="s">
        <v>10782</v>
      </c>
      <c r="AS731" t="s">
        <v>10783</v>
      </c>
      <c r="AT731" t="s">
        <v>74</v>
      </c>
      <c r="AU731">
        <v>2022</v>
      </c>
      <c r="AV731">
        <v>19</v>
      </c>
      <c r="AW731" t="s">
        <v>74</v>
      </c>
      <c r="AX731" t="s">
        <v>74</v>
      </c>
      <c r="AY731" t="s">
        <v>74</v>
      </c>
      <c r="AZ731" t="s">
        <v>74</v>
      </c>
      <c r="BA731" t="s">
        <v>74</v>
      </c>
      <c r="BB731" t="s">
        <v>74</v>
      </c>
      <c r="BC731" t="s">
        <v>74</v>
      </c>
      <c r="BD731">
        <v>2000705</v>
      </c>
      <c r="BE731" t="s">
        <v>14004</v>
      </c>
      <c r="BF731" t="str">
        <f>HYPERLINK("http://dx.doi.org/10.1109/LGRS.2021.3124224","http://dx.doi.org/10.1109/LGRS.2021.3124224")</f>
        <v>http://dx.doi.org/10.1109/LGRS.2021.3124224</v>
      </c>
      <c r="BG731" t="s">
        <v>74</v>
      </c>
      <c r="BH731" t="s">
        <v>74</v>
      </c>
      <c r="BI731">
        <v>5</v>
      </c>
      <c r="BJ731" t="s">
        <v>9214</v>
      </c>
      <c r="BK731" t="s">
        <v>103</v>
      </c>
      <c r="BL731" t="s">
        <v>9215</v>
      </c>
      <c r="BM731" t="s">
        <v>13988</v>
      </c>
      <c r="BN731" t="s">
        <v>74</v>
      </c>
      <c r="BO731" t="s">
        <v>74</v>
      </c>
      <c r="BP731" t="s">
        <v>74</v>
      </c>
      <c r="BQ731" t="s">
        <v>74</v>
      </c>
      <c r="BR731" t="s">
        <v>106</v>
      </c>
      <c r="BS731" t="s">
        <v>14005</v>
      </c>
      <c r="BT731" t="str">
        <f>HYPERLINK("https%3A%2F%2Fwww.webofscience.com%2Fwos%2Fwoscc%2Ffull-record%2FWOS:000742225800015","View Full Record in Web of Science")</f>
        <v>View Full Record in Web of Science</v>
      </c>
    </row>
    <row r="732" spans="1:72" x14ac:dyDescent="0.15">
      <c r="A732" t="s">
        <v>72</v>
      </c>
      <c r="B732" t="s">
        <v>14006</v>
      </c>
      <c r="C732" t="s">
        <v>74</v>
      </c>
      <c r="D732" t="s">
        <v>74</v>
      </c>
      <c r="E732" t="s">
        <v>74</v>
      </c>
      <c r="F732" t="s">
        <v>14007</v>
      </c>
      <c r="G732" t="s">
        <v>74</v>
      </c>
      <c r="H732" t="s">
        <v>74</v>
      </c>
      <c r="I732" t="s">
        <v>14008</v>
      </c>
      <c r="J732" t="s">
        <v>9737</v>
      </c>
      <c r="K732" t="s">
        <v>74</v>
      </c>
      <c r="L732" t="s">
        <v>74</v>
      </c>
      <c r="M732" t="s">
        <v>78</v>
      </c>
      <c r="N732" t="s">
        <v>79</v>
      </c>
      <c r="O732" t="s">
        <v>74</v>
      </c>
      <c r="P732" t="s">
        <v>74</v>
      </c>
      <c r="Q732" t="s">
        <v>74</v>
      </c>
      <c r="R732" t="s">
        <v>74</v>
      </c>
      <c r="S732" t="s">
        <v>74</v>
      </c>
      <c r="T732" t="s">
        <v>14009</v>
      </c>
      <c r="U732" t="s">
        <v>14010</v>
      </c>
      <c r="V732" t="s">
        <v>14011</v>
      </c>
      <c r="W732" t="s">
        <v>14012</v>
      </c>
      <c r="X732" t="s">
        <v>14013</v>
      </c>
      <c r="Y732" t="s">
        <v>4315</v>
      </c>
      <c r="Z732" t="s">
        <v>14014</v>
      </c>
      <c r="AA732" t="s">
        <v>74</v>
      </c>
      <c r="AB732" t="s">
        <v>74</v>
      </c>
      <c r="AC732" t="s">
        <v>14015</v>
      </c>
      <c r="AD732" t="s">
        <v>4319</v>
      </c>
      <c r="AE732" t="s">
        <v>14016</v>
      </c>
      <c r="AF732" t="s">
        <v>74</v>
      </c>
      <c r="AG732">
        <v>48</v>
      </c>
      <c r="AH732">
        <v>0</v>
      </c>
      <c r="AI732">
        <v>0</v>
      </c>
      <c r="AJ732">
        <v>8</v>
      </c>
      <c r="AK732">
        <v>26</v>
      </c>
      <c r="AL732" t="s">
        <v>1667</v>
      </c>
      <c r="AM732" t="s">
        <v>1668</v>
      </c>
      <c r="AN732" t="s">
        <v>1669</v>
      </c>
      <c r="AO732" t="s">
        <v>9750</v>
      </c>
      <c r="AP732" t="s">
        <v>9751</v>
      </c>
      <c r="AQ732" t="s">
        <v>74</v>
      </c>
      <c r="AR732" t="s">
        <v>9752</v>
      </c>
      <c r="AS732" t="s">
        <v>9753</v>
      </c>
      <c r="AT732" t="s">
        <v>74</v>
      </c>
      <c r="AU732">
        <v>2022</v>
      </c>
      <c r="AV732">
        <v>15</v>
      </c>
      <c r="AW732" t="s">
        <v>74</v>
      </c>
      <c r="AX732" t="s">
        <v>74</v>
      </c>
      <c r="AY732" t="s">
        <v>74</v>
      </c>
      <c r="AZ732" t="s">
        <v>74</v>
      </c>
      <c r="BA732" t="s">
        <v>74</v>
      </c>
      <c r="BB732">
        <v>751</v>
      </c>
      <c r="BC732">
        <v>763</v>
      </c>
      <c r="BD732" t="s">
        <v>74</v>
      </c>
      <c r="BE732" t="s">
        <v>14017</v>
      </c>
      <c r="BF732" t="str">
        <f>HYPERLINK("http://dx.doi.org/10.1109/JSTARS.2021.3137231","http://dx.doi.org/10.1109/JSTARS.2021.3137231")</f>
        <v>http://dx.doi.org/10.1109/JSTARS.2021.3137231</v>
      </c>
      <c r="BG732" t="s">
        <v>74</v>
      </c>
      <c r="BH732" t="s">
        <v>74</v>
      </c>
      <c r="BI732">
        <v>13</v>
      </c>
      <c r="BJ732" t="s">
        <v>9755</v>
      </c>
      <c r="BK732" t="s">
        <v>103</v>
      </c>
      <c r="BL732" t="s">
        <v>9756</v>
      </c>
      <c r="BM732" t="s">
        <v>14018</v>
      </c>
      <c r="BN732" t="s">
        <v>74</v>
      </c>
      <c r="BO732" t="s">
        <v>445</v>
      </c>
      <c r="BP732" t="s">
        <v>74</v>
      </c>
      <c r="BQ732" t="s">
        <v>74</v>
      </c>
      <c r="BR732" t="s">
        <v>106</v>
      </c>
      <c r="BS732" t="s">
        <v>14019</v>
      </c>
      <c r="BT732" t="str">
        <f>HYPERLINK("https%3A%2F%2Fwww.webofscience.com%2Fwos%2Fwoscc%2Ffull-record%2FWOS:000742179500006","View Full Record in Web of Science")</f>
        <v>View Full Record in Web of Science</v>
      </c>
    </row>
    <row r="733" spans="1:72" x14ac:dyDescent="0.15">
      <c r="A733" t="s">
        <v>72</v>
      </c>
      <c r="B733" t="s">
        <v>14020</v>
      </c>
      <c r="C733" t="s">
        <v>74</v>
      </c>
      <c r="D733" t="s">
        <v>74</v>
      </c>
      <c r="E733" t="s">
        <v>74</v>
      </c>
      <c r="F733" t="s">
        <v>14021</v>
      </c>
      <c r="G733" t="s">
        <v>74</v>
      </c>
      <c r="H733" t="s">
        <v>74</v>
      </c>
      <c r="I733" t="s">
        <v>14022</v>
      </c>
      <c r="J733" t="s">
        <v>14023</v>
      </c>
      <c r="K733" t="s">
        <v>74</v>
      </c>
      <c r="L733" t="s">
        <v>74</v>
      </c>
      <c r="M733" t="s">
        <v>78</v>
      </c>
      <c r="N733" t="s">
        <v>79</v>
      </c>
      <c r="O733" t="s">
        <v>74</v>
      </c>
      <c r="P733" t="s">
        <v>74</v>
      </c>
      <c r="Q733" t="s">
        <v>74</v>
      </c>
      <c r="R733" t="s">
        <v>74</v>
      </c>
      <c r="S733" t="s">
        <v>74</v>
      </c>
      <c r="T733" t="s">
        <v>14024</v>
      </c>
      <c r="U733" t="s">
        <v>14025</v>
      </c>
      <c r="V733" t="s">
        <v>14026</v>
      </c>
      <c r="W733" t="s">
        <v>74</v>
      </c>
      <c r="X733" t="s">
        <v>74</v>
      </c>
      <c r="Y733" t="s">
        <v>74</v>
      </c>
      <c r="Z733" t="s">
        <v>74</v>
      </c>
      <c r="AA733" t="s">
        <v>74</v>
      </c>
      <c r="AB733" t="s">
        <v>74</v>
      </c>
      <c r="AC733" t="s">
        <v>74</v>
      </c>
      <c r="AD733" t="s">
        <v>74</v>
      </c>
      <c r="AE733" t="s">
        <v>74</v>
      </c>
      <c r="AF733" t="s">
        <v>74</v>
      </c>
      <c r="AG733">
        <v>7</v>
      </c>
      <c r="AH733">
        <v>0</v>
      </c>
      <c r="AI733">
        <v>0</v>
      </c>
      <c r="AJ733">
        <v>2</v>
      </c>
      <c r="AK733">
        <v>5</v>
      </c>
      <c r="AL733" t="s">
        <v>14027</v>
      </c>
      <c r="AM733" t="s">
        <v>282</v>
      </c>
      <c r="AN733" t="s">
        <v>14028</v>
      </c>
      <c r="AO733" t="s">
        <v>14029</v>
      </c>
      <c r="AP733" t="s">
        <v>14030</v>
      </c>
      <c r="AQ733" t="s">
        <v>74</v>
      </c>
      <c r="AR733" t="s">
        <v>14031</v>
      </c>
      <c r="AS733" t="s">
        <v>14032</v>
      </c>
      <c r="AT733" t="s">
        <v>4645</v>
      </c>
      <c r="AU733">
        <v>2022</v>
      </c>
      <c r="AV733">
        <v>92</v>
      </c>
      <c r="AW733">
        <v>1</v>
      </c>
      <c r="AX733" t="s">
        <v>74</v>
      </c>
      <c r="AY733" t="s">
        <v>74</v>
      </c>
      <c r="AZ733" t="s">
        <v>233</v>
      </c>
      <c r="BA733" t="s">
        <v>74</v>
      </c>
      <c r="BB733">
        <v>44</v>
      </c>
      <c r="BC733">
        <v>53</v>
      </c>
      <c r="BD733" t="s">
        <v>74</v>
      </c>
      <c r="BE733" t="s">
        <v>14033</v>
      </c>
      <c r="BF733" t="str">
        <f>HYPERLINK("http://dx.doi.org/10.1002/ad.2772","http://dx.doi.org/10.1002/ad.2772")</f>
        <v>http://dx.doi.org/10.1002/ad.2772</v>
      </c>
      <c r="BG733" t="s">
        <v>74</v>
      </c>
      <c r="BH733" t="s">
        <v>74</v>
      </c>
      <c r="BI733">
        <v>10</v>
      </c>
      <c r="BJ733" t="s">
        <v>14034</v>
      </c>
      <c r="BK733" t="s">
        <v>14035</v>
      </c>
      <c r="BL733" t="s">
        <v>14034</v>
      </c>
      <c r="BM733" t="s">
        <v>14036</v>
      </c>
      <c r="BN733" t="s">
        <v>74</v>
      </c>
      <c r="BO733" t="s">
        <v>74</v>
      </c>
      <c r="BP733" t="s">
        <v>74</v>
      </c>
      <c r="BQ733" t="s">
        <v>74</v>
      </c>
      <c r="BR733" t="s">
        <v>106</v>
      </c>
      <c r="BS733" t="s">
        <v>14037</v>
      </c>
      <c r="BT733" t="str">
        <f>HYPERLINK("https%3A%2F%2Fwww.webofscience.com%2Fwos%2Fwoscc%2Ffull-record%2FWOS:000738078200007","View Full Record in Web of Science")</f>
        <v>View Full Record in Web of Science</v>
      </c>
    </row>
    <row r="734" spans="1:72" x14ac:dyDescent="0.15">
      <c r="A734" t="s">
        <v>72</v>
      </c>
      <c r="B734" t="s">
        <v>14038</v>
      </c>
      <c r="C734" t="s">
        <v>74</v>
      </c>
      <c r="D734" t="s">
        <v>74</v>
      </c>
      <c r="E734" t="s">
        <v>74</v>
      </c>
      <c r="F734" t="s">
        <v>14039</v>
      </c>
      <c r="G734" t="s">
        <v>74</v>
      </c>
      <c r="H734" t="s">
        <v>74</v>
      </c>
      <c r="I734" t="s">
        <v>14040</v>
      </c>
      <c r="J734" t="s">
        <v>14041</v>
      </c>
      <c r="K734" t="s">
        <v>74</v>
      </c>
      <c r="L734" t="s">
        <v>74</v>
      </c>
      <c r="M734" t="s">
        <v>78</v>
      </c>
      <c r="N734" t="s">
        <v>79</v>
      </c>
      <c r="O734" t="s">
        <v>74</v>
      </c>
      <c r="P734" t="s">
        <v>74</v>
      </c>
      <c r="Q734" t="s">
        <v>74</v>
      </c>
      <c r="R734" t="s">
        <v>74</v>
      </c>
      <c r="S734" t="s">
        <v>74</v>
      </c>
      <c r="T734" t="s">
        <v>14042</v>
      </c>
      <c r="U734" t="s">
        <v>14043</v>
      </c>
      <c r="V734" t="s">
        <v>14044</v>
      </c>
      <c r="W734" t="s">
        <v>14045</v>
      </c>
      <c r="X734" t="s">
        <v>14046</v>
      </c>
      <c r="Y734" t="s">
        <v>14047</v>
      </c>
      <c r="Z734" t="s">
        <v>14048</v>
      </c>
      <c r="AA734" t="s">
        <v>14049</v>
      </c>
      <c r="AB734" t="s">
        <v>14050</v>
      </c>
      <c r="AC734" t="s">
        <v>14051</v>
      </c>
      <c r="AD734" t="s">
        <v>14052</v>
      </c>
      <c r="AE734" t="s">
        <v>14053</v>
      </c>
      <c r="AF734" t="s">
        <v>74</v>
      </c>
      <c r="AG734">
        <v>80</v>
      </c>
      <c r="AH734">
        <v>0</v>
      </c>
      <c r="AI734">
        <v>0</v>
      </c>
      <c r="AJ734">
        <v>2</v>
      </c>
      <c r="AK734">
        <v>9</v>
      </c>
      <c r="AL734" t="s">
        <v>14054</v>
      </c>
      <c r="AM734" t="s">
        <v>14055</v>
      </c>
      <c r="AN734" t="s">
        <v>14056</v>
      </c>
      <c r="AO734" t="s">
        <v>14057</v>
      </c>
      <c r="AP734" t="s">
        <v>14058</v>
      </c>
      <c r="AQ734" t="s">
        <v>74</v>
      </c>
      <c r="AR734" t="s">
        <v>14059</v>
      </c>
      <c r="AS734" t="s">
        <v>14060</v>
      </c>
      <c r="AT734" t="s">
        <v>4645</v>
      </c>
      <c r="AU734">
        <v>2022</v>
      </c>
      <c r="AV734">
        <v>100</v>
      </c>
      <c r="AW734">
        <v>1</v>
      </c>
      <c r="AX734" t="s">
        <v>74</v>
      </c>
      <c r="AY734" t="s">
        <v>74</v>
      </c>
      <c r="AZ734" t="s">
        <v>74</v>
      </c>
      <c r="BA734" t="s">
        <v>74</v>
      </c>
      <c r="BB734">
        <v>46</v>
      </c>
      <c r="BC734">
        <v>55</v>
      </c>
      <c r="BD734" t="s">
        <v>74</v>
      </c>
      <c r="BE734" t="s">
        <v>14061</v>
      </c>
      <c r="BF734" t="str">
        <f>HYPERLINK("http://dx.doi.org/10.1139/cjz-2021-0020","http://dx.doi.org/10.1139/cjz-2021-0020")</f>
        <v>http://dx.doi.org/10.1139/cjz-2021-0020</v>
      </c>
      <c r="BG734" t="s">
        <v>74</v>
      </c>
      <c r="BH734" t="s">
        <v>74</v>
      </c>
      <c r="BI734">
        <v>10</v>
      </c>
      <c r="BJ734" t="s">
        <v>3187</v>
      </c>
      <c r="BK734" t="s">
        <v>103</v>
      </c>
      <c r="BL734" t="s">
        <v>3187</v>
      </c>
      <c r="BM734" t="s">
        <v>14062</v>
      </c>
      <c r="BN734" t="s">
        <v>74</v>
      </c>
      <c r="BO734" t="s">
        <v>659</v>
      </c>
      <c r="BP734" t="s">
        <v>74</v>
      </c>
      <c r="BQ734" t="s">
        <v>74</v>
      </c>
      <c r="BR734" t="s">
        <v>106</v>
      </c>
      <c r="BS734" t="s">
        <v>14063</v>
      </c>
      <c r="BT734" t="str">
        <f>HYPERLINK("https%3A%2F%2Fwww.webofscience.com%2Fwos%2Fwoscc%2Ffull-record%2FWOS:000740353800006","View Full Record in Web of Science")</f>
        <v>View Full Record in Web of Science</v>
      </c>
    </row>
    <row r="735" spans="1:72" x14ac:dyDescent="0.15">
      <c r="A735" t="s">
        <v>72</v>
      </c>
      <c r="B735" t="s">
        <v>14064</v>
      </c>
      <c r="C735" t="s">
        <v>74</v>
      </c>
      <c r="D735" t="s">
        <v>74</v>
      </c>
      <c r="E735" t="s">
        <v>74</v>
      </c>
      <c r="F735" t="s">
        <v>14065</v>
      </c>
      <c r="G735" t="s">
        <v>74</v>
      </c>
      <c r="H735" t="s">
        <v>74</v>
      </c>
      <c r="I735" t="s">
        <v>14066</v>
      </c>
      <c r="J735" t="s">
        <v>9196</v>
      </c>
      <c r="K735" t="s">
        <v>74</v>
      </c>
      <c r="L735" t="s">
        <v>74</v>
      </c>
      <c r="M735" t="s">
        <v>78</v>
      </c>
      <c r="N735" t="s">
        <v>79</v>
      </c>
      <c r="O735" t="s">
        <v>74</v>
      </c>
      <c r="P735" t="s">
        <v>74</v>
      </c>
      <c r="Q735" t="s">
        <v>74</v>
      </c>
      <c r="R735" t="s">
        <v>74</v>
      </c>
      <c r="S735" t="s">
        <v>74</v>
      </c>
      <c r="T735" t="s">
        <v>14067</v>
      </c>
      <c r="U735" t="s">
        <v>14068</v>
      </c>
      <c r="V735" t="s">
        <v>14069</v>
      </c>
      <c r="W735" t="s">
        <v>14070</v>
      </c>
      <c r="X735" t="s">
        <v>14071</v>
      </c>
      <c r="Y735" t="s">
        <v>14072</v>
      </c>
      <c r="Z735" t="s">
        <v>14073</v>
      </c>
      <c r="AA735" t="s">
        <v>14074</v>
      </c>
      <c r="AB735" t="s">
        <v>14075</v>
      </c>
      <c r="AC735" t="s">
        <v>14076</v>
      </c>
      <c r="AD735" t="s">
        <v>14077</v>
      </c>
      <c r="AE735" t="s">
        <v>14078</v>
      </c>
      <c r="AF735" t="s">
        <v>74</v>
      </c>
      <c r="AG735">
        <v>72</v>
      </c>
      <c r="AH735">
        <v>68</v>
      </c>
      <c r="AI735">
        <v>69</v>
      </c>
      <c r="AJ735">
        <v>36</v>
      </c>
      <c r="AK735">
        <v>159</v>
      </c>
      <c r="AL735" t="s">
        <v>1667</v>
      </c>
      <c r="AM735" t="s">
        <v>1668</v>
      </c>
      <c r="AN735" t="s">
        <v>1669</v>
      </c>
      <c r="AO735" t="s">
        <v>9209</v>
      </c>
      <c r="AP735" t="s">
        <v>9210</v>
      </c>
      <c r="AQ735" t="s">
        <v>74</v>
      </c>
      <c r="AR735" t="s">
        <v>9211</v>
      </c>
      <c r="AS735" t="s">
        <v>9212</v>
      </c>
      <c r="AT735" t="s">
        <v>74</v>
      </c>
      <c r="AU735">
        <v>2022</v>
      </c>
      <c r="AV735">
        <v>60</v>
      </c>
      <c r="AW735" t="s">
        <v>74</v>
      </c>
      <c r="AX735" t="s">
        <v>74</v>
      </c>
      <c r="AY735" t="s">
        <v>74</v>
      </c>
      <c r="AZ735" t="s">
        <v>74</v>
      </c>
      <c r="BA735" t="s">
        <v>74</v>
      </c>
      <c r="BB735" t="s">
        <v>74</v>
      </c>
      <c r="BC735" t="s">
        <v>74</v>
      </c>
      <c r="BD735">
        <v>4300514</v>
      </c>
      <c r="BE735" t="s">
        <v>14079</v>
      </c>
      <c r="BF735" t="str">
        <f>HYPERLINK("http://dx.doi.org/10.1109/TGRS.2021.3064606","http://dx.doi.org/10.1109/TGRS.2021.3064606")</f>
        <v>http://dx.doi.org/10.1109/TGRS.2021.3064606</v>
      </c>
      <c r="BG735" t="s">
        <v>74</v>
      </c>
      <c r="BH735" t="s">
        <v>74</v>
      </c>
      <c r="BI735">
        <v>14</v>
      </c>
      <c r="BJ735" t="s">
        <v>9214</v>
      </c>
      <c r="BK735" t="s">
        <v>103</v>
      </c>
      <c r="BL735" t="s">
        <v>9215</v>
      </c>
      <c r="BM735" t="s">
        <v>14080</v>
      </c>
      <c r="BN735" t="s">
        <v>74</v>
      </c>
      <c r="BO735" t="s">
        <v>2996</v>
      </c>
      <c r="BP735" t="s">
        <v>1286</v>
      </c>
      <c r="BQ735" t="s">
        <v>1287</v>
      </c>
      <c r="BR735" t="s">
        <v>106</v>
      </c>
      <c r="BS735" t="s">
        <v>14081</v>
      </c>
      <c r="BT735" t="str">
        <f>HYPERLINK("https%3A%2F%2Fwww.webofscience.com%2Fwos%2Fwoscc%2Ffull-record%2FWOS:000730619400008","View Full Record in Web of Science")</f>
        <v>View Full Record in Web of Science</v>
      </c>
    </row>
    <row r="736" spans="1:72" x14ac:dyDescent="0.15">
      <c r="A736" t="s">
        <v>72</v>
      </c>
      <c r="B736" t="s">
        <v>14082</v>
      </c>
      <c r="C736" t="s">
        <v>74</v>
      </c>
      <c r="D736" t="s">
        <v>74</v>
      </c>
      <c r="E736" t="s">
        <v>74</v>
      </c>
      <c r="F736" t="s">
        <v>14083</v>
      </c>
      <c r="G736" t="s">
        <v>74</v>
      </c>
      <c r="H736" t="s">
        <v>74</v>
      </c>
      <c r="I736" t="s">
        <v>14084</v>
      </c>
      <c r="J736" t="s">
        <v>9196</v>
      </c>
      <c r="K736" t="s">
        <v>74</v>
      </c>
      <c r="L736" t="s">
        <v>74</v>
      </c>
      <c r="M736" t="s">
        <v>78</v>
      </c>
      <c r="N736" t="s">
        <v>79</v>
      </c>
      <c r="O736" t="s">
        <v>74</v>
      </c>
      <c r="P736" t="s">
        <v>74</v>
      </c>
      <c r="Q736" t="s">
        <v>74</v>
      </c>
      <c r="R736" t="s">
        <v>74</v>
      </c>
      <c r="S736" t="s">
        <v>74</v>
      </c>
      <c r="T736" t="s">
        <v>14085</v>
      </c>
      <c r="U736" t="s">
        <v>14086</v>
      </c>
      <c r="V736" t="s">
        <v>14087</v>
      </c>
      <c r="W736" t="s">
        <v>14088</v>
      </c>
      <c r="X736" t="s">
        <v>14089</v>
      </c>
      <c r="Y736" t="s">
        <v>14090</v>
      </c>
      <c r="Z736" t="s">
        <v>14091</v>
      </c>
      <c r="AA736" t="s">
        <v>11764</v>
      </c>
      <c r="AB736" t="s">
        <v>74</v>
      </c>
      <c r="AC736" t="s">
        <v>14092</v>
      </c>
      <c r="AD736" t="s">
        <v>13761</v>
      </c>
      <c r="AE736" t="s">
        <v>14093</v>
      </c>
      <c r="AF736" t="s">
        <v>74</v>
      </c>
      <c r="AG736">
        <v>40</v>
      </c>
      <c r="AH736">
        <v>2</v>
      </c>
      <c r="AI736">
        <v>2</v>
      </c>
      <c r="AJ736">
        <v>2</v>
      </c>
      <c r="AK736">
        <v>28</v>
      </c>
      <c r="AL736" t="s">
        <v>1667</v>
      </c>
      <c r="AM736" t="s">
        <v>1668</v>
      </c>
      <c r="AN736" t="s">
        <v>1669</v>
      </c>
      <c r="AO736" t="s">
        <v>9209</v>
      </c>
      <c r="AP736" t="s">
        <v>9210</v>
      </c>
      <c r="AQ736" t="s">
        <v>74</v>
      </c>
      <c r="AR736" t="s">
        <v>9211</v>
      </c>
      <c r="AS736" t="s">
        <v>9212</v>
      </c>
      <c r="AT736" t="s">
        <v>74</v>
      </c>
      <c r="AU736">
        <v>2022</v>
      </c>
      <c r="AV736">
        <v>60</v>
      </c>
      <c r="AW736" t="s">
        <v>74</v>
      </c>
      <c r="AX736" t="s">
        <v>74</v>
      </c>
      <c r="AY736" t="s">
        <v>74</v>
      </c>
      <c r="AZ736" t="s">
        <v>74</v>
      </c>
      <c r="BA736" t="s">
        <v>74</v>
      </c>
      <c r="BB736" t="s">
        <v>74</v>
      </c>
      <c r="BC736" t="s">
        <v>74</v>
      </c>
      <c r="BD736">
        <v>4300418</v>
      </c>
      <c r="BE736" t="s">
        <v>14094</v>
      </c>
      <c r="BF736" t="str">
        <f>HYPERLINK("http://dx.doi.org/10.1109/TGRS.2021.3063272","http://dx.doi.org/10.1109/TGRS.2021.3063272")</f>
        <v>http://dx.doi.org/10.1109/TGRS.2021.3063272</v>
      </c>
      <c r="BG736" t="s">
        <v>74</v>
      </c>
      <c r="BH736" t="s">
        <v>74</v>
      </c>
      <c r="BI736">
        <v>18</v>
      </c>
      <c r="BJ736" t="s">
        <v>9214</v>
      </c>
      <c r="BK736" t="s">
        <v>103</v>
      </c>
      <c r="BL736" t="s">
        <v>9215</v>
      </c>
      <c r="BM736" t="s">
        <v>14080</v>
      </c>
      <c r="BN736" t="s">
        <v>74</v>
      </c>
      <c r="BO736" t="s">
        <v>74</v>
      </c>
      <c r="BP736" t="s">
        <v>74</v>
      </c>
      <c r="BQ736" t="s">
        <v>74</v>
      </c>
      <c r="BR736" t="s">
        <v>106</v>
      </c>
      <c r="BS736" t="s">
        <v>14095</v>
      </c>
      <c r="BT736" t="str">
        <f>HYPERLINK("https%3A%2F%2Fwww.webofscience.com%2Fwos%2Fwoscc%2Ffull-record%2FWOS:000730619400006","View Full Record in Web of Science")</f>
        <v>View Full Record in Web of Science</v>
      </c>
    </row>
    <row r="737" spans="1:72" x14ac:dyDescent="0.15">
      <c r="A737" t="s">
        <v>72</v>
      </c>
      <c r="B737" t="s">
        <v>14096</v>
      </c>
      <c r="C737" t="s">
        <v>74</v>
      </c>
      <c r="D737" t="s">
        <v>74</v>
      </c>
      <c r="E737" t="s">
        <v>74</v>
      </c>
      <c r="F737" t="s">
        <v>14097</v>
      </c>
      <c r="G737" t="s">
        <v>74</v>
      </c>
      <c r="H737" t="s">
        <v>74</v>
      </c>
      <c r="I737" t="s">
        <v>14098</v>
      </c>
      <c r="J737" t="s">
        <v>3803</v>
      </c>
      <c r="K737" t="s">
        <v>74</v>
      </c>
      <c r="L737" t="s">
        <v>74</v>
      </c>
      <c r="M737" t="s">
        <v>78</v>
      </c>
      <c r="N737" t="s">
        <v>79</v>
      </c>
      <c r="O737" t="s">
        <v>74</v>
      </c>
      <c r="P737" t="s">
        <v>74</v>
      </c>
      <c r="Q737" t="s">
        <v>74</v>
      </c>
      <c r="R737" t="s">
        <v>74</v>
      </c>
      <c r="S737" t="s">
        <v>74</v>
      </c>
      <c r="T737" t="s">
        <v>14099</v>
      </c>
      <c r="U737" t="s">
        <v>14100</v>
      </c>
      <c r="V737" t="s">
        <v>14101</v>
      </c>
      <c r="W737" t="s">
        <v>14102</v>
      </c>
      <c r="X737" t="s">
        <v>14103</v>
      </c>
      <c r="Y737" t="s">
        <v>14104</v>
      </c>
      <c r="Z737" t="s">
        <v>14105</v>
      </c>
      <c r="AA737" t="s">
        <v>14106</v>
      </c>
      <c r="AB737" t="s">
        <v>14107</v>
      </c>
      <c r="AC737" t="s">
        <v>14108</v>
      </c>
      <c r="AD737" t="s">
        <v>14109</v>
      </c>
      <c r="AE737" t="s">
        <v>14110</v>
      </c>
      <c r="AF737" t="s">
        <v>74</v>
      </c>
      <c r="AG737">
        <v>39</v>
      </c>
      <c r="AH737">
        <v>17</v>
      </c>
      <c r="AI737">
        <v>17</v>
      </c>
      <c r="AJ737">
        <v>11</v>
      </c>
      <c r="AK737">
        <v>61</v>
      </c>
      <c r="AL737" t="s">
        <v>3816</v>
      </c>
      <c r="AM737" t="s">
        <v>3817</v>
      </c>
      <c r="AN737" t="s">
        <v>3818</v>
      </c>
      <c r="AO737" t="s">
        <v>3819</v>
      </c>
      <c r="AP737" t="s">
        <v>74</v>
      </c>
      <c r="AQ737" t="s">
        <v>74</v>
      </c>
      <c r="AR737" t="s">
        <v>3820</v>
      </c>
      <c r="AS737" t="s">
        <v>3821</v>
      </c>
      <c r="AT737" t="s">
        <v>10931</v>
      </c>
      <c r="AU737">
        <v>2022</v>
      </c>
      <c r="AV737">
        <v>17</v>
      </c>
      <c r="AW737">
        <v>1</v>
      </c>
      <c r="AX737" t="s">
        <v>74</v>
      </c>
      <c r="AY737" t="s">
        <v>74</v>
      </c>
      <c r="AZ737" t="s">
        <v>74</v>
      </c>
      <c r="BA737" t="s">
        <v>74</v>
      </c>
      <c r="BB737" t="s">
        <v>74</v>
      </c>
      <c r="BC737" t="s">
        <v>74</v>
      </c>
      <c r="BD737">
        <v>14029</v>
      </c>
      <c r="BE737" t="s">
        <v>14111</v>
      </c>
      <c r="BF737" t="str">
        <f>HYPERLINK("http://dx.doi.org/10.1088/1748-9326/ac43e2","http://dx.doi.org/10.1088/1748-9326/ac43e2")</f>
        <v>http://dx.doi.org/10.1088/1748-9326/ac43e2</v>
      </c>
      <c r="BG737" t="s">
        <v>74</v>
      </c>
      <c r="BH737" t="s">
        <v>74</v>
      </c>
      <c r="BI737">
        <v>9</v>
      </c>
      <c r="BJ737" t="s">
        <v>129</v>
      </c>
      <c r="BK737" t="s">
        <v>103</v>
      </c>
      <c r="BL737" t="s">
        <v>130</v>
      </c>
      <c r="BM737" t="s">
        <v>14112</v>
      </c>
      <c r="BN737" t="s">
        <v>74</v>
      </c>
      <c r="BO737" t="s">
        <v>445</v>
      </c>
      <c r="BP737" t="s">
        <v>74</v>
      </c>
      <c r="BQ737" t="s">
        <v>74</v>
      </c>
      <c r="BR737" t="s">
        <v>106</v>
      </c>
      <c r="BS737" t="s">
        <v>14113</v>
      </c>
      <c r="BT737" t="str">
        <f>HYPERLINK("https%3A%2F%2Fwww.webofscience.com%2Fwos%2Fwoscc%2Ffull-record%2FWOS:000739047300001","View Full Record in Web of Science")</f>
        <v>View Full Record in Web of Science</v>
      </c>
    </row>
    <row r="738" spans="1:72" x14ac:dyDescent="0.15">
      <c r="A738" t="s">
        <v>72</v>
      </c>
      <c r="B738" t="s">
        <v>14114</v>
      </c>
      <c r="C738" t="s">
        <v>74</v>
      </c>
      <c r="D738" t="s">
        <v>74</v>
      </c>
      <c r="E738" t="s">
        <v>74</v>
      </c>
      <c r="F738" t="s">
        <v>14115</v>
      </c>
      <c r="G738" t="s">
        <v>74</v>
      </c>
      <c r="H738" t="s">
        <v>74</v>
      </c>
      <c r="I738" t="s">
        <v>14116</v>
      </c>
      <c r="J738" t="s">
        <v>13830</v>
      </c>
      <c r="K738" t="s">
        <v>74</v>
      </c>
      <c r="L738" t="s">
        <v>74</v>
      </c>
      <c r="M738" t="s">
        <v>78</v>
      </c>
      <c r="N738" t="s">
        <v>79</v>
      </c>
      <c r="O738" t="s">
        <v>74</v>
      </c>
      <c r="P738" t="s">
        <v>74</v>
      </c>
      <c r="Q738" t="s">
        <v>74</v>
      </c>
      <c r="R738" t="s">
        <v>74</v>
      </c>
      <c r="S738" t="s">
        <v>74</v>
      </c>
      <c r="T738" t="s">
        <v>14117</v>
      </c>
      <c r="U738" t="s">
        <v>14118</v>
      </c>
      <c r="V738" t="s">
        <v>14119</v>
      </c>
      <c r="W738" t="s">
        <v>14120</v>
      </c>
      <c r="X738" t="s">
        <v>14121</v>
      </c>
      <c r="Y738" t="s">
        <v>14122</v>
      </c>
      <c r="Z738" t="s">
        <v>14123</v>
      </c>
      <c r="AA738" t="s">
        <v>14124</v>
      </c>
      <c r="AB738" t="s">
        <v>14125</v>
      </c>
      <c r="AC738" t="s">
        <v>14126</v>
      </c>
      <c r="AD738" t="s">
        <v>14127</v>
      </c>
      <c r="AE738" t="s">
        <v>14128</v>
      </c>
      <c r="AF738" t="s">
        <v>74</v>
      </c>
      <c r="AG738">
        <v>109</v>
      </c>
      <c r="AH738">
        <v>6</v>
      </c>
      <c r="AI738">
        <v>6</v>
      </c>
      <c r="AJ738">
        <v>14</v>
      </c>
      <c r="AK738">
        <v>42</v>
      </c>
      <c r="AL738" t="s">
        <v>310</v>
      </c>
      <c r="AM738" t="s">
        <v>311</v>
      </c>
      <c r="AN738" t="s">
        <v>312</v>
      </c>
      <c r="AO738" t="s">
        <v>74</v>
      </c>
      <c r="AP738" t="s">
        <v>13842</v>
      </c>
      <c r="AQ738" t="s">
        <v>74</v>
      </c>
      <c r="AR738" t="s">
        <v>13843</v>
      </c>
      <c r="AS738" t="s">
        <v>13844</v>
      </c>
      <c r="AT738" t="s">
        <v>4645</v>
      </c>
      <c r="AU738">
        <v>2022</v>
      </c>
      <c r="AV738">
        <v>33</v>
      </c>
      <c r="AW738" t="s">
        <v>74</v>
      </c>
      <c r="AX738" t="s">
        <v>74</v>
      </c>
      <c r="AY738" t="s">
        <v>74</v>
      </c>
      <c r="AZ738" t="s">
        <v>74</v>
      </c>
      <c r="BA738" t="s">
        <v>74</v>
      </c>
      <c r="BB738" t="s">
        <v>74</v>
      </c>
      <c r="BC738" t="s">
        <v>74</v>
      </c>
      <c r="BD738" t="s">
        <v>14129</v>
      </c>
      <c r="BE738" t="s">
        <v>14130</v>
      </c>
      <c r="BF738" t="str">
        <f>HYPERLINK("http://dx.doi.org/10.1016/j.gecco.2021.e01961","http://dx.doi.org/10.1016/j.gecco.2021.e01961")</f>
        <v>http://dx.doi.org/10.1016/j.gecco.2021.e01961</v>
      </c>
      <c r="BG738" t="s">
        <v>74</v>
      </c>
      <c r="BH738" t="s">
        <v>74</v>
      </c>
      <c r="BI738">
        <v>14</v>
      </c>
      <c r="BJ738" t="s">
        <v>1081</v>
      </c>
      <c r="BK738" t="s">
        <v>103</v>
      </c>
      <c r="BL738" t="s">
        <v>1082</v>
      </c>
      <c r="BM738" t="s">
        <v>14131</v>
      </c>
      <c r="BN738" t="s">
        <v>74</v>
      </c>
      <c r="BO738" t="s">
        <v>445</v>
      </c>
      <c r="BP738" t="s">
        <v>74</v>
      </c>
      <c r="BQ738" t="s">
        <v>74</v>
      </c>
      <c r="BR738" t="s">
        <v>106</v>
      </c>
      <c r="BS738" t="s">
        <v>14132</v>
      </c>
      <c r="BT738" t="str">
        <f>HYPERLINK("https%3A%2F%2Fwww.webofscience.com%2Fwos%2Fwoscc%2Ffull-record%2FWOS:000734887900007","View Full Record in Web of Science")</f>
        <v>View Full Record in Web of Science</v>
      </c>
    </row>
    <row r="739" spans="1:72" x14ac:dyDescent="0.15">
      <c r="A739" t="s">
        <v>72</v>
      </c>
      <c r="B739" t="s">
        <v>14133</v>
      </c>
      <c r="C739" t="s">
        <v>74</v>
      </c>
      <c r="D739" t="s">
        <v>74</v>
      </c>
      <c r="E739" t="s">
        <v>74</v>
      </c>
      <c r="F739" t="s">
        <v>14134</v>
      </c>
      <c r="G739" t="s">
        <v>74</v>
      </c>
      <c r="H739" t="s">
        <v>74</v>
      </c>
      <c r="I739" t="s">
        <v>14135</v>
      </c>
      <c r="J739" t="s">
        <v>3803</v>
      </c>
      <c r="K739" t="s">
        <v>74</v>
      </c>
      <c r="L739" t="s">
        <v>74</v>
      </c>
      <c r="M739" t="s">
        <v>78</v>
      </c>
      <c r="N739" t="s">
        <v>79</v>
      </c>
      <c r="O739" t="s">
        <v>74</v>
      </c>
      <c r="P739" t="s">
        <v>74</v>
      </c>
      <c r="Q739" t="s">
        <v>74</v>
      </c>
      <c r="R739" t="s">
        <v>74</v>
      </c>
      <c r="S739" t="s">
        <v>74</v>
      </c>
      <c r="T739" t="s">
        <v>14136</v>
      </c>
      <c r="U739" t="s">
        <v>14137</v>
      </c>
      <c r="V739" t="s">
        <v>14138</v>
      </c>
      <c r="W739" t="s">
        <v>14139</v>
      </c>
      <c r="X739" t="s">
        <v>14140</v>
      </c>
      <c r="Y739" t="s">
        <v>14141</v>
      </c>
      <c r="Z739" t="s">
        <v>14142</v>
      </c>
      <c r="AA739" t="s">
        <v>14143</v>
      </c>
      <c r="AB739" t="s">
        <v>14144</v>
      </c>
      <c r="AC739" t="s">
        <v>14145</v>
      </c>
      <c r="AD739" t="s">
        <v>14146</v>
      </c>
      <c r="AE739" t="s">
        <v>14147</v>
      </c>
      <c r="AF739" t="s">
        <v>74</v>
      </c>
      <c r="AG739">
        <v>41</v>
      </c>
      <c r="AH739">
        <v>2</v>
      </c>
      <c r="AI739">
        <v>2</v>
      </c>
      <c r="AJ739">
        <v>1</v>
      </c>
      <c r="AK739">
        <v>19</v>
      </c>
      <c r="AL739" t="s">
        <v>3816</v>
      </c>
      <c r="AM739" t="s">
        <v>3817</v>
      </c>
      <c r="AN739" t="s">
        <v>3818</v>
      </c>
      <c r="AO739" t="s">
        <v>3819</v>
      </c>
      <c r="AP739" t="s">
        <v>74</v>
      </c>
      <c r="AQ739" t="s">
        <v>74</v>
      </c>
      <c r="AR739" t="s">
        <v>3820</v>
      </c>
      <c r="AS739" t="s">
        <v>3821</v>
      </c>
      <c r="AT739" t="s">
        <v>4645</v>
      </c>
      <c r="AU739">
        <v>2022</v>
      </c>
      <c r="AV739">
        <v>17</v>
      </c>
      <c r="AW739">
        <v>1</v>
      </c>
      <c r="AX739" t="s">
        <v>74</v>
      </c>
      <c r="AY739" t="s">
        <v>74</v>
      </c>
      <c r="AZ739" t="s">
        <v>74</v>
      </c>
      <c r="BA739" t="s">
        <v>74</v>
      </c>
      <c r="BB739" t="s">
        <v>74</v>
      </c>
      <c r="BC739" t="s">
        <v>74</v>
      </c>
      <c r="BD739">
        <v>14025</v>
      </c>
      <c r="BE739" t="s">
        <v>14148</v>
      </c>
      <c r="BF739" t="str">
        <f>HYPERLINK("http://dx.doi.org/10.1088/1748-9326/ac417f","http://dx.doi.org/10.1088/1748-9326/ac417f")</f>
        <v>http://dx.doi.org/10.1088/1748-9326/ac417f</v>
      </c>
      <c r="BG739" t="s">
        <v>74</v>
      </c>
      <c r="BH739" t="s">
        <v>74</v>
      </c>
      <c r="BI739">
        <v>13</v>
      </c>
      <c r="BJ739" t="s">
        <v>129</v>
      </c>
      <c r="BK739" t="s">
        <v>103</v>
      </c>
      <c r="BL739" t="s">
        <v>130</v>
      </c>
      <c r="BM739" t="s">
        <v>14149</v>
      </c>
      <c r="BN739" t="s">
        <v>74</v>
      </c>
      <c r="BO739" t="s">
        <v>1204</v>
      </c>
      <c r="BP739" t="s">
        <v>74</v>
      </c>
      <c r="BQ739" t="s">
        <v>74</v>
      </c>
      <c r="BR739" t="s">
        <v>106</v>
      </c>
      <c r="BS739" t="s">
        <v>14150</v>
      </c>
      <c r="BT739" t="str">
        <f>HYPERLINK("https%3A%2F%2Fwww.webofscience.com%2Fwos%2Fwoscc%2Ffull-record%2FWOS:000736302600001","View Full Record in Web of Science")</f>
        <v>View Full Record in Web of Science</v>
      </c>
    </row>
    <row r="740" spans="1:72" x14ac:dyDescent="0.15">
      <c r="A740" t="s">
        <v>72</v>
      </c>
      <c r="B740" t="s">
        <v>14151</v>
      </c>
      <c r="C740" t="s">
        <v>74</v>
      </c>
      <c r="D740" t="s">
        <v>74</v>
      </c>
      <c r="E740" t="s">
        <v>74</v>
      </c>
      <c r="F740" t="s">
        <v>14152</v>
      </c>
      <c r="G740" t="s">
        <v>74</v>
      </c>
      <c r="H740" t="s">
        <v>74</v>
      </c>
      <c r="I740" t="s">
        <v>14153</v>
      </c>
      <c r="J740" t="s">
        <v>14154</v>
      </c>
      <c r="K740" t="s">
        <v>74</v>
      </c>
      <c r="L740" t="s">
        <v>74</v>
      </c>
      <c r="M740" t="s">
        <v>78</v>
      </c>
      <c r="N740" t="s">
        <v>79</v>
      </c>
      <c r="O740" t="s">
        <v>74</v>
      </c>
      <c r="P740" t="s">
        <v>74</v>
      </c>
      <c r="Q740" t="s">
        <v>74</v>
      </c>
      <c r="R740" t="s">
        <v>74</v>
      </c>
      <c r="S740" t="s">
        <v>74</v>
      </c>
      <c r="T740" t="s">
        <v>14155</v>
      </c>
      <c r="U740" t="s">
        <v>14156</v>
      </c>
      <c r="V740" t="s">
        <v>14157</v>
      </c>
      <c r="W740" t="s">
        <v>14158</v>
      </c>
      <c r="X740" t="s">
        <v>14159</v>
      </c>
      <c r="Y740" t="s">
        <v>14160</v>
      </c>
      <c r="Z740" t="s">
        <v>14161</v>
      </c>
      <c r="AA740" t="s">
        <v>14162</v>
      </c>
      <c r="AB740" t="s">
        <v>14163</v>
      </c>
      <c r="AC740" t="s">
        <v>14164</v>
      </c>
      <c r="AD740" t="s">
        <v>14165</v>
      </c>
      <c r="AE740" t="s">
        <v>14166</v>
      </c>
      <c r="AF740" t="s">
        <v>74</v>
      </c>
      <c r="AG740">
        <v>27</v>
      </c>
      <c r="AH740">
        <v>1</v>
      </c>
      <c r="AI740">
        <v>1</v>
      </c>
      <c r="AJ740">
        <v>1</v>
      </c>
      <c r="AK740">
        <v>4</v>
      </c>
      <c r="AL740" t="s">
        <v>14167</v>
      </c>
      <c r="AM740" t="s">
        <v>14168</v>
      </c>
      <c r="AN740" t="s">
        <v>14169</v>
      </c>
      <c r="AO740" t="s">
        <v>14170</v>
      </c>
      <c r="AP740" t="s">
        <v>74</v>
      </c>
      <c r="AQ740" t="s">
        <v>74</v>
      </c>
      <c r="AR740" t="s">
        <v>14171</v>
      </c>
      <c r="AS740" t="s">
        <v>14172</v>
      </c>
      <c r="AT740" t="s">
        <v>10931</v>
      </c>
      <c r="AU740">
        <v>2022</v>
      </c>
      <c r="AV740">
        <v>61</v>
      </c>
      <c r="AW740">
        <v>1</v>
      </c>
      <c r="AX740" t="s">
        <v>74</v>
      </c>
      <c r="AY740" t="s">
        <v>74</v>
      </c>
      <c r="AZ740" t="s">
        <v>74</v>
      </c>
      <c r="BA740" t="s">
        <v>74</v>
      </c>
      <c r="BB740">
        <v>40</v>
      </c>
      <c r="BC740">
        <v>54</v>
      </c>
      <c r="BD740" t="s">
        <v>74</v>
      </c>
      <c r="BE740" t="s">
        <v>14173</v>
      </c>
      <c r="BF740" t="str">
        <f>HYPERLINK("http://dx.doi.org/10.22201/igeof.00167169p.2022.61.1.2126","http://dx.doi.org/10.22201/igeof.00167169p.2022.61.1.2126")</f>
        <v>http://dx.doi.org/10.22201/igeof.00167169p.2022.61.1.2126</v>
      </c>
      <c r="BG740" t="s">
        <v>74</v>
      </c>
      <c r="BH740" t="s">
        <v>74</v>
      </c>
      <c r="BI740">
        <v>15</v>
      </c>
      <c r="BJ740" t="s">
        <v>1014</v>
      </c>
      <c r="BK740" t="s">
        <v>103</v>
      </c>
      <c r="BL740" t="s">
        <v>1014</v>
      </c>
      <c r="BM740" t="s">
        <v>14174</v>
      </c>
      <c r="BN740" t="s">
        <v>74</v>
      </c>
      <c r="BO740" t="s">
        <v>445</v>
      </c>
      <c r="BP740" t="s">
        <v>74</v>
      </c>
      <c r="BQ740" t="s">
        <v>74</v>
      </c>
      <c r="BR740" t="s">
        <v>106</v>
      </c>
      <c r="BS740" t="s">
        <v>14175</v>
      </c>
      <c r="BT740" t="str">
        <f>HYPERLINK("https%3A%2F%2Fwww.webofscience.com%2Fwos%2Fwoscc%2Ffull-record%2FWOS:000735870900003","View Full Record in Web of Science")</f>
        <v>View Full Record in Web of Science</v>
      </c>
    </row>
    <row r="741" spans="1:72" x14ac:dyDescent="0.15">
      <c r="A741" t="s">
        <v>72</v>
      </c>
      <c r="B741" t="s">
        <v>14176</v>
      </c>
      <c r="C741" t="s">
        <v>74</v>
      </c>
      <c r="D741" t="s">
        <v>74</v>
      </c>
      <c r="E741" t="s">
        <v>74</v>
      </c>
      <c r="F741" t="s">
        <v>14177</v>
      </c>
      <c r="G741" t="s">
        <v>74</v>
      </c>
      <c r="H741" t="s">
        <v>74</v>
      </c>
      <c r="I741" t="s">
        <v>14178</v>
      </c>
      <c r="J741" t="s">
        <v>14179</v>
      </c>
      <c r="K741" t="s">
        <v>74</v>
      </c>
      <c r="L741" t="s">
        <v>74</v>
      </c>
      <c r="M741" t="s">
        <v>78</v>
      </c>
      <c r="N741" t="s">
        <v>79</v>
      </c>
      <c r="O741" t="s">
        <v>74</v>
      </c>
      <c r="P741" t="s">
        <v>74</v>
      </c>
      <c r="Q741" t="s">
        <v>74</v>
      </c>
      <c r="R741" t="s">
        <v>74</v>
      </c>
      <c r="S741" t="s">
        <v>74</v>
      </c>
      <c r="T741" t="s">
        <v>14180</v>
      </c>
      <c r="U741" t="s">
        <v>14181</v>
      </c>
      <c r="V741" t="s">
        <v>14182</v>
      </c>
      <c r="W741" t="s">
        <v>14183</v>
      </c>
      <c r="X741" t="s">
        <v>14184</v>
      </c>
      <c r="Y741" t="s">
        <v>14185</v>
      </c>
      <c r="Z741" t="s">
        <v>2885</v>
      </c>
      <c r="AA741" t="s">
        <v>14186</v>
      </c>
      <c r="AB741" t="s">
        <v>2887</v>
      </c>
      <c r="AC741" t="s">
        <v>14187</v>
      </c>
      <c r="AD741" t="s">
        <v>14188</v>
      </c>
      <c r="AE741" t="s">
        <v>14189</v>
      </c>
      <c r="AF741" t="s">
        <v>74</v>
      </c>
      <c r="AG741">
        <v>51</v>
      </c>
      <c r="AH741">
        <v>1</v>
      </c>
      <c r="AI741">
        <v>1</v>
      </c>
      <c r="AJ741">
        <v>0</v>
      </c>
      <c r="AK741">
        <v>19</v>
      </c>
      <c r="AL741" t="s">
        <v>4129</v>
      </c>
      <c r="AM741" t="s">
        <v>4130</v>
      </c>
      <c r="AN741" t="s">
        <v>4131</v>
      </c>
      <c r="AO741" t="s">
        <v>14190</v>
      </c>
      <c r="AP741" t="s">
        <v>14191</v>
      </c>
      <c r="AQ741" t="s">
        <v>74</v>
      </c>
      <c r="AR741" t="s">
        <v>14179</v>
      </c>
      <c r="AS741" t="s">
        <v>14192</v>
      </c>
      <c r="AT741" t="s">
        <v>4645</v>
      </c>
      <c r="AU741">
        <v>2022</v>
      </c>
      <c r="AV741">
        <v>12</v>
      </c>
      <c r="AW741">
        <v>1</v>
      </c>
      <c r="AX741" t="s">
        <v>74</v>
      </c>
      <c r="AY741" t="s">
        <v>74</v>
      </c>
      <c r="AZ741" t="s">
        <v>74</v>
      </c>
      <c r="BA741" t="s">
        <v>74</v>
      </c>
      <c r="BB741" t="s">
        <v>74</v>
      </c>
      <c r="BC741" t="s">
        <v>74</v>
      </c>
      <c r="BD741">
        <v>27</v>
      </c>
      <c r="BE741" t="s">
        <v>14193</v>
      </c>
      <c r="BF741" t="str">
        <f>HYPERLINK("http://dx.doi.org/10.1007/s13205-021-03093-z","http://dx.doi.org/10.1007/s13205-021-03093-z")</f>
        <v>http://dx.doi.org/10.1007/s13205-021-03093-z</v>
      </c>
      <c r="BG741" t="s">
        <v>74</v>
      </c>
      <c r="BH741" t="s">
        <v>74</v>
      </c>
      <c r="BI741">
        <v>10</v>
      </c>
      <c r="BJ741" t="s">
        <v>5664</v>
      </c>
      <c r="BK741" t="s">
        <v>103</v>
      </c>
      <c r="BL741" t="s">
        <v>5664</v>
      </c>
      <c r="BM741" t="s">
        <v>14194</v>
      </c>
      <c r="BN741">
        <v>35036275</v>
      </c>
      <c r="BO741" t="s">
        <v>640</v>
      </c>
      <c r="BP741" t="s">
        <v>74</v>
      </c>
      <c r="BQ741" t="s">
        <v>74</v>
      </c>
      <c r="BR741" t="s">
        <v>106</v>
      </c>
      <c r="BS741" t="s">
        <v>14195</v>
      </c>
      <c r="BT741" t="str">
        <f>HYPERLINK("https%3A%2F%2Fwww.webofscience.com%2Fwos%2Fwoscc%2Ffull-record%2FWOS:000734180900001","View Full Record in Web of Science")</f>
        <v>View Full Record in Web of Science</v>
      </c>
    </row>
    <row r="742" spans="1:72" x14ac:dyDescent="0.15">
      <c r="A742" t="s">
        <v>72</v>
      </c>
      <c r="B742" t="s">
        <v>14196</v>
      </c>
      <c r="C742" t="s">
        <v>74</v>
      </c>
      <c r="D742" t="s">
        <v>74</v>
      </c>
      <c r="E742" t="s">
        <v>74</v>
      </c>
      <c r="F742" t="s">
        <v>14197</v>
      </c>
      <c r="G742" t="s">
        <v>74</v>
      </c>
      <c r="H742" t="s">
        <v>74</v>
      </c>
      <c r="I742" t="s">
        <v>14198</v>
      </c>
      <c r="J742" t="s">
        <v>14199</v>
      </c>
      <c r="K742" t="s">
        <v>74</v>
      </c>
      <c r="L742" t="s">
        <v>74</v>
      </c>
      <c r="M742" t="s">
        <v>78</v>
      </c>
      <c r="N742" t="s">
        <v>79</v>
      </c>
      <c r="O742" t="s">
        <v>74</v>
      </c>
      <c r="P742" t="s">
        <v>74</v>
      </c>
      <c r="Q742" t="s">
        <v>74</v>
      </c>
      <c r="R742" t="s">
        <v>74</v>
      </c>
      <c r="S742" t="s">
        <v>74</v>
      </c>
      <c r="T742" t="s">
        <v>14200</v>
      </c>
      <c r="U742" t="s">
        <v>14201</v>
      </c>
      <c r="V742" t="s">
        <v>14202</v>
      </c>
      <c r="W742" t="s">
        <v>14203</v>
      </c>
      <c r="X742" t="s">
        <v>14204</v>
      </c>
      <c r="Y742" t="s">
        <v>14205</v>
      </c>
      <c r="Z742" t="s">
        <v>14206</v>
      </c>
      <c r="AA742" t="s">
        <v>74</v>
      </c>
      <c r="AB742" t="s">
        <v>14207</v>
      </c>
      <c r="AC742" t="s">
        <v>14208</v>
      </c>
      <c r="AD742" t="s">
        <v>14209</v>
      </c>
      <c r="AE742" t="s">
        <v>14210</v>
      </c>
      <c r="AF742" t="s">
        <v>74</v>
      </c>
      <c r="AG742">
        <v>62</v>
      </c>
      <c r="AH742">
        <v>0</v>
      </c>
      <c r="AI742">
        <v>0</v>
      </c>
      <c r="AJ742">
        <v>0</v>
      </c>
      <c r="AK742">
        <v>0</v>
      </c>
      <c r="AL742" t="s">
        <v>14211</v>
      </c>
      <c r="AM742" t="s">
        <v>8553</v>
      </c>
      <c r="AN742" t="s">
        <v>14212</v>
      </c>
      <c r="AO742" t="s">
        <v>14213</v>
      </c>
      <c r="AP742" t="s">
        <v>14214</v>
      </c>
      <c r="AQ742" t="s">
        <v>74</v>
      </c>
      <c r="AR742" t="s">
        <v>14215</v>
      </c>
      <c r="AS742" t="s">
        <v>14216</v>
      </c>
      <c r="AT742" t="s">
        <v>74</v>
      </c>
      <c r="AU742">
        <v>2022</v>
      </c>
      <c r="AV742">
        <v>52</v>
      </c>
      <c r="AW742">
        <v>1</v>
      </c>
      <c r="AX742" t="s">
        <v>74</v>
      </c>
      <c r="AY742" t="s">
        <v>74</v>
      </c>
      <c r="AZ742" t="s">
        <v>74</v>
      </c>
      <c r="BA742" t="s">
        <v>74</v>
      </c>
      <c r="BB742" t="s">
        <v>74</v>
      </c>
      <c r="BC742" t="s">
        <v>74</v>
      </c>
      <c r="BD742" t="s">
        <v>14217</v>
      </c>
      <c r="BE742" t="s">
        <v>14218</v>
      </c>
      <c r="BF742" t="str">
        <f>HYPERLINK("http://dx.doi.org/10.1590/2317-4889202120210080","http://dx.doi.org/10.1590/2317-4889202120210080")</f>
        <v>http://dx.doi.org/10.1590/2317-4889202120210080</v>
      </c>
      <c r="BG742" t="s">
        <v>74</v>
      </c>
      <c r="BH742" t="s">
        <v>74</v>
      </c>
      <c r="BI742">
        <v>11</v>
      </c>
      <c r="BJ742" t="s">
        <v>151</v>
      </c>
      <c r="BK742" t="s">
        <v>103</v>
      </c>
      <c r="BL742" t="s">
        <v>152</v>
      </c>
      <c r="BM742" t="s">
        <v>14219</v>
      </c>
      <c r="BN742" t="s">
        <v>74</v>
      </c>
      <c r="BO742" t="s">
        <v>445</v>
      </c>
      <c r="BP742" t="s">
        <v>74</v>
      </c>
      <c r="BQ742" t="s">
        <v>74</v>
      </c>
      <c r="BR742" t="s">
        <v>106</v>
      </c>
      <c r="BS742" t="s">
        <v>14220</v>
      </c>
      <c r="BT742" t="str">
        <f>HYPERLINK("https%3A%2F%2Fwww.webofscience.com%2Fwos%2Fwoscc%2Ffull-record%2FWOS:001123353700008","View Full Record in Web of Science")</f>
        <v>View Full Record in Web of Science</v>
      </c>
    </row>
    <row r="743" spans="1:72" x14ac:dyDescent="0.15">
      <c r="A743" t="s">
        <v>72</v>
      </c>
      <c r="B743" t="s">
        <v>14221</v>
      </c>
      <c r="C743" t="s">
        <v>74</v>
      </c>
      <c r="D743" t="s">
        <v>74</v>
      </c>
      <c r="E743" t="s">
        <v>74</v>
      </c>
      <c r="F743" t="s">
        <v>14222</v>
      </c>
      <c r="G743" t="s">
        <v>74</v>
      </c>
      <c r="H743" t="s">
        <v>74</v>
      </c>
      <c r="I743" t="s">
        <v>14223</v>
      </c>
      <c r="J743" t="s">
        <v>14224</v>
      </c>
      <c r="K743" t="s">
        <v>74</v>
      </c>
      <c r="L743" t="s">
        <v>74</v>
      </c>
      <c r="M743" t="s">
        <v>78</v>
      </c>
      <c r="N743" t="s">
        <v>79</v>
      </c>
      <c r="O743" t="s">
        <v>74</v>
      </c>
      <c r="P743" t="s">
        <v>74</v>
      </c>
      <c r="Q743" t="s">
        <v>74</v>
      </c>
      <c r="R743" t="s">
        <v>74</v>
      </c>
      <c r="S743" t="s">
        <v>74</v>
      </c>
      <c r="T743" t="s">
        <v>14225</v>
      </c>
      <c r="U743" t="s">
        <v>14226</v>
      </c>
      <c r="V743" t="s">
        <v>14227</v>
      </c>
      <c r="W743" t="s">
        <v>14228</v>
      </c>
      <c r="X743" t="s">
        <v>74</v>
      </c>
      <c r="Y743" t="s">
        <v>14229</v>
      </c>
      <c r="Z743" t="s">
        <v>14230</v>
      </c>
      <c r="AA743" t="s">
        <v>74</v>
      </c>
      <c r="AB743" t="s">
        <v>74</v>
      </c>
      <c r="AC743" t="s">
        <v>74</v>
      </c>
      <c r="AD743" t="s">
        <v>74</v>
      </c>
      <c r="AE743" t="s">
        <v>74</v>
      </c>
      <c r="AF743" t="s">
        <v>74</v>
      </c>
      <c r="AG743">
        <v>53</v>
      </c>
      <c r="AH743">
        <v>0</v>
      </c>
      <c r="AI743">
        <v>0</v>
      </c>
      <c r="AJ743">
        <v>0</v>
      </c>
      <c r="AK743">
        <v>0</v>
      </c>
      <c r="AL743" t="s">
        <v>14231</v>
      </c>
      <c r="AM743" t="s">
        <v>14232</v>
      </c>
      <c r="AN743" t="s">
        <v>14233</v>
      </c>
      <c r="AO743" t="s">
        <v>14234</v>
      </c>
      <c r="AP743" t="s">
        <v>74</v>
      </c>
      <c r="AQ743" t="s">
        <v>74</v>
      </c>
      <c r="AR743" t="s">
        <v>14235</v>
      </c>
      <c r="AS743" t="s">
        <v>14236</v>
      </c>
      <c r="AT743" t="s">
        <v>74</v>
      </c>
      <c r="AU743">
        <v>2022</v>
      </c>
      <c r="AV743">
        <v>30</v>
      </c>
      <c r="AW743" t="s">
        <v>74</v>
      </c>
      <c r="AX743" t="s">
        <v>74</v>
      </c>
      <c r="AY743" t="s">
        <v>74</v>
      </c>
      <c r="AZ743" t="s">
        <v>74</v>
      </c>
      <c r="BA743" t="s">
        <v>74</v>
      </c>
      <c r="BB743" t="s">
        <v>74</v>
      </c>
      <c r="BC743" t="s">
        <v>74</v>
      </c>
      <c r="BD743" t="s">
        <v>14237</v>
      </c>
      <c r="BE743" t="s">
        <v>14238</v>
      </c>
      <c r="BF743" t="str">
        <f>HYPERLINK("http://dx.doi.org/10.1590/2526-8910.ctoAO247732412","http://dx.doi.org/10.1590/2526-8910.ctoAO247732412")</f>
        <v>http://dx.doi.org/10.1590/2526-8910.ctoAO247732412</v>
      </c>
      <c r="BG743" t="s">
        <v>74</v>
      </c>
      <c r="BH743" t="s">
        <v>74</v>
      </c>
      <c r="BI743">
        <v>24</v>
      </c>
      <c r="BJ743" t="s">
        <v>10211</v>
      </c>
      <c r="BK743" t="s">
        <v>724</v>
      </c>
      <c r="BL743" t="s">
        <v>10211</v>
      </c>
      <c r="BM743" t="s">
        <v>14239</v>
      </c>
      <c r="BN743" t="s">
        <v>74</v>
      </c>
      <c r="BO743" t="s">
        <v>445</v>
      </c>
      <c r="BP743" t="s">
        <v>74</v>
      </c>
      <c r="BQ743" t="s">
        <v>74</v>
      </c>
      <c r="BR743" t="s">
        <v>106</v>
      </c>
      <c r="BS743" t="s">
        <v>14240</v>
      </c>
      <c r="BT743" t="str">
        <f>HYPERLINK("https%3A%2F%2Fwww.webofscience.com%2Fwos%2Fwoscc%2Ffull-record%2FWOS:001124025400023","View Full Record in Web of Science")</f>
        <v>View Full Record in Web of Science</v>
      </c>
    </row>
    <row r="744" spans="1:72" x14ac:dyDescent="0.15">
      <c r="A744" t="s">
        <v>72</v>
      </c>
      <c r="B744" t="s">
        <v>14241</v>
      </c>
      <c r="C744" t="s">
        <v>74</v>
      </c>
      <c r="D744" t="s">
        <v>74</v>
      </c>
      <c r="E744" t="s">
        <v>74</v>
      </c>
      <c r="F744" t="s">
        <v>14242</v>
      </c>
      <c r="G744" t="s">
        <v>74</v>
      </c>
      <c r="H744" t="s">
        <v>74</v>
      </c>
      <c r="I744" t="s">
        <v>14243</v>
      </c>
      <c r="J744" t="s">
        <v>14244</v>
      </c>
      <c r="K744" t="s">
        <v>74</v>
      </c>
      <c r="L744" t="s">
        <v>74</v>
      </c>
      <c r="M744" t="s">
        <v>78</v>
      </c>
      <c r="N744" t="s">
        <v>79</v>
      </c>
      <c r="O744" t="s">
        <v>74</v>
      </c>
      <c r="P744" t="s">
        <v>74</v>
      </c>
      <c r="Q744" t="s">
        <v>74</v>
      </c>
      <c r="R744" t="s">
        <v>74</v>
      </c>
      <c r="S744" t="s">
        <v>74</v>
      </c>
      <c r="T744" t="s">
        <v>14245</v>
      </c>
      <c r="U744" t="s">
        <v>14246</v>
      </c>
      <c r="V744" t="s">
        <v>14247</v>
      </c>
      <c r="W744" t="s">
        <v>14248</v>
      </c>
      <c r="X744" t="s">
        <v>14249</v>
      </c>
      <c r="Y744" t="s">
        <v>14250</v>
      </c>
      <c r="Z744" t="s">
        <v>14251</v>
      </c>
      <c r="AA744" t="s">
        <v>14252</v>
      </c>
      <c r="AB744" t="s">
        <v>14253</v>
      </c>
      <c r="AC744" t="s">
        <v>14254</v>
      </c>
      <c r="AD744" t="s">
        <v>14255</v>
      </c>
      <c r="AE744" t="s">
        <v>14256</v>
      </c>
      <c r="AF744" t="s">
        <v>74</v>
      </c>
      <c r="AG744">
        <v>275</v>
      </c>
      <c r="AH744">
        <v>4</v>
      </c>
      <c r="AI744">
        <v>4</v>
      </c>
      <c r="AJ744">
        <v>2</v>
      </c>
      <c r="AK744">
        <v>3</v>
      </c>
      <c r="AL744" t="s">
        <v>310</v>
      </c>
      <c r="AM744" t="s">
        <v>311</v>
      </c>
      <c r="AN744" t="s">
        <v>312</v>
      </c>
      <c r="AO744" t="s">
        <v>74</v>
      </c>
      <c r="AP744" t="s">
        <v>14257</v>
      </c>
      <c r="AQ744" t="s">
        <v>74</v>
      </c>
      <c r="AR744" t="s">
        <v>14258</v>
      </c>
      <c r="AS744" t="s">
        <v>14259</v>
      </c>
      <c r="AT744" t="s">
        <v>74</v>
      </c>
      <c r="AU744">
        <v>2022</v>
      </c>
      <c r="AV744">
        <v>2</v>
      </c>
      <c r="AW744" t="s">
        <v>74</v>
      </c>
      <c r="AX744" t="s">
        <v>74</v>
      </c>
      <c r="AY744" t="s">
        <v>74</v>
      </c>
      <c r="AZ744" t="s">
        <v>74</v>
      </c>
      <c r="BA744" t="s">
        <v>74</v>
      </c>
      <c r="BB744" t="s">
        <v>74</v>
      </c>
      <c r="BC744" t="s">
        <v>74</v>
      </c>
      <c r="BD744">
        <v>100046</v>
      </c>
      <c r="BE744" t="s">
        <v>14260</v>
      </c>
      <c r="BF744" t="str">
        <f>HYPERLINK("http://dx.doi.org/10.1016/j.cris.2022.100046","http://dx.doi.org/10.1016/j.cris.2022.100046")</f>
        <v>http://dx.doi.org/10.1016/j.cris.2022.100046</v>
      </c>
      <c r="BG744" t="s">
        <v>74</v>
      </c>
      <c r="BH744" t="s">
        <v>74</v>
      </c>
      <c r="BI744">
        <v>16</v>
      </c>
      <c r="BJ744" t="s">
        <v>14261</v>
      </c>
      <c r="BK744" t="s">
        <v>724</v>
      </c>
      <c r="BL744" t="s">
        <v>14261</v>
      </c>
      <c r="BM744" t="s">
        <v>14262</v>
      </c>
      <c r="BN744">
        <v>36683955</v>
      </c>
      <c r="BO744" t="s">
        <v>292</v>
      </c>
      <c r="BP744" t="s">
        <v>74</v>
      </c>
      <c r="BQ744" t="s">
        <v>74</v>
      </c>
      <c r="BR744" t="s">
        <v>106</v>
      </c>
      <c r="BS744" t="s">
        <v>14263</v>
      </c>
      <c r="BT744" t="str">
        <f>HYPERLINK("https%3A%2F%2Fwww.webofscience.com%2Fwos%2Fwoscc%2Ffull-record%2FWOS:001134965300003","View Full Record in Web of Science")</f>
        <v>View Full Record in Web of Science</v>
      </c>
    </row>
    <row r="745" spans="1:72" x14ac:dyDescent="0.15">
      <c r="A745" t="s">
        <v>72</v>
      </c>
      <c r="B745" t="s">
        <v>14264</v>
      </c>
      <c r="C745" t="s">
        <v>74</v>
      </c>
      <c r="D745" t="s">
        <v>74</v>
      </c>
      <c r="E745" t="s">
        <v>74</v>
      </c>
      <c r="F745" t="s">
        <v>14265</v>
      </c>
      <c r="G745" t="s">
        <v>74</v>
      </c>
      <c r="H745" t="s">
        <v>74</v>
      </c>
      <c r="I745" t="s">
        <v>14266</v>
      </c>
      <c r="J745" t="s">
        <v>14267</v>
      </c>
      <c r="K745" t="s">
        <v>74</v>
      </c>
      <c r="L745" t="s">
        <v>74</v>
      </c>
      <c r="M745" t="s">
        <v>78</v>
      </c>
      <c r="N745" t="s">
        <v>779</v>
      </c>
      <c r="O745" t="s">
        <v>74</v>
      </c>
      <c r="P745" t="s">
        <v>74</v>
      </c>
      <c r="Q745" t="s">
        <v>74</v>
      </c>
      <c r="R745" t="s">
        <v>74</v>
      </c>
      <c r="S745" t="s">
        <v>74</v>
      </c>
      <c r="T745" t="s">
        <v>74</v>
      </c>
      <c r="U745" t="s">
        <v>74</v>
      </c>
      <c r="V745" t="s">
        <v>74</v>
      </c>
      <c r="W745" t="s">
        <v>74</v>
      </c>
      <c r="X745" t="s">
        <v>74</v>
      </c>
      <c r="Y745" t="s">
        <v>74</v>
      </c>
      <c r="Z745" t="s">
        <v>74</v>
      </c>
      <c r="AA745" t="s">
        <v>74</v>
      </c>
      <c r="AB745" t="s">
        <v>74</v>
      </c>
      <c r="AC745" t="s">
        <v>74</v>
      </c>
      <c r="AD745" t="s">
        <v>74</v>
      </c>
      <c r="AE745" t="s">
        <v>74</v>
      </c>
      <c r="AF745" t="s">
        <v>74</v>
      </c>
      <c r="AG745">
        <v>0</v>
      </c>
      <c r="AH745">
        <v>0</v>
      </c>
      <c r="AI745">
        <v>0</v>
      </c>
      <c r="AJ745">
        <v>0</v>
      </c>
      <c r="AK745">
        <v>0</v>
      </c>
      <c r="AL745" t="s">
        <v>814</v>
      </c>
      <c r="AM745" t="s">
        <v>93</v>
      </c>
      <c r="AN745" t="s">
        <v>815</v>
      </c>
      <c r="AO745" t="s">
        <v>14268</v>
      </c>
      <c r="AP745" t="s">
        <v>74</v>
      </c>
      <c r="AQ745" t="s">
        <v>74</v>
      </c>
      <c r="AR745" t="s">
        <v>14269</v>
      </c>
      <c r="AS745" t="s">
        <v>14270</v>
      </c>
      <c r="AT745" t="s">
        <v>4645</v>
      </c>
      <c r="AU745">
        <v>2022</v>
      </c>
      <c r="AV745">
        <v>9</v>
      </c>
      <c r="AW745">
        <v>1</v>
      </c>
      <c r="AX745" t="s">
        <v>74</v>
      </c>
      <c r="AY745" t="s">
        <v>74</v>
      </c>
      <c r="AZ745" t="s">
        <v>74</v>
      </c>
      <c r="BA745" t="s">
        <v>74</v>
      </c>
      <c r="BB745">
        <v>20</v>
      </c>
      <c r="BC745">
        <v>21</v>
      </c>
      <c r="BD745" t="s">
        <v>74</v>
      </c>
      <c r="BE745" t="s">
        <v>74</v>
      </c>
      <c r="BF745" t="s">
        <v>74</v>
      </c>
      <c r="BG745" t="s">
        <v>74</v>
      </c>
      <c r="BH745" t="s">
        <v>74</v>
      </c>
      <c r="BI745">
        <v>2</v>
      </c>
      <c r="BJ745" t="s">
        <v>14271</v>
      </c>
      <c r="BK745" t="s">
        <v>1034</v>
      </c>
      <c r="BL745" t="s">
        <v>14271</v>
      </c>
      <c r="BM745" t="s">
        <v>14272</v>
      </c>
      <c r="BN745">
        <v>34921792</v>
      </c>
      <c r="BO745" t="s">
        <v>74</v>
      </c>
      <c r="BP745" t="s">
        <v>74</v>
      </c>
      <c r="BQ745" t="s">
        <v>74</v>
      </c>
      <c r="BR745" t="s">
        <v>106</v>
      </c>
      <c r="BS745" t="s">
        <v>14273</v>
      </c>
      <c r="BT745" t="str">
        <f>HYPERLINK("https%3A%2F%2Fwww.webofscience.com%2Fwos%2Fwoscc%2Ffull-record%2FWOS:000733623700017","View Full Record in Web of Science")</f>
        <v>View Full Record in Web of Science</v>
      </c>
    </row>
    <row r="746" spans="1:72" x14ac:dyDescent="0.15">
      <c r="A746" t="s">
        <v>72</v>
      </c>
      <c r="B746" t="s">
        <v>14274</v>
      </c>
      <c r="C746" t="s">
        <v>74</v>
      </c>
      <c r="D746" t="s">
        <v>74</v>
      </c>
      <c r="E746" t="s">
        <v>74</v>
      </c>
      <c r="F746" t="s">
        <v>14275</v>
      </c>
      <c r="G746" t="s">
        <v>74</v>
      </c>
      <c r="H746" t="s">
        <v>74</v>
      </c>
      <c r="I746" t="s">
        <v>14276</v>
      </c>
      <c r="J746" t="s">
        <v>14277</v>
      </c>
      <c r="K746" t="s">
        <v>74</v>
      </c>
      <c r="L746" t="s">
        <v>74</v>
      </c>
      <c r="M746" t="s">
        <v>78</v>
      </c>
      <c r="N746" t="s">
        <v>79</v>
      </c>
      <c r="O746" t="s">
        <v>74</v>
      </c>
      <c r="P746" t="s">
        <v>74</v>
      </c>
      <c r="Q746" t="s">
        <v>74</v>
      </c>
      <c r="R746" t="s">
        <v>74</v>
      </c>
      <c r="S746" t="s">
        <v>74</v>
      </c>
      <c r="T746" t="s">
        <v>14278</v>
      </c>
      <c r="U746" t="s">
        <v>14279</v>
      </c>
      <c r="V746" t="s">
        <v>14280</v>
      </c>
      <c r="W746" t="s">
        <v>14281</v>
      </c>
      <c r="X746" t="s">
        <v>14282</v>
      </c>
      <c r="Y746" t="s">
        <v>14283</v>
      </c>
      <c r="Z746" t="s">
        <v>14284</v>
      </c>
      <c r="AA746" t="s">
        <v>14285</v>
      </c>
      <c r="AB746" t="s">
        <v>14286</v>
      </c>
      <c r="AC746" t="s">
        <v>14287</v>
      </c>
      <c r="AD746" t="s">
        <v>14288</v>
      </c>
      <c r="AE746" t="s">
        <v>14289</v>
      </c>
      <c r="AF746" t="s">
        <v>74</v>
      </c>
      <c r="AG746">
        <v>64</v>
      </c>
      <c r="AH746">
        <v>7</v>
      </c>
      <c r="AI746">
        <v>8</v>
      </c>
      <c r="AJ746">
        <v>9</v>
      </c>
      <c r="AK746">
        <v>11</v>
      </c>
      <c r="AL746" t="s">
        <v>3255</v>
      </c>
      <c r="AM746" t="s">
        <v>606</v>
      </c>
      <c r="AN746" t="s">
        <v>3256</v>
      </c>
      <c r="AO746" t="s">
        <v>14290</v>
      </c>
      <c r="AP746" t="s">
        <v>74</v>
      </c>
      <c r="AQ746" t="s">
        <v>74</v>
      </c>
      <c r="AR746" t="s">
        <v>14277</v>
      </c>
      <c r="AS746" t="s">
        <v>14291</v>
      </c>
      <c r="AT746" t="s">
        <v>8419</v>
      </c>
      <c r="AU746">
        <v>2022</v>
      </c>
      <c r="AV746">
        <v>7</v>
      </c>
      <c r="AW746">
        <v>1</v>
      </c>
      <c r="AX746" t="s">
        <v>74</v>
      </c>
      <c r="AY746" t="s">
        <v>74</v>
      </c>
      <c r="AZ746" t="s">
        <v>74</v>
      </c>
      <c r="BA746" t="s">
        <v>74</v>
      </c>
      <c r="BB746" t="s">
        <v>74</v>
      </c>
      <c r="BC746" t="s">
        <v>74</v>
      </c>
      <c r="BD746" t="s">
        <v>14292</v>
      </c>
      <c r="BE746" t="s">
        <v>14293</v>
      </c>
      <c r="BF746" t="str">
        <f>HYPERLINK("http://dx.doi.org/10.1128/msystems.01330-21","http://dx.doi.org/10.1128/msystems.01330-21")</f>
        <v>http://dx.doi.org/10.1128/msystems.01330-21</v>
      </c>
      <c r="BG746" t="s">
        <v>74</v>
      </c>
      <c r="BH746" t="s">
        <v>74</v>
      </c>
      <c r="BI746">
        <v>14</v>
      </c>
      <c r="BJ746" t="s">
        <v>747</v>
      </c>
      <c r="BK746" t="s">
        <v>103</v>
      </c>
      <c r="BL746" t="s">
        <v>747</v>
      </c>
      <c r="BM746" t="s">
        <v>14294</v>
      </c>
      <c r="BN746">
        <v>35040702</v>
      </c>
      <c r="BO746" t="s">
        <v>640</v>
      </c>
      <c r="BP746" t="s">
        <v>74</v>
      </c>
      <c r="BQ746" t="s">
        <v>74</v>
      </c>
      <c r="BR746" t="s">
        <v>106</v>
      </c>
      <c r="BS746" t="s">
        <v>14295</v>
      </c>
      <c r="BT746" t="str">
        <f>HYPERLINK("https%3A%2F%2Fwww.webofscience.com%2Fwos%2Fwoscc%2Ffull-record%2FWOS:000760939200016","View Full Record in Web of Science")</f>
        <v>View Full Record in Web of Science</v>
      </c>
    </row>
    <row r="747" spans="1:72" x14ac:dyDescent="0.15">
      <c r="A747" t="s">
        <v>72</v>
      </c>
      <c r="B747" t="s">
        <v>14296</v>
      </c>
      <c r="C747" t="s">
        <v>74</v>
      </c>
      <c r="D747" t="s">
        <v>74</v>
      </c>
      <c r="E747" t="s">
        <v>74</v>
      </c>
      <c r="F747" t="s">
        <v>14297</v>
      </c>
      <c r="G747" t="s">
        <v>74</v>
      </c>
      <c r="H747" t="s">
        <v>74</v>
      </c>
      <c r="I747" t="s">
        <v>14298</v>
      </c>
      <c r="J747" t="s">
        <v>14299</v>
      </c>
      <c r="K747" t="s">
        <v>74</v>
      </c>
      <c r="L747" t="s">
        <v>74</v>
      </c>
      <c r="M747" t="s">
        <v>78</v>
      </c>
      <c r="N747" t="s">
        <v>79</v>
      </c>
      <c r="O747" t="s">
        <v>74</v>
      </c>
      <c r="P747" t="s">
        <v>74</v>
      </c>
      <c r="Q747" t="s">
        <v>74</v>
      </c>
      <c r="R747" t="s">
        <v>74</v>
      </c>
      <c r="S747" t="s">
        <v>74</v>
      </c>
      <c r="T747" t="s">
        <v>74</v>
      </c>
      <c r="U747" t="s">
        <v>14300</v>
      </c>
      <c r="V747" t="s">
        <v>14301</v>
      </c>
      <c r="W747" t="s">
        <v>14302</v>
      </c>
      <c r="X747" t="s">
        <v>14303</v>
      </c>
      <c r="Y747" t="s">
        <v>14304</v>
      </c>
      <c r="Z747" t="s">
        <v>14305</v>
      </c>
      <c r="AA747" t="s">
        <v>14306</v>
      </c>
      <c r="AB747" t="s">
        <v>14307</v>
      </c>
      <c r="AC747" t="s">
        <v>14308</v>
      </c>
      <c r="AD747" t="s">
        <v>14309</v>
      </c>
      <c r="AE747" t="s">
        <v>14310</v>
      </c>
      <c r="AF747" t="s">
        <v>74</v>
      </c>
      <c r="AG747">
        <v>50</v>
      </c>
      <c r="AH747">
        <v>4</v>
      </c>
      <c r="AI747">
        <v>4</v>
      </c>
      <c r="AJ747">
        <v>1</v>
      </c>
      <c r="AK747">
        <v>25</v>
      </c>
      <c r="AL747" t="s">
        <v>14311</v>
      </c>
      <c r="AM747" t="s">
        <v>9823</v>
      </c>
      <c r="AN747" t="s">
        <v>14312</v>
      </c>
      <c r="AO747" t="s">
        <v>14313</v>
      </c>
      <c r="AP747" t="s">
        <v>14314</v>
      </c>
      <c r="AQ747" t="s">
        <v>74</v>
      </c>
      <c r="AR747" t="s">
        <v>14315</v>
      </c>
      <c r="AS747" t="s">
        <v>14316</v>
      </c>
      <c r="AT747" t="s">
        <v>4645</v>
      </c>
      <c r="AU747">
        <v>2022</v>
      </c>
      <c r="AV747">
        <v>93</v>
      </c>
      <c r="AW747">
        <v>1</v>
      </c>
      <c r="AX747" t="s">
        <v>74</v>
      </c>
      <c r="AY747" t="s">
        <v>74</v>
      </c>
      <c r="AZ747" t="s">
        <v>74</v>
      </c>
      <c r="BA747" t="s">
        <v>74</v>
      </c>
      <c r="BB747">
        <v>288</v>
      </c>
      <c r="BC747">
        <v>295</v>
      </c>
      <c r="BD747" t="s">
        <v>74</v>
      </c>
      <c r="BE747" t="s">
        <v>14317</v>
      </c>
      <c r="BF747" t="str">
        <f>HYPERLINK("http://dx.doi.org/10.1785/0220210135","http://dx.doi.org/10.1785/0220210135")</f>
        <v>http://dx.doi.org/10.1785/0220210135</v>
      </c>
      <c r="BG747" t="s">
        <v>74</v>
      </c>
      <c r="BH747" t="s">
        <v>74</v>
      </c>
      <c r="BI747">
        <v>8</v>
      </c>
      <c r="BJ747" t="s">
        <v>1014</v>
      </c>
      <c r="BK747" t="s">
        <v>103</v>
      </c>
      <c r="BL747" t="s">
        <v>1014</v>
      </c>
      <c r="BM747" t="s">
        <v>14318</v>
      </c>
      <c r="BN747" t="s">
        <v>74</v>
      </c>
      <c r="BO747" t="s">
        <v>74</v>
      </c>
      <c r="BP747" t="s">
        <v>74</v>
      </c>
      <c r="BQ747" t="s">
        <v>74</v>
      </c>
      <c r="BR747" t="s">
        <v>106</v>
      </c>
      <c r="BS747" t="s">
        <v>14319</v>
      </c>
      <c r="BT747" t="str">
        <f>HYPERLINK("https%3A%2F%2Fwww.webofscience.com%2Fwos%2Fwoscc%2Ffull-record%2FWOS:000734319200006","View Full Record in Web of Science")</f>
        <v>View Full Record in Web of Science</v>
      </c>
    </row>
    <row r="748" spans="1:72" x14ac:dyDescent="0.15">
      <c r="A748" t="s">
        <v>72</v>
      </c>
      <c r="B748" t="s">
        <v>14320</v>
      </c>
      <c r="C748" t="s">
        <v>74</v>
      </c>
      <c r="D748" t="s">
        <v>74</v>
      </c>
      <c r="E748" t="s">
        <v>74</v>
      </c>
      <c r="F748" t="s">
        <v>14321</v>
      </c>
      <c r="G748" t="s">
        <v>74</v>
      </c>
      <c r="H748" t="s">
        <v>74</v>
      </c>
      <c r="I748" t="s">
        <v>14322</v>
      </c>
      <c r="J748" t="s">
        <v>14323</v>
      </c>
      <c r="K748" t="s">
        <v>74</v>
      </c>
      <c r="L748" t="s">
        <v>74</v>
      </c>
      <c r="M748" t="s">
        <v>78</v>
      </c>
      <c r="N748" t="s">
        <v>79</v>
      </c>
      <c r="O748" t="s">
        <v>74</v>
      </c>
      <c r="P748" t="s">
        <v>74</v>
      </c>
      <c r="Q748" t="s">
        <v>74</v>
      </c>
      <c r="R748" t="s">
        <v>74</v>
      </c>
      <c r="S748" t="s">
        <v>74</v>
      </c>
      <c r="T748" t="s">
        <v>14324</v>
      </c>
      <c r="U748" t="s">
        <v>14325</v>
      </c>
      <c r="V748" t="s">
        <v>14326</v>
      </c>
      <c r="W748" t="s">
        <v>14327</v>
      </c>
      <c r="X748" t="s">
        <v>14328</v>
      </c>
      <c r="Y748" t="s">
        <v>14329</v>
      </c>
      <c r="Z748" t="s">
        <v>14330</v>
      </c>
      <c r="AA748" t="s">
        <v>74</v>
      </c>
      <c r="AB748" t="s">
        <v>74</v>
      </c>
      <c r="AC748" t="s">
        <v>74</v>
      </c>
      <c r="AD748" t="s">
        <v>74</v>
      </c>
      <c r="AE748" t="s">
        <v>74</v>
      </c>
      <c r="AF748" t="s">
        <v>74</v>
      </c>
      <c r="AG748">
        <v>92</v>
      </c>
      <c r="AH748">
        <v>2</v>
      </c>
      <c r="AI748">
        <v>2</v>
      </c>
      <c r="AJ748">
        <v>2</v>
      </c>
      <c r="AK748">
        <v>2</v>
      </c>
      <c r="AL748" t="s">
        <v>8601</v>
      </c>
      <c r="AM748" t="s">
        <v>8602</v>
      </c>
      <c r="AN748" t="s">
        <v>8603</v>
      </c>
      <c r="AO748" t="s">
        <v>14331</v>
      </c>
      <c r="AP748" t="s">
        <v>74</v>
      </c>
      <c r="AQ748" t="s">
        <v>74</v>
      </c>
      <c r="AR748" t="s">
        <v>14332</v>
      </c>
      <c r="AS748" t="s">
        <v>14333</v>
      </c>
      <c r="AT748" t="s">
        <v>74</v>
      </c>
      <c r="AU748">
        <v>2022</v>
      </c>
      <c r="AV748">
        <v>67</v>
      </c>
      <c r="AW748">
        <v>3</v>
      </c>
      <c r="AX748" t="s">
        <v>74</v>
      </c>
      <c r="AY748" t="s">
        <v>74</v>
      </c>
      <c r="AZ748" t="s">
        <v>74</v>
      </c>
      <c r="BA748" t="s">
        <v>74</v>
      </c>
      <c r="BB748">
        <v>882</v>
      </c>
      <c r="BC748">
        <v>909</v>
      </c>
      <c r="BD748" t="s">
        <v>74</v>
      </c>
      <c r="BE748" t="s">
        <v>14334</v>
      </c>
      <c r="BF748" t="str">
        <f>HYPERLINK("http://dx.doi.org/10.21638/spbu02.2022.313","http://dx.doi.org/10.21638/spbu02.2022.313")</f>
        <v>http://dx.doi.org/10.21638/spbu02.2022.313</v>
      </c>
      <c r="BG748" t="s">
        <v>74</v>
      </c>
      <c r="BH748" t="s">
        <v>74</v>
      </c>
      <c r="BI748">
        <v>28</v>
      </c>
      <c r="BJ748" t="s">
        <v>14335</v>
      </c>
      <c r="BK748" t="s">
        <v>724</v>
      </c>
      <c r="BL748" t="s">
        <v>14335</v>
      </c>
      <c r="BM748" t="s">
        <v>14336</v>
      </c>
      <c r="BN748" t="s">
        <v>74</v>
      </c>
      <c r="BO748" t="s">
        <v>211</v>
      </c>
      <c r="BP748" t="s">
        <v>74</v>
      </c>
      <c r="BQ748" t="s">
        <v>74</v>
      </c>
      <c r="BR748" t="s">
        <v>106</v>
      </c>
      <c r="BS748" t="s">
        <v>14337</v>
      </c>
      <c r="BT748" t="str">
        <f>HYPERLINK("https%3A%2F%2Fwww.webofscience.com%2Fwos%2Fwoscc%2Ffull-record%2FWOS:001120948500013","View Full Record in Web of Science")</f>
        <v>View Full Record in Web of Science</v>
      </c>
    </row>
    <row r="749" spans="1:72" x14ac:dyDescent="0.15">
      <c r="A749" t="s">
        <v>72</v>
      </c>
      <c r="B749" t="s">
        <v>1416</v>
      </c>
      <c r="C749" t="s">
        <v>74</v>
      </c>
      <c r="D749" t="s">
        <v>74</v>
      </c>
      <c r="E749" t="s">
        <v>74</v>
      </c>
      <c r="F749" t="s">
        <v>1417</v>
      </c>
      <c r="G749" t="s">
        <v>74</v>
      </c>
      <c r="H749" t="s">
        <v>74</v>
      </c>
      <c r="I749" t="s">
        <v>14338</v>
      </c>
      <c r="J749" t="s">
        <v>14323</v>
      </c>
      <c r="K749" t="s">
        <v>74</v>
      </c>
      <c r="L749" t="s">
        <v>74</v>
      </c>
      <c r="M749" t="s">
        <v>78</v>
      </c>
      <c r="N749" t="s">
        <v>79</v>
      </c>
      <c r="O749" t="s">
        <v>74</v>
      </c>
      <c r="P749" t="s">
        <v>74</v>
      </c>
      <c r="Q749" t="s">
        <v>74</v>
      </c>
      <c r="R749" t="s">
        <v>74</v>
      </c>
      <c r="S749" t="s">
        <v>74</v>
      </c>
      <c r="T749" t="s">
        <v>14339</v>
      </c>
      <c r="U749" t="s">
        <v>14340</v>
      </c>
      <c r="V749" t="s">
        <v>14341</v>
      </c>
      <c r="W749" t="s">
        <v>14342</v>
      </c>
      <c r="X749" t="s">
        <v>14343</v>
      </c>
      <c r="Y749" t="s">
        <v>14344</v>
      </c>
      <c r="Z749" t="s">
        <v>14345</v>
      </c>
      <c r="AA749" t="s">
        <v>74</v>
      </c>
      <c r="AB749" t="s">
        <v>74</v>
      </c>
      <c r="AC749" t="s">
        <v>74</v>
      </c>
      <c r="AD749" t="s">
        <v>74</v>
      </c>
      <c r="AE749" t="s">
        <v>74</v>
      </c>
      <c r="AF749" t="s">
        <v>74</v>
      </c>
      <c r="AG749">
        <v>105</v>
      </c>
      <c r="AH749">
        <v>3</v>
      </c>
      <c r="AI749">
        <v>3</v>
      </c>
      <c r="AJ749">
        <v>0</v>
      </c>
      <c r="AK749">
        <v>0</v>
      </c>
      <c r="AL749" t="s">
        <v>8601</v>
      </c>
      <c r="AM749" t="s">
        <v>8602</v>
      </c>
      <c r="AN749" t="s">
        <v>8603</v>
      </c>
      <c r="AO749" t="s">
        <v>14331</v>
      </c>
      <c r="AP749" t="s">
        <v>74</v>
      </c>
      <c r="AQ749" t="s">
        <v>74</v>
      </c>
      <c r="AR749" t="s">
        <v>14332</v>
      </c>
      <c r="AS749" t="s">
        <v>14333</v>
      </c>
      <c r="AT749" t="s">
        <v>74</v>
      </c>
      <c r="AU749">
        <v>2022</v>
      </c>
      <c r="AV749">
        <v>67</v>
      </c>
      <c r="AW749">
        <v>4</v>
      </c>
      <c r="AX749" t="s">
        <v>74</v>
      </c>
      <c r="AY749" t="s">
        <v>74</v>
      </c>
      <c r="AZ749" t="s">
        <v>74</v>
      </c>
      <c r="BA749" t="s">
        <v>74</v>
      </c>
      <c r="BB749">
        <v>1253</v>
      </c>
      <c r="BC749">
        <v>1295</v>
      </c>
      <c r="BD749" t="s">
        <v>74</v>
      </c>
      <c r="BE749" t="s">
        <v>14346</v>
      </c>
      <c r="BF749" t="str">
        <f>HYPERLINK("http://dx.doi.org/10.21638/spbu02.2022.413","http://dx.doi.org/10.21638/spbu02.2022.413")</f>
        <v>http://dx.doi.org/10.21638/spbu02.2022.413</v>
      </c>
      <c r="BG749" t="s">
        <v>74</v>
      </c>
      <c r="BH749" t="s">
        <v>74</v>
      </c>
      <c r="BI749">
        <v>43</v>
      </c>
      <c r="BJ749" t="s">
        <v>14335</v>
      </c>
      <c r="BK749" t="s">
        <v>724</v>
      </c>
      <c r="BL749" t="s">
        <v>14335</v>
      </c>
      <c r="BM749" t="s">
        <v>14347</v>
      </c>
      <c r="BN749" t="s">
        <v>74</v>
      </c>
      <c r="BO749" t="s">
        <v>154</v>
      </c>
      <c r="BP749" t="s">
        <v>74</v>
      </c>
      <c r="BQ749" t="s">
        <v>74</v>
      </c>
      <c r="BR749" t="s">
        <v>106</v>
      </c>
      <c r="BS749" t="s">
        <v>14348</v>
      </c>
      <c r="BT749" t="str">
        <f>HYPERLINK("https%3A%2F%2Fwww.webofscience.com%2Fwos%2Fwoscc%2Ffull-record%2FWOS:001120953200013","View Full Record in Web of Science")</f>
        <v>View Full Record in Web of Science</v>
      </c>
    </row>
    <row r="750" spans="1:72" x14ac:dyDescent="0.15">
      <c r="A750" t="s">
        <v>72</v>
      </c>
      <c r="B750" t="s">
        <v>14349</v>
      </c>
      <c r="C750" t="s">
        <v>74</v>
      </c>
      <c r="D750" t="s">
        <v>74</v>
      </c>
      <c r="E750" t="s">
        <v>74</v>
      </c>
      <c r="F750" t="s">
        <v>14350</v>
      </c>
      <c r="G750" t="s">
        <v>74</v>
      </c>
      <c r="H750" t="s">
        <v>74</v>
      </c>
      <c r="I750" t="s">
        <v>14351</v>
      </c>
      <c r="J750" t="s">
        <v>9196</v>
      </c>
      <c r="K750" t="s">
        <v>74</v>
      </c>
      <c r="L750" t="s">
        <v>74</v>
      </c>
      <c r="M750" t="s">
        <v>78</v>
      </c>
      <c r="N750" t="s">
        <v>79</v>
      </c>
      <c r="O750" t="s">
        <v>74</v>
      </c>
      <c r="P750" t="s">
        <v>74</v>
      </c>
      <c r="Q750" t="s">
        <v>74</v>
      </c>
      <c r="R750" t="s">
        <v>74</v>
      </c>
      <c r="S750" t="s">
        <v>74</v>
      </c>
      <c r="T750" t="s">
        <v>14352</v>
      </c>
      <c r="U750" t="s">
        <v>14353</v>
      </c>
      <c r="V750" t="s">
        <v>14354</v>
      </c>
      <c r="W750" t="s">
        <v>14355</v>
      </c>
      <c r="X750" t="s">
        <v>14356</v>
      </c>
      <c r="Y750" t="s">
        <v>14357</v>
      </c>
      <c r="Z750" t="s">
        <v>14358</v>
      </c>
      <c r="AA750" t="s">
        <v>74</v>
      </c>
      <c r="AB750" t="s">
        <v>14359</v>
      </c>
      <c r="AC750" t="s">
        <v>14360</v>
      </c>
      <c r="AD750" t="s">
        <v>14360</v>
      </c>
      <c r="AE750" t="s">
        <v>14361</v>
      </c>
      <c r="AF750" t="s">
        <v>74</v>
      </c>
      <c r="AG750">
        <v>50</v>
      </c>
      <c r="AH750">
        <v>1</v>
      </c>
      <c r="AI750">
        <v>1</v>
      </c>
      <c r="AJ750">
        <v>1</v>
      </c>
      <c r="AK750">
        <v>4</v>
      </c>
      <c r="AL750" t="s">
        <v>1667</v>
      </c>
      <c r="AM750" t="s">
        <v>1668</v>
      </c>
      <c r="AN750" t="s">
        <v>1669</v>
      </c>
      <c r="AO750" t="s">
        <v>9209</v>
      </c>
      <c r="AP750" t="s">
        <v>9210</v>
      </c>
      <c r="AQ750" t="s">
        <v>74</v>
      </c>
      <c r="AR750" t="s">
        <v>9211</v>
      </c>
      <c r="AS750" t="s">
        <v>9212</v>
      </c>
      <c r="AT750" t="s">
        <v>74</v>
      </c>
      <c r="AU750">
        <v>2022</v>
      </c>
      <c r="AV750">
        <v>60</v>
      </c>
      <c r="AW750" t="s">
        <v>74</v>
      </c>
      <c r="AX750" t="s">
        <v>74</v>
      </c>
      <c r="AY750" t="s">
        <v>74</v>
      </c>
      <c r="AZ750" t="s">
        <v>74</v>
      </c>
      <c r="BA750" t="s">
        <v>74</v>
      </c>
      <c r="BB750" t="s">
        <v>74</v>
      </c>
      <c r="BC750" t="s">
        <v>74</v>
      </c>
      <c r="BD750">
        <v>4300109</v>
      </c>
      <c r="BE750" t="s">
        <v>14362</v>
      </c>
      <c r="BF750" t="str">
        <f>HYPERLINK("http://dx.doi.org/10.1109/TGRS.2020.3043330","http://dx.doi.org/10.1109/TGRS.2020.3043330")</f>
        <v>http://dx.doi.org/10.1109/TGRS.2020.3043330</v>
      </c>
      <c r="BG750" t="s">
        <v>74</v>
      </c>
      <c r="BH750" t="s">
        <v>74</v>
      </c>
      <c r="BI750">
        <v>9</v>
      </c>
      <c r="BJ750" t="s">
        <v>9214</v>
      </c>
      <c r="BK750" t="s">
        <v>103</v>
      </c>
      <c r="BL750" t="s">
        <v>9215</v>
      </c>
      <c r="BM750" t="s">
        <v>14363</v>
      </c>
      <c r="BN750" t="s">
        <v>74</v>
      </c>
      <c r="BO750" t="s">
        <v>74</v>
      </c>
      <c r="BP750" t="s">
        <v>74</v>
      </c>
      <c r="BQ750" t="s">
        <v>74</v>
      </c>
      <c r="BR750" t="s">
        <v>106</v>
      </c>
      <c r="BS750" t="s">
        <v>14364</v>
      </c>
      <c r="BT750" t="str">
        <f>HYPERLINK("https%3A%2F%2Fwww.webofscience.com%2Fwos%2Fwoscc%2Ffull-record%2FWOS:000726094900042","View Full Record in Web of Science")</f>
        <v>View Full Record in Web of Science</v>
      </c>
    </row>
    <row r="751" spans="1:72" x14ac:dyDescent="0.15">
      <c r="A751" t="s">
        <v>72</v>
      </c>
      <c r="B751" t="s">
        <v>14365</v>
      </c>
      <c r="C751" t="s">
        <v>74</v>
      </c>
      <c r="D751" t="s">
        <v>74</v>
      </c>
      <c r="E751" t="s">
        <v>74</v>
      </c>
      <c r="F751" t="s">
        <v>14366</v>
      </c>
      <c r="G751" t="s">
        <v>74</v>
      </c>
      <c r="H751" t="s">
        <v>74</v>
      </c>
      <c r="I751" t="s">
        <v>14367</v>
      </c>
      <c r="J751" t="s">
        <v>9196</v>
      </c>
      <c r="K751" t="s">
        <v>74</v>
      </c>
      <c r="L751" t="s">
        <v>74</v>
      </c>
      <c r="M751" t="s">
        <v>78</v>
      </c>
      <c r="N751" t="s">
        <v>79</v>
      </c>
      <c r="O751" t="s">
        <v>74</v>
      </c>
      <c r="P751" t="s">
        <v>74</v>
      </c>
      <c r="Q751" t="s">
        <v>74</v>
      </c>
      <c r="R751" t="s">
        <v>74</v>
      </c>
      <c r="S751" t="s">
        <v>74</v>
      </c>
      <c r="T751" t="s">
        <v>14368</v>
      </c>
      <c r="U751" t="s">
        <v>14369</v>
      </c>
      <c r="V751" t="s">
        <v>14370</v>
      </c>
      <c r="W751" t="s">
        <v>14371</v>
      </c>
      <c r="X751" t="s">
        <v>597</v>
      </c>
      <c r="Y751" t="s">
        <v>14372</v>
      </c>
      <c r="Z751" t="s">
        <v>14373</v>
      </c>
      <c r="AA751" t="s">
        <v>14374</v>
      </c>
      <c r="AB751" t="s">
        <v>14375</v>
      </c>
      <c r="AC751" t="s">
        <v>14376</v>
      </c>
      <c r="AD751" t="s">
        <v>14377</v>
      </c>
      <c r="AE751" t="s">
        <v>14378</v>
      </c>
      <c r="AF751" t="s">
        <v>74</v>
      </c>
      <c r="AG751">
        <v>35</v>
      </c>
      <c r="AH751">
        <v>2</v>
      </c>
      <c r="AI751">
        <v>2</v>
      </c>
      <c r="AJ751">
        <v>4</v>
      </c>
      <c r="AK751">
        <v>23</v>
      </c>
      <c r="AL751" t="s">
        <v>1667</v>
      </c>
      <c r="AM751" t="s">
        <v>1668</v>
      </c>
      <c r="AN751" t="s">
        <v>1669</v>
      </c>
      <c r="AO751" t="s">
        <v>9209</v>
      </c>
      <c r="AP751" t="s">
        <v>9210</v>
      </c>
      <c r="AQ751" t="s">
        <v>74</v>
      </c>
      <c r="AR751" t="s">
        <v>9211</v>
      </c>
      <c r="AS751" t="s">
        <v>9212</v>
      </c>
      <c r="AT751" t="s">
        <v>74</v>
      </c>
      <c r="AU751">
        <v>2022</v>
      </c>
      <c r="AV751">
        <v>60</v>
      </c>
      <c r="AW751" t="s">
        <v>74</v>
      </c>
      <c r="AX751" t="s">
        <v>74</v>
      </c>
      <c r="AY751" t="s">
        <v>74</v>
      </c>
      <c r="AZ751" t="s">
        <v>74</v>
      </c>
      <c r="BA751" t="s">
        <v>74</v>
      </c>
      <c r="BB751" t="s">
        <v>74</v>
      </c>
      <c r="BC751" t="s">
        <v>74</v>
      </c>
      <c r="BD751">
        <v>5200919</v>
      </c>
      <c r="BE751" t="s">
        <v>14379</v>
      </c>
      <c r="BF751" t="str">
        <f>HYPERLINK("http://dx.doi.org/10.1109/TGRS.2021.3053636","http://dx.doi.org/10.1109/TGRS.2021.3053636")</f>
        <v>http://dx.doi.org/10.1109/TGRS.2021.3053636</v>
      </c>
      <c r="BG751" t="s">
        <v>74</v>
      </c>
      <c r="BH751" t="s">
        <v>74</v>
      </c>
      <c r="BI751">
        <v>19</v>
      </c>
      <c r="BJ751" t="s">
        <v>9214</v>
      </c>
      <c r="BK751" t="s">
        <v>103</v>
      </c>
      <c r="BL751" t="s">
        <v>9215</v>
      </c>
      <c r="BM751" t="s">
        <v>14363</v>
      </c>
      <c r="BN751" t="s">
        <v>74</v>
      </c>
      <c r="BO751" t="s">
        <v>74</v>
      </c>
      <c r="BP751" t="s">
        <v>74</v>
      </c>
      <c r="BQ751" t="s">
        <v>74</v>
      </c>
      <c r="BR751" t="s">
        <v>106</v>
      </c>
      <c r="BS751" t="s">
        <v>14380</v>
      </c>
      <c r="BT751" t="str">
        <f>HYPERLINK("https%3A%2F%2Fwww.webofscience.com%2Fwos%2Fwoscc%2Ffull-record%2FWOS:000726094900095","View Full Record in Web of Science")</f>
        <v>View Full Record in Web of Science</v>
      </c>
    </row>
    <row r="752" spans="1:72" x14ac:dyDescent="0.15">
      <c r="A752" t="s">
        <v>72</v>
      </c>
      <c r="B752" t="s">
        <v>14381</v>
      </c>
      <c r="C752" t="s">
        <v>74</v>
      </c>
      <c r="D752" t="s">
        <v>74</v>
      </c>
      <c r="E752" t="s">
        <v>74</v>
      </c>
      <c r="F752" t="s">
        <v>14382</v>
      </c>
      <c r="G752" t="s">
        <v>74</v>
      </c>
      <c r="H752" t="s">
        <v>74</v>
      </c>
      <c r="I752" t="s">
        <v>14383</v>
      </c>
      <c r="J752" t="s">
        <v>14384</v>
      </c>
      <c r="K752" t="s">
        <v>74</v>
      </c>
      <c r="L752" t="s">
        <v>74</v>
      </c>
      <c r="M752" t="s">
        <v>78</v>
      </c>
      <c r="N752" t="s">
        <v>79</v>
      </c>
      <c r="O752" t="s">
        <v>74</v>
      </c>
      <c r="P752" t="s">
        <v>74</v>
      </c>
      <c r="Q752" t="s">
        <v>74</v>
      </c>
      <c r="R752" t="s">
        <v>74</v>
      </c>
      <c r="S752" t="s">
        <v>74</v>
      </c>
      <c r="T752" t="s">
        <v>14385</v>
      </c>
      <c r="U752" t="s">
        <v>14386</v>
      </c>
      <c r="V752" t="s">
        <v>14387</v>
      </c>
      <c r="W752" t="s">
        <v>14388</v>
      </c>
      <c r="X752" t="s">
        <v>14389</v>
      </c>
      <c r="Y752" t="s">
        <v>14390</v>
      </c>
      <c r="Z752" t="s">
        <v>14391</v>
      </c>
      <c r="AA752" t="s">
        <v>14392</v>
      </c>
      <c r="AB752" t="s">
        <v>14393</v>
      </c>
      <c r="AC752" t="s">
        <v>14394</v>
      </c>
      <c r="AD752" t="s">
        <v>14395</v>
      </c>
      <c r="AE752" t="s">
        <v>14396</v>
      </c>
      <c r="AF752" t="s">
        <v>74</v>
      </c>
      <c r="AG752">
        <v>33</v>
      </c>
      <c r="AH752">
        <v>3</v>
      </c>
      <c r="AI752">
        <v>3</v>
      </c>
      <c r="AJ752">
        <v>0</v>
      </c>
      <c r="AK752">
        <v>6</v>
      </c>
      <c r="AL752" t="s">
        <v>171</v>
      </c>
      <c r="AM752" t="s">
        <v>172</v>
      </c>
      <c r="AN752" t="s">
        <v>173</v>
      </c>
      <c r="AO752" t="s">
        <v>14397</v>
      </c>
      <c r="AP752" t="s">
        <v>14398</v>
      </c>
      <c r="AQ752" t="s">
        <v>74</v>
      </c>
      <c r="AR752" t="s">
        <v>14399</v>
      </c>
      <c r="AS752" t="s">
        <v>14400</v>
      </c>
      <c r="AT752" t="s">
        <v>4645</v>
      </c>
      <c r="AU752">
        <v>2022</v>
      </c>
      <c r="AV752">
        <v>31</v>
      </c>
      <c r="AW752">
        <v>1</v>
      </c>
      <c r="AX752" t="s">
        <v>74</v>
      </c>
      <c r="AY752" t="s">
        <v>74</v>
      </c>
      <c r="AZ752" t="s">
        <v>74</v>
      </c>
      <c r="BA752" t="s">
        <v>74</v>
      </c>
      <c r="BB752">
        <v>19</v>
      </c>
      <c r="BC752">
        <v>39</v>
      </c>
      <c r="BD752" t="s">
        <v>74</v>
      </c>
      <c r="BE752" t="s">
        <v>14401</v>
      </c>
      <c r="BF752" t="str">
        <f>HYPERLINK("http://dx.doi.org/10.1111/fog.12560","http://dx.doi.org/10.1111/fog.12560")</f>
        <v>http://dx.doi.org/10.1111/fog.12560</v>
      </c>
      <c r="BG752" t="s">
        <v>74</v>
      </c>
      <c r="BH752" t="s">
        <v>74</v>
      </c>
      <c r="BI752">
        <v>21</v>
      </c>
      <c r="BJ752" t="s">
        <v>14402</v>
      </c>
      <c r="BK752" t="s">
        <v>103</v>
      </c>
      <c r="BL752" t="s">
        <v>14402</v>
      </c>
      <c r="BM752" t="s">
        <v>14403</v>
      </c>
      <c r="BN752" t="s">
        <v>74</v>
      </c>
      <c r="BO752" t="s">
        <v>948</v>
      </c>
      <c r="BP752" t="s">
        <v>74</v>
      </c>
      <c r="BQ752" t="s">
        <v>74</v>
      </c>
      <c r="BR752" t="s">
        <v>106</v>
      </c>
      <c r="BS752" t="s">
        <v>14404</v>
      </c>
      <c r="BT752" t="str">
        <f>HYPERLINK("https%3A%2F%2Fwww.webofscience.com%2Fwos%2Fwoscc%2Ffull-record%2FWOS:000728472500003","View Full Record in Web of Science")</f>
        <v>View Full Record in Web of Science</v>
      </c>
    </row>
    <row r="753" spans="1:72" x14ac:dyDescent="0.15">
      <c r="A753" t="s">
        <v>72</v>
      </c>
      <c r="B753" t="s">
        <v>14405</v>
      </c>
      <c r="C753" t="s">
        <v>74</v>
      </c>
      <c r="D753" t="s">
        <v>74</v>
      </c>
      <c r="E753" t="s">
        <v>74</v>
      </c>
      <c r="F753" t="s">
        <v>14406</v>
      </c>
      <c r="G753" t="s">
        <v>74</v>
      </c>
      <c r="H753" t="s">
        <v>74</v>
      </c>
      <c r="I753" t="s">
        <v>14407</v>
      </c>
      <c r="J753" t="s">
        <v>14408</v>
      </c>
      <c r="K753" t="s">
        <v>74</v>
      </c>
      <c r="L753" t="s">
        <v>74</v>
      </c>
      <c r="M753" t="s">
        <v>78</v>
      </c>
      <c r="N753" t="s">
        <v>79</v>
      </c>
      <c r="O753" t="s">
        <v>74</v>
      </c>
      <c r="P753" t="s">
        <v>74</v>
      </c>
      <c r="Q753" t="s">
        <v>74</v>
      </c>
      <c r="R753" t="s">
        <v>74</v>
      </c>
      <c r="S753" t="s">
        <v>74</v>
      </c>
      <c r="T753" t="s">
        <v>14409</v>
      </c>
      <c r="U753" t="s">
        <v>14410</v>
      </c>
      <c r="V753" t="s">
        <v>14411</v>
      </c>
      <c r="W753" t="s">
        <v>14412</v>
      </c>
      <c r="X753" t="s">
        <v>10436</v>
      </c>
      <c r="Y753" t="s">
        <v>14413</v>
      </c>
      <c r="Z753" t="s">
        <v>14414</v>
      </c>
      <c r="AA753" t="s">
        <v>14415</v>
      </c>
      <c r="AB753" t="s">
        <v>14416</v>
      </c>
      <c r="AC753" t="s">
        <v>14417</v>
      </c>
      <c r="AD753" t="s">
        <v>14418</v>
      </c>
      <c r="AE753" t="s">
        <v>14419</v>
      </c>
      <c r="AF753" t="s">
        <v>74</v>
      </c>
      <c r="AG753">
        <v>114</v>
      </c>
      <c r="AH753">
        <v>3</v>
      </c>
      <c r="AI753">
        <v>3</v>
      </c>
      <c r="AJ753">
        <v>3</v>
      </c>
      <c r="AK753">
        <v>31</v>
      </c>
      <c r="AL753" t="s">
        <v>4129</v>
      </c>
      <c r="AM753" t="s">
        <v>4130</v>
      </c>
      <c r="AN753" t="s">
        <v>4131</v>
      </c>
      <c r="AO753" t="s">
        <v>14420</v>
      </c>
      <c r="AP753" t="s">
        <v>14421</v>
      </c>
      <c r="AQ753" t="s">
        <v>74</v>
      </c>
      <c r="AR753" t="s">
        <v>14422</v>
      </c>
      <c r="AS753" t="s">
        <v>14423</v>
      </c>
      <c r="AT753" t="s">
        <v>4645</v>
      </c>
      <c r="AU753">
        <v>2022</v>
      </c>
      <c r="AV753">
        <v>44</v>
      </c>
      <c r="AW753">
        <v>1</v>
      </c>
      <c r="AX753" t="s">
        <v>74</v>
      </c>
      <c r="AY753" t="s">
        <v>74</v>
      </c>
      <c r="AZ753" t="s">
        <v>74</v>
      </c>
      <c r="BA753" t="s">
        <v>74</v>
      </c>
      <c r="BB753" t="s">
        <v>74</v>
      </c>
      <c r="BC753" t="s">
        <v>74</v>
      </c>
      <c r="BD753">
        <v>6</v>
      </c>
      <c r="BE753" t="s">
        <v>14424</v>
      </c>
      <c r="BF753" t="str">
        <f>HYPERLINK("http://dx.doi.org/10.1007/s11738-021-03339-6","http://dx.doi.org/10.1007/s11738-021-03339-6")</f>
        <v>http://dx.doi.org/10.1007/s11738-021-03339-6</v>
      </c>
      <c r="BG753" t="s">
        <v>74</v>
      </c>
      <c r="BH753" t="s">
        <v>74</v>
      </c>
      <c r="BI753">
        <v>19</v>
      </c>
      <c r="BJ753" t="s">
        <v>1473</v>
      </c>
      <c r="BK753" t="s">
        <v>103</v>
      </c>
      <c r="BL753" t="s">
        <v>1473</v>
      </c>
      <c r="BM753" t="s">
        <v>14425</v>
      </c>
      <c r="BN753" t="s">
        <v>74</v>
      </c>
      <c r="BO753" t="s">
        <v>74</v>
      </c>
      <c r="BP753" t="s">
        <v>74</v>
      </c>
      <c r="BQ753" t="s">
        <v>74</v>
      </c>
      <c r="BR753" t="s">
        <v>106</v>
      </c>
      <c r="BS753" t="s">
        <v>14426</v>
      </c>
      <c r="BT753" t="str">
        <f>HYPERLINK("https%3A%2F%2Fwww.webofscience.com%2Fwos%2Fwoscc%2Ffull-record%2FWOS:000723990000001","View Full Record in Web of Science")</f>
        <v>View Full Record in Web of Science</v>
      </c>
    </row>
    <row r="754" spans="1:72" x14ac:dyDescent="0.15">
      <c r="A754" t="s">
        <v>72</v>
      </c>
      <c r="B754" t="s">
        <v>14427</v>
      </c>
      <c r="C754" t="s">
        <v>74</v>
      </c>
      <c r="D754" t="s">
        <v>74</v>
      </c>
      <c r="E754" t="s">
        <v>74</v>
      </c>
      <c r="F754" t="s">
        <v>14428</v>
      </c>
      <c r="G754" t="s">
        <v>74</v>
      </c>
      <c r="H754" t="s">
        <v>74</v>
      </c>
      <c r="I754" t="s">
        <v>14429</v>
      </c>
      <c r="J754" t="s">
        <v>14430</v>
      </c>
      <c r="K754" t="s">
        <v>74</v>
      </c>
      <c r="L754" t="s">
        <v>74</v>
      </c>
      <c r="M754" t="s">
        <v>78</v>
      </c>
      <c r="N754" t="s">
        <v>79</v>
      </c>
      <c r="O754" t="s">
        <v>74</v>
      </c>
      <c r="P754" t="s">
        <v>74</v>
      </c>
      <c r="Q754" t="s">
        <v>74</v>
      </c>
      <c r="R754" t="s">
        <v>74</v>
      </c>
      <c r="S754" t="s">
        <v>74</v>
      </c>
      <c r="T754" t="s">
        <v>14431</v>
      </c>
      <c r="U754" t="s">
        <v>14432</v>
      </c>
      <c r="V754" t="s">
        <v>14433</v>
      </c>
      <c r="W754" t="s">
        <v>14434</v>
      </c>
      <c r="X754" t="s">
        <v>14435</v>
      </c>
      <c r="Y754" t="s">
        <v>14436</v>
      </c>
      <c r="Z754" t="s">
        <v>14437</v>
      </c>
      <c r="AA754" t="s">
        <v>74</v>
      </c>
      <c r="AB754" t="s">
        <v>14438</v>
      </c>
      <c r="AC754" t="s">
        <v>14439</v>
      </c>
      <c r="AD754" t="s">
        <v>14440</v>
      </c>
      <c r="AE754" t="s">
        <v>14441</v>
      </c>
      <c r="AF754" t="s">
        <v>74</v>
      </c>
      <c r="AG754">
        <v>165</v>
      </c>
      <c r="AH754">
        <v>2</v>
      </c>
      <c r="AI754">
        <v>3</v>
      </c>
      <c r="AJ754">
        <v>1</v>
      </c>
      <c r="AK754">
        <v>34</v>
      </c>
      <c r="AL754" t="s">
        <v>14442</v>
      </c>
      <c r="AM754" t="s">
        <v>14443</v>
      </c>
      <c r="AN754" t="s">
        <v>14444</v>
      </c>
      <c r="AO754" t="s">
        <v>14445</v>
      </c>
      <c r="AP754" t="s">
        <v>14446</v>
      </c>
      <c r="AQ754" t="s">
        <v>74</v>
      </c>
      <c r="AR754" t="s">
        <v>14430</v>
      </c>
      <c r="AS754" t="s">
        <v>14447</v>
      </c>
      <c r="AT754" t="s">
        <v>74</v>
      </c>
      <c r="AU754">
        <v>2022</v>
      </c>
      <c r="AV754">
        <v>46</v>
      </c>
      <c r="AW754">
        <v>3</v>
      </c>
      <c r="AX754" t="s">
        <v>74</v>
      </c>
      <c r="AY754" t="s">
        <v>74</v>
      </c>
      <c r="AZ754" t="s">
        <v>74</v>
      </c>
      <c r="BA754" t="s">
        <v>74</v>
      </c>
      <c r="BB754">
        <v>607</v>
      </c>
      <c r="BC754">
        <v>621</v>
      </c>
      <c r="BD754" t="s">
        <v>74</v>
      </c>
      <c r="BE754" t="s">
        <v>14448</v>
      </c>
      <c r="BF754" t="str">
        <f>HYPERLINK("http://dx.doi.org/10.32604/biocell.2022.017309","http://dx.doi.org/10.32604/biocell.2022.017309")</f>
        <v>http://dx.doi.org/10.32604/biocell.2022.017309</v>
      </c>
      <c r="BG754" t="s">
        <v>74</v>
      </c>
      <c r="BH754" t="s">
        <v>74</v>
      </c>
      <c r="BI754">
        <v>15</v>
      </c>
      <c r="BJ754" t="s">
        <v>1177</v>
      </c>
      <c r="BK754" t="s">
        <v>103</v>
      </c>
      <c r="BL754" t="s">
        <v>1178</v>
      </c>
      <c r="BM754" t="s">
        <v>14449</v>
      </c>
      <c r="BN754" t="s">
        <v>74</v>
      </c>
      <c r="BO754" t="s">
        <v>1414</v>
      </c>
      <c r="BP754" t="s">
        <v>74</v>
      </c>
      <c r="BQ754" t="s">
        <v>74</v>
      </c>
      <c r="BR754" t="s">
        <v>106</v>
      </c>
      <c r="BS754" t="s">
        <v>14450</v>
      </c>
      <c r="BT754" t="str">
        <f>HYPERLINK("https%3A%2F%2Fwww.webofscience.com%2Fwos%2Fwoscc%2Ffull-record%2FWOS:000720915500005","View Full Record in Web of Science")</f>
        <v>View Full Record in Web of Science</v>
      </c>
    </row>
    <row r="755" spans="1:72" x14ac:dyDescent="0.15">
      <c r="A755" t="s">
        <v>72</v>
      </c>
      <c r="B755" t="s">
        <v>14451</v>
      </c>
      <c r="C755" t="s">
        <v>74</v>
      </c>
      <c r="D755" t="s">
        <v>74</v>
      </c>
      <c r="E755" t="s">
        <v>74</v>
      </c>
      <c r="F755" t="s">
        <v>14452</v>
      </c>
      <c r="G755" t="s">
        <v>74</v>
      </c>
      <c r="H755" t="s">
        <v>74</v>
      </c>
      <c r="I755" t="s">
        <v>14453</v>
      </c>
      <c r="J755" t="s">
        <v>14430</v>
      </c>
      <c r="K755" t="s">
        <v>74</v>
      </c>
      <c r="L755" t="s">
        <v>74</v>
      </c>
      <c r="M755" t="s">
        <v>78</v>
      </c>
      <c r="N755" t="s">
        <v>79</v>
      </c>
      <c r="O755" t="s">
        <v>74</v>
      </c>
      <c r="P755" t="s">
        <v>74</v>
      </c>
      <c r="Q755" t="s">
        <v>74</v>
      </c>
      <c r="R755" t="s">
        <v>74</v>
      </c>
      <c r="S755" t="s">
        <v>74</v>
      </c>
      <c r="T755" t="s">
        <v>14454</v>
      </c>
      <c r="U755" t="s">
        <v>14455</v>
      </c>
      <c r="V755" t="s">
        <v>14456</v>
      </c>
      <c r="W755" t="s">
        <v>14457</v>
      </c>
      <c r="X755" t="s">
        <v>14458</v>
      </c>
      <c r="Y755" t="s">
        <v>14459</v>
      </c>
      <c r="Z755" t="s">
        <v>14460</v>
      </c>
      <c r="AA755" t="s">
        <v>14461</v>
      </c>
      <c r="AB755" t="s">
        <v>14462</v>
      </c>
      <c r="AC755" t="s">
        <v>74</v>
      </c>
      <c r="AD755" t="s">
        <v>74</v>
      </c>
      <c r="AE755" t="s">
        <v>74</v>
      </c>
      <c r="AF755" t="s">
        <v>74</v>
      </c>
      <c r="AG755">
        <v>119</v>
      </c>
      <c r="AH755">
        <v>18</v>
      </c>
      <c r="AI755">
        <v>18</v>
      </c>
      <c r="AJ755">
        <v>2</v>
      </c>
      <c r="AK755">
        <v>43</v>
      </c>
      <c r="AL755" t="s">
        <v>14442</v>
      </c>
      <c r="AM755" t="s">
        <v>14443</v>
      </c>
      <c r="AN755" t="s">
        <v>14444</v>
      </c>
      <c r="AO755" t="s">
        <v>14445</v>
      </c>
      <c r="AP755" t="s">
        <v>14446</v>
      </c>
      <c r="AQ755" t="s">
        <v>74</v>
      </c>
      <c r="AR755" t="s">
        <v>14430</v>
      </c>
      <c r="AS755" t="s">
        <v>14447</v>
      </c>
      <c r="AT755" t="s">
        <v>74</v>
      </c>
      <c r="AU755">
        <v>2022</v>
      </c>
      <c r="AV755">
        <v>46</v>
      </c>
      <c r="AW755">
        <v>1</v>
      </c>
      <c r="AX755" t="s">
        <v>74</v>
      </c>
      <c r="AY755" t="s">
        <v>74</v>
      </c>
      <c r="AZ755" t="s">
        <v>74</v>
      </c>
      <c r="BA755" t="s">
        <v>74</v>
      </c>
      <c r="BB755">
        <v>37</v>
      </c>
      <c r="BC755">
        <v>49</v>
      </c>
      <c r="BD755" t="s">
        <v>74</v>
      </c>
      <c r="BE755" t="s">
        <v>14463</v>
      </c>
      <c r="BF755" t="str">
        <f>HYPERLINK("http://dx.doi.org/10.32604/biocell.2022.017507","http://dx.doi.org/10.32604/biocell.2022.017507")</f>
        <v>http://dx.doi.org/10.32604/biocell.2022.017507</v>
      </c>
      <c r="BG755" t="s">
        <v>74</v>
      </c>
      <c r="BH755" t="s">
        <v>74</v>
      </c>
      <c r="BI755">
        <v>13</v>
      </c>
      <c r="BJ755" t="s">
        <v>1177</v>
      </c>
      <c r="BK755" t="s">
        <v>103</v>
      </c>
      <c r="BL755" t="s">
        <v>1178</v>
      </c>
      <c r="BM755" t="s">
        <v>14464</v>
      </c>
      <c r="BN755" t="s">
        <v>74</v>
      </c>
      <c r="BO755" t="s">
        <v>445</v>
      </c>
      <c r="BP755" t="s">
        <v>74</v>
      </c>
      <c r="BQ755" t="s">
        <v>74</v>
      </c>
      <c r="BR755" t="s">
        <v>106</v>
      </c>
      <c r="BS755" t="s">
        <v>14465</v>
      </c>
      <c r="BT755" t="str">
        <f>HYPERLINK("https%3A%2F%2Fwww.webofscience.com%2Fwos%2Fwoscc%2Ffull-record%2FWOS:000704063400005","View Full Record in Web of Science")</f>
        <v>View Full Record in Web of Science</v>
      </c>
    </row>
    <row r="756" spans="1:72" x14ac:dyDescent="0.15">
      <c r="A756" t="s">
        <v>72</v>
      </c>
      <c r="B756" t="s">
        <v>14466</v>
      </c>
      <c r="C756" t="s">
        <v>74</v>
      </c>
      <c r="D756" t="s">
        <v>74</v>
      </c>
      <c r="E756" t="s">
        <v>74</v>
      </c>
      <c r="F756" t="s">
        <v>14467</v>
      </c>
      <c r="G756" t="s">
        <v>74</v>
      </c>
      <c r="H756" t="s">
        <v>74</v>
      </c>
      <c r="I756" t="s">
        <v>14468</v>
      </c>
      <c r="J756" t="s">
        <v>14469</v>
      </c>
      <c r="K756" t="s">
        <v>74</v>
      </c>
      <c r="L756" t="s">
        <v>74</v>
      </c>
      <c r="M756" t="s">
        <v>78</v>
      </c>
      <c r="N756" t="s">
        <v>79</v>
      </c>
      <c r="O756" t="s">
        <v>74</v>
      </c>
      <c r="P756" t="s">
        <v>74</v>
      </c>
      <c r="Q756" t="s">
        <v>74</v>
      </c>
      <c r="R756" t="s">
        <v>74</v>
      </c>
      <c r="S756" t="s">
        <v>74</v>
      </c>
      <c r="T756" t="s">
        <v>14470</v>
      </c>
      <c r="U756" t="s">
        <v>14471</v>
      </c>
      <c r="V756" t="s">
        <v>14472</v>
      </c>
      <c r="W756" t="s">
        <v>14473</v>
      </c>
      <c r="X756" t="s">
        <v>14474</v>
      </c>
      <c r="Y756" t="s">
        <v>14475</v>
      </c>
      <c r="Z756" t="s">
        <v>14476</v>
      </c>
      <c r="AA756" t="s">
        <v>74</v>
      </c>
      <c r="AB756" t="s">
        <v>14477</v>
      </c>
      <c r="AC756" t="s">
        <v>14478</v>
      </c>
      <c r="AD756" t="s">
        <v>14479</v>
      </c>
      <c r="AE756" t="s">
        <v>14480</v>
      </c>
      <c r="AF756" t="s">
        <v>74</v>
      </c>
      <c r="AG756">
        <v>54</v>
      </c>
      <c r="AH756">
        <v>10</v>
      </c>
      <c r="AI756">
        <v>11</v>
      </c>
      <c r="AJ756">
        <v>14</v>
      </c>
      <c r="AK756">
        <v>62</v>
      </c>
      <c r="AL756" t="s">
        <v>92</v>
      </c>
      <c r="AM756" t="s">
        <v>93</v>
      </c>
      <c r="AN756" t="s">
        <v>94</v>
      </c>
      <c r="AO756" t="s">
        <v>14481</v>
      </c>
      <c r="AP756" t="s">
        <v>14482</v>
      </c>
      <c r="AQ756" t="s">
        <v>74</v>
      </c>
      <c r="AR756" t="s">
        <v>14483</v>
      </c>
      <c r="AS756" t="s">
        <v>14484</v>
      </c>
      <c r="AT756" t="s">
        <v>3228</v>
      </c>
      <c r="AU756">
        <v>2022</v>
      </c>
      <c r="AV756">
        <v>245</v>
      </c>
      <c r="AW756" t="s">
        <v>74</v>
      </c>
      <c r="AX756" t="s">
        <v>74</v>
      </c>
      <c r="AY756" t="s">
        <v>74</v>
      </c>
      <c r="AZ756" t="s">
        <v>74</v>
      </c>
      <c r="BA756" t="s">
        <v>74</v>
      </c>
      <c r="BB756" t="s">
        <v>74</v>
      </c>
      <c r="BC756" t="s">
        <v>74</v>
      </c>
      <c r="BD756">
        <v>110443</v>
      </c>
      <c r="BE756" t="s">
        <v>14485</v>
      </c>
      <c r="BF756" t="str">
        <f>HYPERLINK("http://dx.doi.org/10.1016/j.oceaneng.2021.110443","http://dx.doi.org/10.1016/j.oceaneng.2021.110443")</f>
        <v>http://dx.doi.org/10.1016/j.oceaneng.2021.110443</v>
      </c>
      <c r="BG756" t="s">
        <v>74</v>
      </c>
      <c r="BH756" t="s">
        <v>14486</v>
      </c>
      <c r="BI756">
        <v>15</v>
      </c>
      <c r="BJ756" t="s">
        <v>14487</v>
      </c>
      <c r="BK756" t="s">
        <v>103</v>
      </c>
      <c r="BL756" t="s">
        <v>3777</v>
      </c>
      <c r="BM756" t="s">
        <v>14488</v>
      </c>
      <c r="BN756" t="s">
        <v>74</v>
      </c>
      <c r="BO756" t="s">
        <v>74</v>
      </c>
      <c r="BP756" t="s">
        <v>74</v>
      </c>
      <c r="BQ756" t="s">
        <v>74</v>
      </c>
      <c r="BR756" t="s">
        <v>106</v>
      </c>
      <c r="BS756" t="s">
        <v>14489</v>
      </c>
      <c r="BT756" t="str">
        <f>HYPERLINK("https%3A%2F%2Fwww.webofscience.com%2Fwos%2Fwoscc%2Ffull-record%2FWOS:000744831300003","View Full Record in Web of Science")</f>
        <v>View Full Record in Web of Science</v>
      </c>
    </row>
    <row r="757" spans="1:72" x14ac:dyDescent="0.15">
      <c r="A757" t="s">
        <v>72</v>
      </c>
      <c r="B757" t="s">
        <v>14490</v>
      </c>
      <c r="C757" t="s">
        <v>74</v>
      </c>
      <c r="D757" t="s">
        <v>74</v>
      </c>
      <c r="E757" t="s">
        <v>74</v>
      </c>
      <c r="F757" t="s">
        <v>14491</v>
      </c>
      <c r="G757" t="s">
        <v>74</v>
      </c>
      <c r="H757" t="s">
        <v>74</v>
      </c>
      <c r="I757" t="s">
        <v>14492</v>
      </c>
      <c r="J757" t="s">
        <v>14493</v>
      </c>
      <c r="K757" t="s">
        <v>74</v>
      </c>
      <c r="L757" t="s">
        <v>74</v>
      </c>
      <c r="M757" t="s">
        <v>78</v>
      </c>
      <c r="N757" t="s">
        <v>79</v>
      </c>
      <c r="O757" t="s">
        <v>74</v>
      </c>
      <c r="P757" t="s">
        <v>74</v>
      </c>
      <c r="Q757" t="s">
        <v>74</v>
      </c>
      <c r="R757" t="s">
        <v>74</v>
      </c>
      <c r="S757" t="s">
        <v>74</v>
      </c>
      <c r="T757" t="s">
        <v>14494</v>
      </c>
      <c r="U757" t="s">
        <v>14495</v>
      </c>
      <c r="V757" t="s">
        <v>14496</v>
      </c>
      <c r="W757" t="s">
        <v>14497</v>
      </c>
      <c r="X757" t="s">
        <v>14498</v>
      </c>
      <c r="Y757" t="s">
        <v>14499</v>
      </c>
      <c r="Z757" t="s">
        <v>14500</v>
      </c>
      <c r="AA757" t="s">
        <v>74</v>
      </c>
      <c r="AB757" t="s">
        <v>14501</v>
      </c>
      <c r="AC757" t="s">
        <v>14502</v>
      </c>
      <c r="AD757" t="s">
        <v>14503</v>
      </c>
      <c r="AE757" t="s">
        <v>14504</v>
      </c>
      <c r="AF757" t="s">
        <v>74</v>
      </c>
      <c r="AG757">
        <v>122</v>
      </c>
      <c r="AH757">
        <v>2</v>
      </c>
      <c r="AI757">
        <v>2</v>
      </c>
      <c r="AJ757">
        <v>0</v>
      </c>
      <c r="AK757">
        <v>3</v>
      </c>
      <c r="AL757" t="s">
        <v>384</v>
      </c>
      <c r="AM757" t="s">
        <v>385</v>
      </c>
      <c r="AN757" t="s">
        <v>386</v>
      </c>
      <c r="AO757" t="s">
        <v>14505</v>
      </c>
      <c r="AP757" t="s">
        <v>14506</v>
      </c>
      <c r="AQ757" t="s">
        <v>74</v>
      </c>
      <c r="AR757" t="s">
        <v>14493</v>
      </c>
      <c r="AS757" t="s">
        <v>14507</v>
      </c>
      <c r="AT757" t="s">
        <v>14508</v>
      </c>
      <c r="AU757">
        <v>2021</v>
      </c>
      <c r="AV757" t="s">
        <v>74</v>
      </c>
      <c r="AW757">
        <v>1079</v>
      </c>
      <c r="AX757" t="s">
        <v>74</v>
      </c>
      <c r="AY757" t="s">
        <v>74</v>
      </c>
      <c r="AZ757" t="s">
        <v>74</v>
      </c>
      <c r="BA757" t="s">
        <v>74</v>
      </c>
      <c r="BB757">
        <v>145</v>
      </c>
      <c r="BC757">
        <v>227</v>
      </c>
      <c r="BD757" t="s">
        <v>74</v>
      </c>
      <c r="BE757" t="s">
        <v>14509</v>
      </c>
      <c r="BF757" t="str">
        <f>HYPERLINK("http://dx.doi.org/10.3897/zookeys.1079.76412","http://dx.doi.org/10.3897/zookeys.1079.76412")</f>
        <v>http://dx.doi.org/10.3897/zookeys.1079.76412</v>
      </c>
      <c r="BG757" t="s">
        <v>74</v>
      </c>
      <c r="BH757" t="s">
        <v>74</v>
      </c>
      <c r="BI757">
        <v>83</v>
      </c>
      <c r="BJ757" t="s">
        <v>3187</v>
      </c>
      <c r="BK757" t="s">
        <v>103</v>
      </c>
      <c r="BL757" t="s">
        <v>3187</v>
      </c>
      <c r="BM757" t="s">
        <v>14510</v>
      </c>
      <c r="BN757">
        <v>35068961</v>
      </c>
      <c r="BO757" t="s">
        <v>292</v>
      </c>
      <c r="BP757" t="s">
        <v>74</v>
      </c>
      <c r="BQ757" t="s">
        <v>74</v>
      </c>
      <c r="BR757" t="s">
        <v>106</v>
      </c>
      <c r="BS757" t="s">
        <v>14511</v>
      </c>
      <c r="BT757" t="str">
        <f>HYPERLINK("https%3A%2F%2Fwww.webofscience.com%2Fwos%2Fwoscc%2Ffull-record%2FWOS:000740840800001","View Full Record in Web of Science")</f>
        <v>View Full Record in Web of Science</v>
      </c>
    </row>
    <row r="758" spans="1:72" x14ac:dyDescent="0.15">
      <c r="A758" t="s">
        <v>72</v>
      </c>
      <c r="B758" t="s">
        <v>14512</v>
      </c>
      <c r="C758" t="s">
        <v>74</v>
      </c>
      <c r="D758" t="s">
        <v>74</v>
      </c>
      <c r="E758" t="s">
        <v>74</v>
      </c>
      <c r="F758" t="s">
        <v>14513</v>
      </c>
      <c r="G758" t="s">
        <v>74</v>
      </c>
      <c r="H758" t="s">
        <v>74</v>
      </c>
      <c r="I758" t="s">
        <v>14514</v>
      </c>
      <c r="J758" t="s">
        <v>5416</v>
      </c>
      <c r="K758" t="s">
        <v>74</v>
      </c>
      <c r="L758" t="s">
        <v>74</v>
      </c>
      <c r="M758" t="s">
        <v>78</v>
      </c>
      <c r="N758" t="s">
        <v>79</v>
      </c>
      <c r="O758" t="s">
        <v>74</v>
      </c>
      <c r="P758" t="s">
        <v>74</v>
      </c>
      <c r="Q758" t="s">
        <v>74</v>
      </c>
      <c r="R758" t="s">
        <v>74</v>
      </c>
      <c r="S758" t="s">
        <v>74</v>
      </c>
      <c r="T758" t="s">
        <v>14515</v>
      </c>
      <c r="U758" t="s">
        <v>14516</v>
      </c>
      <c r="V758" t="s">
        <v>14517</v>
      </c>
      <c r="W758" t="s">
        <v>14518</v>
      </c>
      <c r="X758" t="s">
        <v>14519</v>
      </c>
      <c r="Y758" t="s">
        <v>14520</v>
      </c>
      <c r="Z758" t="s">
        <v>14521</v>
      </c>
      <c r="AA758" t="s">
        <v>14522</v>
      </c>
      <c r="AB758" t="s">
        <v>14523</v>
      </c>
      <c r="AC758" t="s">
        <v>14524</v>
      </c>
      <c r="AD758" t="s">
        <v>14525</v>
      </c>
      <c r="AE758" t="s">
        <v>14526</v>
      </c>
      <c r="AF758" t="s">
        <v>74</v>
      </c>
      <c r="AG758">
        <v>66</v>
      </c>
      <c r="AH758">
        <v>2</v>
      </c>
      <c r="AI758">
        <v>2</v>
      </c>
      <c r="AJ758">
        <v>5</v>
      </c>
      <c r="AK758">
        <v>22</v>
      </c>
      <c r="AL758" t="s">
        <v>310</v>
      </c>
      <c r="AM758" t="s">
        <v>311</v>
      </c>
      <c r="AN758" t="s">
        <v>312</v>
      </c>
      <c r="AO758" t="s">
        <v>5429</v>
      </c>
      <c r="AP758" t="s">
        <v>5430</v>
      </c>
      <c r="AQ758" t="s">
        <v>74</v>
      </c>
      <c r="AR758" t="s">
        <v>5431</v>
      </c>
      <c r="AS758" t="s">
        <v>5432</v>
      </c>
      <c r="AT758" t="s">
        <v>4645</v>
      </c>
      <c r="AU758">
        <v>2022</v>
      </c>
      <c r="AV758">
        <v>208</v>
      </c>
      <c r="AW758" t="s">
        <v>74</v>
      </c>
      <c r="AX758" t="s">
        <v>74</v>
      </c>
      <c r="AY758" t="s">
        <v>74</v>
      </c>
      <c r="AZ758" t="s">
        <v>74</v>
      </c>
      <c r="BA758" t="s">
        <v>74</v>
      </c>
      <c r="BB758" t="s">
        <v>74</v>
      </c>
      <c r="BC758" t="s">
        <v>74</v>
      </c>
      <c r="BD758">
        <v>103723</v>
      </c>
      <c r="BE758" t="s">
        <v>14527</v>
      </c>
      <c r="BF758" t="str">
        <f>HYPERLINK("http://dx.doi.org/10.1016/j.gloplacha.2021.103723","http://dx.doi.org/10.1016/j.gloplacha.2021.103723")</f>
        <v>http://dx.doi.org/10.1016/j.gloplacha.2021.103723</v>
      </c>
      <c r="BG758" t="s">
        <v>74</v>
      </c>
      <c r="BH758" t="s">
        <v>14486</v>
      </c>
      <c r="BI758">
        <v>9</v>
      </c>
      <c r="BJ758" t="s">
        <v>208</v>
      </c>
      <c r="BK758" t="s">
        <v>103</v>
      </c>
      <c r="BL758" t="s">
        <v>209</v>
      </c>
      <c r="BM758" t="s">
        <v>14528</v>
      </c>
      <c r="BN758" t="s">
        <v>74</v>
      </c>
      <c r="BO758" t="s">
        <v>74</v>
      </c>
      <c r="BP758" t="s">
        <v>74</v>
      </c>
      <c r="BQ758" t="s">
        <v>74</v>
      </c>
      <c r="BR758" t="s">
        <v>106</v>
      </c>
      <c r="BS758" t="s">
        <v>14529</v>
      </c>
      <c r="BT758" t="str">
        <f>HYPERLINK("https%3A%2F%2Fwww.webofscience.com%2Fwos%2Fwoscc%2Ffull-record%2FWOS:000740438500002","View Full Record in Web of Science")</f>
        <v>View Full Record in Web of Science</v>
      </c>
    </row>
    <row r="759" spans="1:72" x14ac:dyDescent="0.15">
      <c r="A759" t="s">
        <v>72</v>
      </c>
      <c r="B759" t="s">
        <v>14530</v>
      </c>
      <c r="C759" t="s">
        <v>74</v>
      </c>
      <c r="D759" t="s">
        <v>74</v>
      </c>
      <c r="E759" t="s">
        <v>74</v>
      </c>
      <c r="F759" t="s">
        <v>14531</v>
      </c>
      <c r="G759" t="s">
        <v>74</v>
      </c>
      <c r="H759" t="s">
        <v>74</v>
      </c>
      <c r="I759" t="s">
        <v>14532</v>
      </c>
      <c r="J759" t="s">
        <v>14533</v>
      </c>
      <c r="K759" t="s">
        <v>74</v>
      </c>
      <c r="L759" t="s">
        <v>74</v>
      </c>
      <c r="M759" t="s">
        <v>78</v>
      </c>
      <c r="N759" t="s">
        <v>79</v>
      </c>
      <c r="O759" t="s">
        <v>74</v>
      </c>
      <c r="P759" t="s">
        <v>74</v>
      </c>
      <c r="Q759" t="s">
        <v>74</v>
      </c>
      <c r="R759" t="s">
        <v>74</v>
      </c>
      <c r="S759" t="s">
        <v>74</v>
      </c>
      <c r="T759" t="s">
        <v>74</v>
      </c>
      <c r="U759" t="s">
        <v>14534</v>
      </c>
      <c r="V759" t="s">
        <v>14535</v>
      </c>
      <c r="W759" t="s">
        <v>14536</v>
      </c>
      <c r="X759" t="s">
        <v>14537</v>
      </c>
      <c r="Y759" t="s">
        <v>14538</v>
      </c>
      <c r="Z759" t="s">
        <v>14539</v>
      </c>
      <c r="AA759" t="s">
        <v>74</v>
      </c>
      <c r="AB759" t="s">
        <v>14540</v>
      </c>
      <c r="AC759" t="s">
        <v>74</v>
      </c>
      <c r="AD759" t="s">
        <v>74</v>
      </c>
      <c r="AE759" t="s">
        <v>74</v>
      </c>
      <c r="AF759" t="s">
        <v>74</v>
      </c>
      <c r="AG759">
        <v>82</v>
      </c>
      <c r="AH759">
        <v>9</v>
      </c>
      <c r="AI759">
        <v>9</v>
      </c>
      <c r="AJ759">
        <v>1</v>
      </c>
      <c r="AK759">
        <v>21</v>
      </c>
      <c r="AL759" t="s">
        <v>337</v>
      </c>
      <c r="AM759" t="s">
        <v>338</v>
      </c>
      <c r="AN759" t="s">
        <v>339</v>
      </c>
      <c r="AO759" t="s">
        <v>14541</v>
      </c>
      <c r="AP759" t="s">
        <v>14542</v>
      </c>
      <c r="AQ759" t="s">
        <v>74</v>
      </c>
      <c r="AR759" t="s">
        <v>14543</v>
      </c>
      <c r="AS759" t="s">
        <v>14544</v>
      </c>
      <c r="AT759" t="s">
        <v>4645</v>
      </c>
      <c r="AU759">
        <v>2022</v>
      </c>
      <c r="AV759">
        <v>15</v>
      </c>
      <c r="AW759">
        <v>1</v>
      </c>
      <c r="AX759" t="s">
        <v>74</v>
      </c>
      <c r="AY759" t="s">
        <v>74</v>
      </c>
      <c r="AZ759" t="s">
        <v>74</v>
      </c>
      <c r="BA759" t="s">
        <v>74</v>
      </c>
      <c r="BB759">
        <v>54</v>
      </c>
      <c r="BC759" t="s">
        <v>5868</v>
      </c>
      <c r="BD759" t="s">
        <v>74</v>
      </c>
      <c r="BE759" t="s">
        <v>14545</v>
      </c>
      <c r="BF759" t="str">
        <f>HYPERLINK("http://dx.doi.org/10.1038/s41561-021-00858-2","http://dx.doi.org/10.1038/s41561-021-00858-2")</f>
        <v>http://dx.doi.org/10.1038/s41561-021-00858-2</v>
      </c>
      <c r="BG759" t="s">
        <v>74</v>
      </c>
      <c r="BH759" t="s">
        <v>14486</v>
      </c>
      <c r="BI759">
        <v>14</v>
      </c>
      <c r="BJ759" t="s">
        <v>151</v>
      </c>
      <c r="BK759" t="s">
        <v>103</v>
      </c>
      <c r="BL759" t="s">
        <v>152</v>
      </c>
      <c r="BM759" t="s">
        <v>14546</v>
      </c>
      <c r="BN759" t="s">
        <v>74</v>
      </c>
      <c r="BO759" t="s">
        <v>74</v>
      </c>
      <c r="BP759" t="s">
        <v>74</v>
      </c>
      <c r="BQ759" t="s">
        <v>74</v>
      </c>
      <c r="BR759" t="s">
        <v>106</v>
      </c>
      <c r="BS759" t="s">
        <v>14547</v>
      </c>
      <c r="BT759" t="str">
        <f>HYPERLINK("https%3A%2F%2Fwww.webofscience.com%2Fwos%2Fwoscc%2Ffull-record%2FWOS:000736438900002","View Full Record in Web of Science")</f>
        <v>View Full Record in Web of Science</v>
      </c>
    </row>
    <row r="760" spans="1:72" x14ac:dyDescent="0.15">
      <c r="A760" t="s">
        <v>72</v>
      </c>
      <c r="B760" t="s">
        <v>14548</v>
      </c>
      <c r="C760" t="s">
        <v>74</v>
      </c>
      <c r="D760" t="s">
        <v>74</v>
      </c>
      <c r="E760" t="s">
        <v>74</v>
      </c>
      <c r="F760" t="s">
        <v>14549</v>
      </c>
      <c r="G760" t="s">
        <v>74</v>
      </c>
      <c r="H760" t="s">
        <v>74</v>
      </c>
      <c r="I760" t="s">
        <v>14550</v>
      </c>
      <c r="J760" t="s">
        <v>14551</v>
      </c>
      <c r="K760" t="s">
        <v>74</v>
      </c>
      <c r="L760" t="s">
        <v>74</v>
      </c>
      <c r="M760" t="s">
        <v>78</v>
      </c>
      <c r="N760" t="s">
        <v>79</v>
      </c>
      <c r="O760" t="s">
        <v>74</v>
      </c>
      <c r="P760" t="s">
        <v>74</v>
      </c>
      <c r="Q760" t="s">
        <v>74</v>
      </c>
      <c r="R760" t="s">
        <v>74</v>
      </c>
      <c r="S760" t="s">
        <v>74</v>
      </c>
      <c r="T760" t="s">
        <v>14552</v>
      </c>
      <c r="U760" t="s">
        <v>14553</v>
      </c>
      <c r="V760" t="s">
        <v>14554</v>
      </c>
      <c r="W760" t="s">
        <v>14555</v>
      </c>
      <c r="X760" t="s">
        <v>14556</v>
      </c>
      <c r="Y760" t="s">
        <v>14557</v>
      </c>
      <c r="Z760" t="s">
        <v>14558</v>
      </c>
      <c r="AA760" t="s">
        <v>74</v>
      </c>
      <c r="AB760" t="s">
        <v>74</v>
      </c>
      <c r="AC760" t="s">
        <v>14559</v>
      </c>
      <c r="AD760" t="s">
        <v>14560</v>
      </c>
      <c r="AE760" t="s">
        <v>14561</v>
      </c>
      <c r="AF760" t="s">
        <v>74</v>
      </c>
      <c r="AG760">
        <v>39</v>
      </c>
      <c r="AH760">
        <v>0</v>
      </c>
      <c r="AI760">
        <v>0</v>
      </c>
      <c r="AJ760">
        <v>1</v>
      </c>
      <c r="AK760">
        <v>9</v>
      </c>
      <c r="AL760" t="s">
        <v>171</v>
      </c>
      <c r="AM760" t="s">
        <v>172</v>
      </c>
      <c r="AN760" t="s">
        <v>173</v>
      </c>
      <c r="AO760" t="s">
        <v>14562</v>
      </c>
      <c r="AP760" t="s">
        <v>14563</v>
      </c>
      <c r="AQ760" t="s">
        <v>74</v>
      </c>
      <c r="AR760" t="s">
        <v>14564</v>
      </c>
      <c r="AS760" t="s">
        <v>14565</v>
      </c>
      <c r="AT760" t="s">
        <v>178</v>
      </c>
      <c r="AU760">
        <v>2022</v>
      </c>
      <c r="AV760">
        <v>41</v>
      </c>
      <c r="AW760">
        <v>3</v>
      </c>
      <c r="AX760" t="s">
        <v>74</v>
      </c>
      <c r="AY760" t="s">
        <v>74</v>
      </c>
      <c r="AZ760" t="s">
        <v>74</v>
      </c>
      <c r="BA760" t="s">
        <v>74</v>
      </c>
      <c r="BB760">
        <v>218</v>
      </c>
      <c r="BC760">
        <v>225</v>
      </c>
      <c r="BD760" t="s">
        <v>74</v>
      </c>
      <c r="BE760" t="s">
        <v>14566</v>
      </c>
      <c r="BF760" t="str">
        <f>HYPERLINK("http://dx.doi.org/10.1002/zoo.21666","http://dx.doi.org/10.1002/zoo.21666")</f>
        <v>http://dx.doi.org/10.1002/zoo.21666</v>
      </c>
      <c r="BG760" t="s">
        <v>74</v>
      </c>
      <c r="BH760" t="s">
        <v>14486</v>
      </c>
      <c r="BI760">
        <v>8</v>
      </c>
      <c r="BJ760" t="s">
        <v>14567</v>
      </c>
      <c r="BK760" t="s">
        <v>103</v>
      </c>
      <c r="BL760" t="s">
        <v>14567</v>
      </c>
      <c r="BM760" t="s">
        <v>14568</v>
      </c>
      <c r="BN760">
        <v>34970775</v>
      </c>
      <c r="BO760" t="s">
        <v>74</v>
      </c>
      <c r="BP760" t="s">
        <v>74</v>
      </c>
      <c r="BQ760" t="s">
        <v>74</v>
      </c>
      <c r="BR760" t="s">
        <v>106</v>
      </c>
      <c r="BS760" t="s">
        <v>14569</v>
      </c>
      <c r="BT760" t="str">
        <f>HYPERLINK("https%3A%2F%2Fwww.webofscience.com%2Fwos%2Fwoscc%2Ffull-record%2FWOS:000736473500001","View Full Record in Web of Science")</f>
        <v>View Full Record in Web of Science</v>
      </c>
    </row>
    <row r="761" spans="1:72" x14ac:dyDescent="0.15">
      <c r="A761" t="s">
        <v>72</v>
      </c>
      <c r="B761" t="s">
        <v>14570</v>
      </c>
      <c r="C761" t="s">
        <v>74</v>
      </c>
      <c r="D761" t="s">
        <v>74</v>
      </c>
      <c r="E761" t="s">
        <v>74</v>
      </c>
      <c r="F761" t="s">
        <v>14571</v>
      </c>
      <c r="G761" t="s">
        <v>74</v>
      </c>
      <c r="H761" t="s">
        <v>74</v>
      </c>
      <c r="I761" t="s">
        <v>14572</v>
      </c>
      <c r="J761" t="s">
        <v>14573</v>
      </c>
      <c r="K761" t="s">
        <v>74</v>
      </c>
      <c r="L761" t="s">
        <v>74</v>
      </c>
      <c r="M761" t="s">
        <v>78</v>
      </c>
      <c r="N761" t="s">
        <v>79</v>
      </c>
      <c r="O761" t="s">
        <v>74</v>
      </c>
      <c r="P761" t="s">
        <v>74</v>
      </c>
      <c r="Q761" t="s">
        <v>74</v>
      </c>
      <c r="R761" t="s">
        <v>74</v>
      </c>
      <c r="S761" t="s">
        <v>74</v>
      </c>
      <c r="T761" t="s">
        <v>74</v>
      </c>
      <c r="U761" t="s">
        <v>14574</v>
      </c>
      <c r="V761" t="s">
        <v>14575</v>
      </c>
      <c r="W761" t="s">
        <v>14576</v>
      </c>
      <c r="X761" t="s">
        <v>14577</v>
      </c>
      <c r="Y761" t="s">
        <v>14578</v>
      </c>
      <c r="Z761" t="s">
        <v>14579</v>
      </c>
      <c r="AA761" t="s">
        <v>74</v>
      </c>
      <c r="AB761" t="s">
        <v>14580</v>
      </c>
      <c r="AC761" t="s">
        <v>14581</v>
      </c>
      <c r="AD761" t="s">
        <v>14582</v>
      </c>
      <c r="AE761" t="s">
        <v>14583</v>
      </c>
      <c r="AF761" t="s">
        <v>74</v>
      </c>
      <c r="AG761">
        <v>35</v>
      </c>
      <c r="AH761">
        <v>6</v>
      </c>
      <c r="AI761">
        <v>7</v>
      </c>
      <c r="AJ761">
        <v>3</v>
      </c>
      <c r="AK761">
        <v>17</v>
      </c>
      <c r="AL761" t="s">
        <v>690</v>
      </c>
      <c r="AM761" t="s">
        <v>606</v>
      </c>
      <c r="AN761" t="s">
        <v>691</v>
      </c>
      <c r="AO761" t="s">
        <v>14584</v>
      </c>
      <c r="AP761" t="s">
        <v>14585</v>
      </c>
      <c r="AQ761" t="s">
        <v>74</v>
      </c>
      <c r="AR761" t="s">
        <v>14586</v>
      </c>
      <c r="AS761" t="s">
        <v>14587</v>
      </c>
      <c r="AT761" t="s">
        <v>6078</v>
      </c>
      <c r="AU761">
        <v>2022</v>
      </c>
      <c r="AV761">
        <v>94</v>
      </c>
      <c r="AW761">
        <v>2</v>
      </c>
      <c r="AX761" t="s">
        <v>74</v>
      </c>
      <c r="AY761" t="s">
        <v>74</v>
      </c>
      <c r="AZ761" t="s">
        <v>74</v>
      </c>
      <c r="BA761" t="s">
        <v>74</v>
      </c>
      <c r="BB761">
        <v>1240</v>
      </c>
      <c r="BC761">
        <v>1247</v>
      </c>
      <c r="BD761" t="s">
        <v>74</v>
      </c>
      <c r="BE761" t="s">
        <v>14588</v>
      </c>
      <c r="BF761" t="str">
        <f>HYPERLINK("http://dx.doi.org/10.1021/acs.analchem.1c04465","http://dx.doi.org/10.1021/acs.analchem.1c04465")</f>
        <v>http://dx.doi.org/10.1021/acs.analchem.1c04465</v>
      </c>
      <c r="BG761" t="s">
        <v>74</v>
      </c>
      <c r="BH761" t="s">
        <v>14486</v>
      </c>
      <c r="BI761">
        <v>8</v>
      </c>
      <c r="BJ761" t="s">
        <v>3283</v>
      </c>
      <c r="BK761" t="s">
        <v>103</v>
      </c>
      <c r="BL761" t="s">
        <v>3284</v>
      </c>
      <c r="BM761" t="s">
        <v>14589</v>
      </c>
      <c r="BN761">
        <v>34965088</v>
      </c>
      <c r="BO761" t="s">
        <v>74</v>
      </c>
      <c r="BP761" t="s">
        <v>74</v>
      </c>
      <c r="BQ761" t="s">
        <v>74</v>
      </c>
      <c r="BR761" t="s">
        <v>106</v>
      </c>
      <c r="BS761" t="s">
        <v>14590</v>
      </c>
      <c r="BT761" t="str">
        <f>HYPERLINK("https%3A%2F%2Fwww.webofscience.com%2Fwos%2Fwoscc%2Ffull-record%2FWOS:000739347300001","View Full Record in Web of Science")</f>
        <v>View Full Record in Web of Science</v>
      </c>
    </row>
    <row r="762" spans="1:72" x14ac:dyDescent="0.15">
      <c r="A762" t="s">
        <v>72</v>
      </c>
      <c r="B762" t="s">
        <v>14591</v>
      </c>
      <c r="C762" t="s">
        <v>74</v>
      </c>
      <c r="D762" t="s">
        <v>74</v>
      </c>
      <c r="E762" t="s">
        <v>74</v>
      </c>
      <c r="F762" t="s">
        <v>14592</v>
      </c>
      <c r="G762" t="s">
        <v>74</v>
      </c>
      <c r="H762" t="s">
        <v>74</v>
      </c>
      <c r="I762" t="s">
        <v>14593</v>
      </c>
      <c r="J762" t="s">
        <v>376</v>
      </c>
      <c r="K762" t="s">
        <v>74</v>
      </c>
      <c r="L762" t="s">
        <v>74</v>
      </c>
      <c r="M762" t="s">
        <v>78</v>
      </c>
      <c r="N762" t="s">
        <v>1434</v>
      </c>
      <c r="O762" t="s">
        <v>74</v>
      </c>
      <c r="P762" t="s">
        <v>74</v>
      </c>
      <c r="Q762" t="s">
        <v>74</v>
      </c>
      <c r="R762" t="s">
        <v>74</v>
      </c>
      <c r="S762" t="s">
        <v>74</v>
      </c>
      <c r="T762" t="s">
        <v>14594</v>
      </c>
      <c r="U762" t="s">
        <v>14595</v>
      </c>
      <c r="V762" t="s">
        <v>14596</v>
      </c>
      <c r="W762" t="s">
        <v>14597</v>
      </c>
      <c r="X762" t="s">
        <v>14598</v>
      </c>
      <c r="Y762" t="s">
        <v>14599</v>
      </c>
      <c r="Z762" t="s">
        <v>14600</v>
      </c>
      <c r="AA762" t="s">
        <v>14601</v>
      </c>
      <c r="AB762" t="s">
        <v>14602</v>
      </c>
      <c r="AC762" t="s">
        <v>14603</v>
      </c>
      <c r="AD762" t="s">
        <v>14604</v>
      </c>
      <c r="AE762" t="s">
        <v>14605</v>
      </c>
      <c r="AF762" t="s">
        <v>74</v>
      </c>
      <c r="AG762">
        <v>33</v>
      </c>
      <c r="AH762">
        <v>1</v>
      </c>
      <c r="AI762">
        <v>2</v>
      </c>
      <c r="AJ762">
        <v>0</v>
      </c>
      <c r="AK762">
        <v>2</v>
      </c>
      <c r="AL762" t="s">
        <v>384</v>
      </c>
      <c r="AM762" t="s">
        <v>385</v>
      </c>
      <c r="AN762" t="s">
        <v>386</v>
      </c>
      <c r="AO762" t="s">
        <v>387</v>
      </c>
      <c r="AP762" t="s">
        <v>388</v>
      </c>
      <c r="AQ762" t="s">
        <v>74</v>
      </c>
      <c r="AR762" t="s">
        <v>389</v>
      </c>
      <c r="AS762" t="s">
        <v>390</v>
      </c>
      <c r="AT762" t="s">
        <v>14606</v>
      </c>
      <c r="AU762">
        <v>2021</v>
      </c>
      <c r="AV762">
        <v>9</v>
      </c>
      <c r="AW762" t="s">
        <v>74</v>
      </c>
      <c r="AX762" t="s">
        <v>74</v>
      </c>
      <c r="AY762" t="s">
        <v>74</v>
      </c>
      <c r="AZ762" t="s">
        <v>74</v>
      </c>
      <c r="BA762" t="s">
        <v>74</v>
      </c>
      <c r="BB762" t="s">
        <v>74</v>
      </c>
      <c r="BC762" t="s">
        <v>74</v>
      </c>
      <c r="BD762" t="s">
        <v>14607</v>
      </c>
      <c r="BE762" t="s">
        <v>14608</v>
      </c>
      <c r="BF762" t="str">
        <f>HYPERLINK("http://dx.doi.org/10.3897/BDJ.9.e75951","http://dx.doi.org/10.3897/BDJ.9.e75951")</f>
        <v>http://dx.doi.org/10.3897/BDJ.9.e75951</v>
      </c>
      <c r="BG762" t="s">
        <v>74</v>
      </c>
      <c r="BH762" t="s">
        <v>74</v>
      </c>
      <c r="BI762">
        <v>15</v>
      </c>
      <c r="BJ762" t="s">
        <v>393</v>
      </c>
      <c r="BK762" t="s">
        <v>103</v>
      </c>
      <c r="BL762" t="s">
        <v>394</v>
      </c>
      <c r="BM762" t="s">
        <v>14609</v>
      </c>
      <c r="BN762">
        <v>35002367</v>
      </c>
      <c r="BO762" t="s">
        <v>292</v>
      </c>
      <c r="BP762" t="s">
        <v>74</v>
      </c>
      <c r="BQ762" t="s">
        <v>74</v>
      </c>
      <c r="BR762" t="s">
        <v>106</v>
      </c>
      <c r="BS762" t="s">
        <v>14610</v>
      </c>
      <c r="BT762" t="str">
        <f>HYPERLINK("https%3A%2F%2Fwww.webofscience.com%2Fwos%2Fwoscc%2Ffull-record%2FWOS:000738900600002","View Full Record in Web of Science")</f>
        <v>View Full Record in Web of Science</v>
      </c>
    </row>
    <row r="763" spans="1:72" x14ac:dyDescent="0.15">
      <c r="A763" t="s">
        <v>72</v>
      </c>
      <c r="B763" t="s">
        <v>14611</v>
      </c>
      <c r="C763" t="s">
        <v>74</v>
      </c>
      <c r="D763" t="s">
        <v>74</v>
      </c>
      <c r="E763" t="s">
        <v>74</v>
      </c>
      <c r="F763" t="s">
        <v>14612</v>
      </c>
      <c r="G763" t="s">
        <v>74</v>
      </c>
      <c r="H763" t="s">
        <v>74</v>
      </c>
      <c r="I763" t="s">
        <v>14613</v>
      </c>
      <c r="J763" t="s">
        <v>14614</v>
      </c>
      <c r="K763" t="s">
        <v>74</v>
      </c>
      <c r="L763" t="s">
        <v>74</v>
      </c>
      <c r="M763" t="s">
        <v>78</v>
      </c>
      <c r="N763" t="s">
        <v>79</v>
      </c>
      <c r="O763" t="s">
        <v>74</v>
      </c>
      <c r="P763" t="s">
        <v>74</v>
      </c>
      <c r="Q763" t="s">
        <v>74</v>
      </c>
      <c r="R763" t="s">
        <v>74</v>
      </c>
      <c r="S763" t="s">
        <v>74</v>
      </c>
      <c r="T763" t="s">
        <v>14615</v>
      </c>
      <c r="U763" t="s">
        <v>14616</v>
      </c>
      <c r="V763" t="s">
        <v>14617</v>
      </c>
      <c r="W763" t="s">
        <v>14618</v>
      </c>
      <c r="X763" t="s">
        <v>14619</v>
      </c>
      <c r="Y763" t="s">
        <v>14620</v>
      </c>
      <c r="Z763" t="s">
        <v>14621</v>
      </c>
      <c r="AA763" t="s">
        <v>14622</v>
      </c>
      <c r="AB763" t="s">
        <v>14623</v>
      </c>
      <c r="AC763" t="s">
        <v>74</v>
      </c>
      <c r="AD763" t="s">
        <v>74</v>
      </c>
      <c r="AE763" t="s">
        <v>74</v>
      </c>
      <c r="AF763" t="s">
        <v>74</v>
      </c>
      <c r="AG763">
        <v>61</v>
      </c>
      <c r="AH763">
        <v>3</v>
      </c>
      <c r="AI763">
        <v>3</v>
      </c>
      <c r="AJ763">
        <v>0</v>
      </c>
      <c r="AK763">
        <v>10</v>
      </c>
      <c r="AL763" t="s">
        <v>4129</v>
      </c>
      <c r="AM763" t="s">
        <v>4130</v>
      </c>
      <c r="AN763" t="s">
        <v>4131</v>
      </c>
      <c r="AO763" t="s">
        <v>14624</v>
      </c>
      <c r="AP763" t="s">
        <v>14625</v>
      </c>
      <c r="AQ763" t="s">
        <v>74</v>
      </c>
      <c r="AR763" t="s">
        <v>14626</v>
      </c>
      <c r="AS763" t="s">
        <v>14627</v>
      </c>
      <c r="AT763" t="s">
        <v>4645</v>
      </c>
      <c r="AU763">
        <v>2022</v>
      </c>
      <c r="AV763">
        <v>72</v>
      </c>
      <c r="AW763">
        <v>1</v>
      </c>
      <c r="AX763" t="s">
        <v>74</v>
      </c>
      <c r="AY763" t="s">
        <v>74</v>
      </c>
      <c r="AZ763" t="s">
        <v>74</v>
      </c>
      <c r="BA763" t="s">
        <v>74</v>
      </c>
      <c r="BB763">
        <v>79</v>
      </c>
      <c r="BC763">
        <v>97</v>
      </c>
      <c r="BD763" t="s">
        <v>74</v>
      </c>
      <c r="BE763" t="s">
        <v>14628</v>
      </c>
      <c r="BF763" t="str">
        <f>HYPERLINK("http://dx.doi.org/10.1007/s10236-021-01494-5","http://dx.doi.org/10.1007/s10236-021-01494-5")</f>
        <v>http://dx.doi.org/10.1007/s10236-021-01494-5</v>
      </c>
      <c r="BG763" t="s">
        <v>74</v>
      </c>
      <c r="BH763" t="s">
        <v>14486</v>
      </c>
      <c r="BI763">
        <v>19</v>
      </c>
      <c r="BJ763" t="s">
        <v>1131</v>
      </c>
      <c r="BK763" t="s">
        <v>103</v>
      </c>
      <c r="BL763" t="s">
        <v>1131</v>
      </c>
      <c r="BM763" t="s">
        <v>14629</v>
      </c>
      <c r="BN763" t="s">
        <v>74</v>
      </c>
      <c r="BO763" t="s">
        <v>74</v>
      </c>
      <c r="BP763" t="s">
        <v>74</v>
      </c>
      <c r="BQ763" t="s">
        <v>74</v>
      </c>
      <c r="BR763" t="s">
        <v>106</v>
      </c>
      <c r="BS763" t="s">
        <v>14630</v>
      </c>
      <c r="BT763" t="str">
        <f>HYPERLINK("https%3A%2F%2Fwww.webofscience.com%2Fwos%2Fwoscc%2Ffull-record%2FWOS:000735353300001","View Full Record in Web of Science")</f>
        <v>View Full Record in Web of Science</v>
      </c>
    </row>
    <row r="764" spans="1:72" x14ac:dyDescent="0.15">
      <c r="A764" t="s">
        <v>72</v>
      </c>
      <c r="B764" t="s">
        <v>14631</v>
      </c>
      <c r="C764" t="s">
        <v>74</v>
      </c>
      <c r="D764" t="s">
        <v>74</v>
      </c>
      <c r="E764" t="s">
        <v>74</v>
      </c>
      <c r="F764" t="s">
        <v>14632</v>
      </c>
      <c r="G764" t="s">
        <v>74</v>
      </c>
      <c r="H764" t="s">
        <v>74</v>
      </c>
      <c r="I764" t="s">
        <v>14633</v>
      </c>
      <c r="J764" t="s">
        <v>4683</v>
      </c>
      <c r="K764" t="s">
        <v>74</v>
      </c>
      <c r="L764" t="s">
        <v>74</v>
      </c>
      <c r="M764" t="s">
        <v>78</v>
      </c>
      <c r="N764" t="s">
        <v>79</v>
      </c>
      <c r="O764" t="s">
        <v>74</v>
      </c>
      <c r="P764" t="s">
        <v>74</v>
      </c>
      <c r="Q764" t="s">
        <v>74</v>
      </c>
      <c r="R764" t="s">
        <v>74</v>
      </c>
      <c r="S764" t="s">
        <v>74</v>
      </c>
      <c r="T764" t="s">
        <v>14634</v>
      </c>
      <c r="U764" t="s">
        <v>14635</v>
      </c>
      <c r="V764" t="s">
        <v>14636</v>
      </c>
      <c r="W764" t="s">
        <v>14637</v>
      </c>
      <c r="X764" t="s">
        <v>14638</v>
      </c>
      <c r="Y764" t="s">
        <v>14639</v>
      </c>
      <c r="Z764" t="s">
        <v>14640</v>
      </c>
      <c r="AA764" t="s">
        <v>14641</v>
      </c>
      <c r="AB764" t="s">
        <v>14642</v>
      </c>
      <c r="AC764" t="s">
        <v>14643</v>
      </c>
      <c r="AD764" t="s">
        <v>14644</v>
      </c>
      <c r="AE764" t="s">
        <v>14645</v>
      </c>
      <c r="AF764" t="s">
        <v>74</v>
      </c>
      <c r="AG764">
        <v>69</v>
      </c>
      <c r="AH764">
        <v>2</v>
      </c>
      <c r="AI764">
        <v>2</v>
      </c>
      <c r="AJ764">
        <v>14</v>
      </c>
      <c r="AK764">
        <v>44</v>
      </c>
      <c r="AL764" t="s">
        <v>310</v>
      </c>
      <c r="AM764" t="s">
        <v>311</v>
      </c>
      <c r="AN764" t="s">
        <v>312</v>
      </c>
      <c r="AO764" t="s">
        <v>4696</v>
      </c>
      <c r="AP764" t="s">
        <v>4697</v>
      </c>
      <c r="AQ764" t="s">
        <v>74</v>
      </c>
      <c r="AR764" t="s">
        <v>4698</v>
      </c>
      <c r="AS764" t="s">
        <v>4699</v>
      </c>
      <c r="AT764" t="s">
        <v>1153</v>
      </c>
      <c r="AU764">
        <v>2022</v>
      </c>
      <c r="AV764">
        <v>812</v>
      </c>
      <c r="AW764" t="s">
        <v>74</v>
      </c>
      <c r="AX764" t="s">
        <v>74</v>
      </c>
      <c r="AY764" t="s">
        <v>74</v>
      </c>
      <c r="AZ764" t="s">
        <v>74</v>
      </c>
      <c r="BA764" t="s">
        <v>74</v>
      </c>
      <c r="BB764" t="s">
        <v>74</v>
      </c>
      <c r="BC764" t="s">
        <v>74</v>
      </c>
      <c r="BD764">
        <v>152528</v>
      </c>
      <c r="BE764" t="s">
        <v>14646</v>
      </c>
      <c r="BF764" t="str">
        <f>HYPERLINK("http://dx.doi.org/10.1016/j.scitotenv.2021.152528","http://dx.doi.org/10.1016/j.scitotenv.2021.152528")</f>
        <v>http://dx.doi.org/10.1016/j.scitotenv.2021.152528</v>
      </c>
      <c r="BG764" t="s">
        <v>74</v>
      </c>
      <c r="BH764" t="s">
        <v>14486</v>
      </c>
      <c r="BI764">
        <v>8</v>
      </c>
      <c r="BJ764" t="s">
        <v>1560</v>
      </c>
      <c r="BK764" t="s">
        <v>103</v>
      </c>
      <c r="BL764" t="s">
        <v>1561</v>
      </c>
      <c r="BM764" t="s">
        <v>14647</v>
      </c>
      <c r="BN764">
        <v>34954161</v>
      </c>
      <c r="BO764" t="s">
        <v>74</v>
      </c>
      <c r="BP764" t="s">
        <v>74</v>
      </c>
      <c r="BQ764" t="s">
        <v>74</v>
      </c>
      <c r="BR764" t="s">
        <v>106</v>
      </c>
      <c r="BS764" t="s">
        <v>14648</v>
      </c>
      <c r="BT764" t="str">
        <f>HYPERLINK("https%3A%2F%2Fwww.webofscience.com%2Fwos%2Fwoscc%2Ffull-record%2FWOS:000740206400015","View Full Record in Web of Science")</f>
        <v>View Full Record in Web of Science</v>
      </c>
    </row>
    <row r="765" spans="1:72" x14ac:dyDescent="0.15">
      <c r="A765" t="s">
        <v>72</v>
      </c>
      <c r="B765" t="s">
        <v>14649</v>
      </c>
      <c r="C765" t="s">
        <v>74</v>
      </c>
      <c r="D765" t="s">
        <v>74</v>
      </c>
      <c r="E765" t="s">
        <v>74</v>
      </c>
      <c r="F765" t="s">
        <v>14650</v>
      </c>
      <c r="G765" t="s">
        <v>74</v>
      </c>
      <c r="H765" t="s">
        <v>74</v>
      </c>
      <c r="I765" t="s">
        <v>14651</v>
      </c>
      <c r="J765" t="s">
        <v>14652</v>
      </c>
      <c r="K765" t="s">
        <v>74</v>
      </c>
      <c r="L765" t="s">
        <v>74</v>
      </c>
      <c r="M765" t="s">
        <v>78</v>
      </c>
      <c r="N765" t="s">
        <v>79</v>
      </c>
      <c r="O765" t="s">
        <v>74</v>
      </c>
      <c r="P765" t="s">
        <v>74</v>
      </c>
      <c r="Q765" t="s">
        <v>74</v>
      </c>
      <c r="R765" t="s">
        <v>74</v>
      </c>
      <c r="S765" t="s">
        <v>74</v>
      </c>
      <c r="T765" t="s">
        <v>14653</v>
      </c>
      <c r="U765" t="s">
        <v>14654</v>
      </c>
      <c r="V765" t="s">
        <v>14655</v>
      </c>
      <c r="W765" t="s">
        <v>14656</v>
      </c>
      <c r="X765" t="s">
        <v>14657</v>
      </c>
      <c r="Y765" t="s">
        <v>14658</v>
      </c>
      <c r="Z765" t="s">
        <v>14659</v>
      </c>
      <c r="AA765" t="s">
        <v>74</v>
      </c>
      <c r="AB765" t="s">
        <v>14660</v>
      </c>
      <c r="AC765" t="s">
        <v>14661</v>
      </c>
      <c r="AD765" t="s">
        <v>14662</v>
      </c>
      <c r="AE765" t="s">
        <v>14663</v>
      </c>
      <c r="AF765" t="s">
        <v>74</v>
      </c>
      <c r="AG765">
        <v>92</v>
      </c>
      <c r="AH765">
        <v>4</v>
      </c>
      <c r="AI765">
        <v>4</v>
      </c>
      <c r="AJ765">
        <v>2</v>
      </c>
      <c r="AK765">
        <v>9</v>
      </c>
      <c r="AL765" t="s">
        <v>310</v>
      </c>
      <c r="AM765" t="s">
        <v>311</v>
      </c>
      <c r="AN765" t="s">
        <v>312</v>
      </c>
      <c r="AO765" t="s">
        <v>14664</v>
      </c>
      <c r="AP765" t="s">
        <v>14665</v>
      </c>
      <c r="AQ765" t="s">
        <v>74</v>
      </c>
      <c r="AR765" t="s">
        <v>14666</v>
      </c>
      <c r="AS765" t="s">
        <v>14667</v>
      </c>
      <c r="AT765" t="s">
        <v>99</v>
      </c>
      <c r="AU765">
        <v>2022</v>
      </c>
      <c r="AV765">
        <v>227</v>
      </c>
      <c r="AW765" t="s">
        <v>74</v>
      </c>
      <c r="AX765" t="s">
        <v>74</v>
      </c>
      <c r="AY765" t="s">
        <v>74</v>
      </c>
      <c r="AZ765" t="s">
        <v>74</v>
      </c>
      <c r="BA765" t="s">
        <v>74</v>
      </c>
      <c r="BB765" t="s">
        <v>74</v>
      </c>
      <c r="BC765" t="s">
        <v>74</v>
      </c>
      <c r="BD765">
        <v>103697</v>
      </c>
      <c r="BE765" t="s">
        <v>14668</v>
      </c>
      <c r="BF765" t="str">
        <f>HYPERLINK("http://dx.doi.org/10.1016/j.jmarsys.2021.103697","http://dx.doi.org/10.1016/j.jmarsys.2021.103697")</f>
        <v>http://dx.doi.org/10.1016/j.jmarsys.2021.103697</v>
      </c>
      <c r="BG765" t="s">
        <v>74</v>
      </c>
      <c r="BH765" t="s">
        <v>14486</v>
      </c>
      <c r="BI765">
        <v>14</v>
      </c>
      <c r="BJ765" t="s">
        <v>14669</v>
      </c>
      <c r="BK765" t="s">
        <v>103</v>
      </c>
      <c r="BL765" t="s">
        <v>14670</v>
      </c>
      <c r="BM765" t="s">
        <v>14671</v>
      </c>
      <c r="BN765" t="s">
        <v>74</v>
      </c>
      <c r="BO765" t="s">
        <v>1336</v>
      </c>
      <c r="BP765" t="s">
        <v>74</v>
      </c>
      <c r="BQ765" t="s">
        <v>74</v>
      </c>
      <c r="BR765" t="s">
        <v>106</v>
      </c>
      <c r="BS765" t="s">
        <v>14672</v>
      </c>
      <c r="BT765" t="str">
        <f>HYPERLINK("https%3A%2F%2Fwww.webofscience.com%2Fwos%2Fwoscc%2Ffull-record%2FWOS:000739090800002","View Full Record in Web of Science")</f>
        <v>View Full Record in Web of Science</v>
      </c>
    </row>
    <row r="766" spans="1:72" x14ac:dyDescent="0.15">
      <c r="A766" t="s">
        <v>72</v>
      </c>
      <c r="B766" t="s">
        <v>14673</v>
      </c>
      <c r="C766" t="s">
        <v>74</v>
      </c>
      <c r="D766" t="s">
        <v>74</v>
      </c>
      <c r="E766" t="s">
        <v>74</v>
      </c>
      <c r="F766" t="s">
        <v>14674</v>
      </c>
      <c r="G766" t="s">
        <v>74</v>
      </c>
      <c r="H766" t="s">
        <v>74</v>
      </c>
      <c r="I766" t="s">
        <v>14675</v>
      </c>
      <c r="J766" t="s">
        <v>620</v>
      </c>
      <c r="K766" t="s">
        <v>74</v>
      </c>
      <c r="L766" t="s">
        <v>74</v>
      </c>
      <c r="M766" t="s">
        <v>78</v>
      </c>
      <c r="N766" t="s">
        <v>79</v>
      </c>
      <c r="O766" t="s">
        <v>74</v>
      </c>
      <c r="P766" t="s">
        <v>74</v>
      </c>
      <c r="Q766" t="s">
        <v>74</v>
      </c>
      <c r="R766" t="s">
        <v>74</v>
      </c>
      <c r="S766" t="s">
        <v>74</v>
      </c>
      <c r="T766" t="s">
        <v>14676</v>
      </c>
      <c r="U766" t="s">
        <v>14677</v>
      </c>
      <c r="V766" t="s">
        <v>14678</v>
      </c>
      <c r="W766" t="s">
        <v>14679</v>
      </c>
      <c r="X766" t="s">
        <v>14680</v>
      </c>
      <c r="Y766" t="s">
        <v>14681</v>
      </c>
      <c r="Z766" t="s">
        <v>14682</v>
      </c>
      <c r="AA766" t="s">
        <v>14683</v>
      </c>
      <c r="AB766" t="s">
        <v>14684</v>
      </c>
      <c r="AC766" t="s">
        <v>14685</v>
      </c>
      <c r="AD766" t="s">
        <v>14686</v>
      </c>
      <c r="AE766" t="s">
        <v>14687</v>
      </c>
      <c r="AF766" t="s">
        <v>74</v>
      </c>
      <c r="AG766">
        <v>66</v>
      </c>
      <c r="AH766">
        <v>19</v>
      </c>
      <c r="AI766">
        <v>19</v>
      </c>
      <c r="AJ766">
        <v>9</v>
      </c>
      <c r="AK766">
        <v>37</v>
      </c>
      <c r="AL766" t="s">
        <v>605</v>
      </c>
      <c r="AM766" t="s">
        <v>606</v>
      </c>
      <c r="AN766" t="s">
        <v>607</v>
      </c>
      <c r="AO766" t="s">
        <v>633</v>
      </c>
      <c r="AP766" t="s">
        <v>634</v>
      </c>
      <c r="AQ766" t="s">
        <v>74</v>
      </c>
      <c r="AR766" t="s">
        <v>635</v>
      </c>
      <c r="AS766" t="s">
        <v>636</v>
      </c>
      <c r="AT766" t="s">
        <v>14688</v>
      </c>
      <c r="AU766">
        <v>2021</v>
      </c>
      <c r="AV766">
        <v>48</v>
      </c>
      <c r="AW766">
        <v>24</v>
      </c>
      <c r="AX766" t="s">
        <v>74</v>
      </c>
      <c r="AY766" t="s">
        <v>74</v>
      </c>
      <c r="AZ766" t="s">
        <v>74</v>
      </c>
      <c r="BA766" t="s">
        <v>74</v>
      </c>
      <c r="BB766" t="s">
        <v>74</v>
      </c>
      <c r="BC766" t="s">
        <v>74</v>
      </c>
      <c r="BD766" t="s">
        <v>14689</v>
      </c>
      <c r="BE766" t="s">
        <v>14690</v>
      </c>
      <c r="BF766" t="str">
        <f>HYPERLINK("http://dx.doi.org/10.1029/2021GL095590","http://dx.doi.org/10.1029/2021GL095590")</f>
        <v>http://dx.doi.org/10.1029/2021GL095590</v>
      </c>
      <c r="BG766" t="s">
        <v>74</v>
      </c>
      <c r="BH766" t="s">
        <v>74</v>
      </c>
      <c r="BI766">
        <v>12</v>
      </c>
      <c r="BJ766" t="s">
        <v>151</v>
      </c>
      <c r="BK766" t="s">
        <v>103</v>
      </c>
      <c r="BL766" t="s">
        <v>152</v>
      </c>
      <c r="BM766" t="s">
        <v>14691</v>
      </c>
      <c r="BN766" t="s">
        <v>74</v>
      </c>
      <c r="BO766" t="s">
        <v>1613</v>
      </c>
      <c r="BP766" t="s">
        <v>74</v>
      </c>
      <c r="BQ766" t="s">
        <v>74</v>
      </c>
      <c r="BR766" t="s">
        <v>106</v>
      </c>
      <c r="BS766" t="s">
        <v>14692</v>
      </c>
      <c r="BT766" t="str">
        <f>HYPERLINK("https%3A%2F%2Fwww.webofscience.com%2Fwos%2Fwoscc%2Ffull-record%2FWOS:000735897000008","View Full Record in Web of Science")</f>
        <v>View Full Record in Web of Science</v>
      </c>
    </row>
    <row r="767" spans="1:72" x14ac:dyDescent="0.15">
      <c r="A767" t="s">
        <v>72</v>
      </c>
      <c r="B767" t="s">
        <v>14693</v>
      </c>
      <c r="C767" t="s">
        <v>74</v>
      </c>
      <c r="D767" t="s">
        <v>74</v>
      </c>
      <c r="E767" t="s">
        <v>74</v>
      </c>
      <c r="F767" t="s">
        <v>14694</v>
      </c>
      <c r="G767" t="s">
        <v>74</v>
      </c>
      <c r="H767" t="s">
        <v>74</v>
      </c>
      <c r="I767" t="s">
        <v>14695</v>
      </c>
      <c r="J767" t="s">
        <v>620</v>
      </c>
      <c r="K767" t="s">
        <v>74</v>
      </c>
      <c r="L767" t="s">
        <v>74</v>
      </c>
      <c r="M767" t="s">
        <v>78</v>
      </c>
      <c r="N767" t="s">
        <v>79</v>
      </c>
      <c r="O767" t="s">
        <v>74</v>
      </c>
      <c r="P767" t="s">
        <v>74</v>
      </c>
      <c r="Q767" t="s">
        <v>74</v>
      </c>
      <c r="R767" t="s">
        <v>74</v>
      </c>
      <c r="S767" t="s">
        <v>74</v>
      </c>
      <c r="T767" t="s">
        <v>74</v>
      </c>
      <c r="U767" t="s">
        <v>14696</v>
      </c>
      <c r="V767" t="s">
        <v>14697</v>
      </c>
      <c r="W767" t="s">
        <v>14698</v>
      </c>
      <c r="X767" t="s">
        <v>14699</v>
      </c>
      <c r="Y767" t="s">
        <v>14700</v>
      </c>
      <c r="Z767" t="s">
        <v>14701</v>
      </c>
      <c r="AA767" t="s">
        <v>14702</v>
      </c>
      <c r="AB767" t="s">
        <v>14703</v>
      </c>
      <c r="AC767" t="s">
        <v>14704</v>
      </c>
      <c r="AD767" t="s">
        <v>14705</v>
      </c>
      <c r="AE767" t="s">
        <v>14706</v>
      </c>
      <c r="AF767" t="s">
        <v>74</v>
      </c>
      <c r="AG767">
        <v>63</v>
      </c>
      <c r="AH767">
        <v>10</v>
      </c>
      <c r="AI767">
        <v>10</v>
      </c>
      <c r="AJ767">
        <v>1</v>
      </c>
      <c r="AK767">
        <v>16</v>
      </c>
      <c r="AL767" t="s">
        <v>605</v>
      </c>
      <c r="AM767" t="s">
        <v>606</v>
      </c>
      <c r="AN767" t="s">
        <v>607</v>
      </c>
      <c r="AO767" t="s">
        <v>633</v>
      </c>
      <c r="AP767" t="s">
        <v>634</v>
      </c>
      <c r="AQ767" t="s">
        <v>74</v>
      </c>
      <c r="AR767" t="s">
        <v>635</v>
      </c>
      <c r="AS767" t="s">
        <v>636</v>
      </c>
      <c r="AT767" t="s">
        <v>14688</v>
      </c>
      <c r="AU767">
        <v>2021</v>
      </c>
      <c r="AV767">
        <v>48</v>
      </c>
      <c r="AW767">
        <v>24</v>
      </c>
      <c r="AX767" t="s">
        <v>74</v>
      </c>
      <c r="AY767" t="s">
        <v>74</v>
      </c>
      <c r="AZ767" t="s">
        <v>74</v>
      </c>
      <c r="BA767" t="s">
        <v>74</v>
      </c>
      <c r="BB767" t="s">
        <v>74</v>
      </c>
      <c r="BC767" t="s">
        <v>74</v>
      </c>
      <c r="BD767" t="s">
        <v>14707</v>
      </c>
      <c r="BE767" t="s">
        <v>14708</v>
      </c>
      <c r="BF767" t="str">
        <f>HYPERLINK("http://dx.doi.org/10.1029/2021GL095999","http://dx.doi.org/10.1029/2021GL095999")</f>
        <v>http://dx.doi.org/10.1029/2021GL095999</v>
      </c>
      <c r="BG767" t="s">
        <v>74</v>
      </c>
      <c r="BH767" t="s">
        <v>74</v>
      </c>
      <c r="BI767">
        <v>11</v>
      </c>
      <c r="BJ767" t="s">
        <v>151</v>
      </c>
      <c r="BK767" t="s">
        <v>103</v>
      </c>
      <c r="BL767" t="s">
        <v>152</v>
      </c>
      <c r="BM767" t="s">
        <v>14691</v>
      </c>
      <c r="BN767" t="s">
        <v>74</v>
      </c>
      <c r="BO767" t="s">
        <v>1613</v>
      </c>
      <c r="BP767" t="s">
        <v>74</v>
      </c>
      <c r="BQ767" t="s">
        <v>74</v>
      </c>
      <c r="BR767" t="s">
        <v>106</v>
      </c>
      <c r="BS767" t="s">
        <v>14709</v>
      </c>
      <c r="BT767" t="str">
        <f>HYPERLINK("https%3A%2F%2Fwww.webofscience.com%2Fwos%2Fwoscc%2Ffull-record%2FWOS:000735897000014","View Full Record in Web of Science")</f>
        <v>View Full Record in Web of Science</v>
      </c>
    </row>
    <row r="768" spans="1:72" x14ac:dyDescent="0.15">
      <c r="A768" t="s">
        <v>72</v>
      </c>
      <c r="B768" t="s">
        <v>14710</v>
      </c>
      <c r="C768" t="s">
        <v>74</v>
      </c>
      <c r="D768" t="s">
        <v>74</v>
      </c>
      <c r="E768" t="s">
        <v>74</v>
      </c>
      <c r="F768" t="s">
        <v>14711</v>
      </c>
      <c r="G768" t="s">
        <v>74</v>
      </c>
      <c r="H768" t="s">
        <v>74</v>
      </c>
      <c r="I768" t="s">
        <v>14712</v>
      </c>
      <c r="J768" t="s">
        <v>620</v>
      </c>
      <c r="K768" t="s">
        <v>74</v>
      </c>
      <c r="L768" t="s">
        <v>74</v>
      </c>
      <c r="M768" t="s">
        <v>78</v>
      </c>
      <c r="N768" t="s">
        <v>79</v>
      </c>
      <c r="O768" t="s">
        <v>74</v>
      </c>
      <c r="P768" t="s">
        <v>74</v>
      </c>
      <c r="Q768" t="s">
        <v>74</v>
      </c>
      <c r="R768" t="s">
        <v>74</v>
      </c>
      <c r="S768" t="s">
        <v>74</v>
      </c>
      <c r="T768" t="s">
        <v>14713</v>
      </c>
      <c r="U768" t="s">
        <v>14714</v>
      </c>
      <c r="V768" t="s">
        <v>14715</v>
      </c>
      <c r="W768" t="s">
        <v>14716</v>
      </c>
      <c r="X768" t="s">
        <v>14717</v>
      </c>
      <c r="Y768" t="s">
        <v>14718</v>
      </c>
      <c r="Z768" t="s">
        <v>14719</v>
      </c>
      <c r="AA768" t="s">
        <v>14720</v>
      </c>
      <c r="AB768" t="s">
        <v>14721</v>
      </c>
      <c r="AC768" t="s">
        <v>14722</v>
      </c>
      <c r="AD768" t="s">
        <v>14723</v>
      </c>
      <c r="AE768" t="s">
        <v>14724</v>
      </c>
      <c r="AF768" t="s">
        <v>74</v>
      </c>
      <c r="AG768">
        <v>32</v>
      </c>
      <c r="AH768">
        <v>25</v>
      </c>
      <c r="AI768">
        <v>25</v>
      </c>
      <c r="AJ768">
        <v>0</v>
      </c>
      <c r="AK768">
        <v>12</v>
      </c>
      <c r="AL768" t="s">
        <v>605</v>
      </c>
      <c r="AM768" t="s">
        <v>606</v>
      </c>
      <c r="AN768" t="s">
        <v>607</v>
      </c>
      <c r="AO768" t="s">
        <v>633</v>
      </c>
      <c r="AP768" t="s">
        <v>634</v>
      </c>
      <c r="AQ768" t="s">
        <v>74</v>
      </c>
      <c r="AR768" t="s">
        <v>635</v>
      </c>
      <c r="AS768" t="s">
        <v>636</v>
      </c>
      <c r="AT768" t="s">
        <v>14688</v>
      </c>
      <c r="AU768">
        <v>2021</v>
      </c>
      <c r="AV768">
        <v>48</v>
      </c>
      <c r="AW768">
        <v>24</v>
      </c>
      <c r="AX768" t="s">
        <v>74</v>
      </c>
      <c r="AY768" t="s">
        <v>74</v>
      </c>
      <c r="AZ768" t="s">
        <v>74</v>
      </c>
      <c r="BA768" t="s">
        <v>74</v>
      </c>
      <c r="BB768" t="s">
        <v>74</v>
      </c>
      <c r="BC768" t="s">
        <v>74</v>
      </c>
      <c r="BD768" t="s">
        <v>14725</v>
      </c>
      <c r="BE768" t="s">
        <v>14726</v>
      </c>
      <c r="BF768" t="str">
        <f>HYPERLINK("http://dx.doi.org/10.1029/2021GL095898","http://dx.doi.org/10.1029/2021GL095898")</f>
        <v>http://dx.doi.org/10.1029/2021GL095898</v>
      </c>
      <c r="BG768" t="s">
        <v>74</v>
      </c>
      <c r="BH768" t="s">
        <v>74</v>
      </c>
      <c r="BI768">
        <v>8</v>
      </c>
      <c r="BJ768" t="s">
        <v>151</v>
      </c>
      <c r="BK768" t="s">
        <v>103</v>
      </c>
      <c r="BL768" t="s">
        <v>152</v>
      </c>
      <c r="BM768" t="s">
        <v>14691</v>
      </c>
      <c r="BN768" t="s">
        <v>74</v>
      </c>
      <c r="BO768" t="s">
        <v>74</v>
      </c>
      <c r="BP768" t="s">
        <v>74</v>
      </c>
      <c r="BQ768" t="s">
        <v>74</v>
      </c>
      <c r="BR768" t="s">
        <v>106</v>
      </c>
      <c r="BS768" t="s">
        <v>14727</v>
      </c>
      <c r="BT768" t="str">
        <f>HYPERLINK("https%3A%2F%2Fwww.webofscience.com%2Fwos%2Fwoscc%2Ffull-record%2FWOS:000735897000009","View Full Record in Web of Science")</f>
        <v>View Full Record in Web of Science</v>
      </c>
    </row>
    <row r="769" spans="1:72" x14ac:dyDescent="0.15">
      <c r="A769" t="s">
        <v>72</v>
      </c>
      <c r="B769" t="s">
        <v>14728</v>
      </c>
      <c r="C769" t="s">
        <v>74</v>
      </c>
      <c r="D769" t="s">
        <v>74</v>
      </c>
      <c r="E769" t="s">
        <v>74</v>
      </c>
      <c r="F769" t="s">
        <v>14729</v>
      </c>
      <c r="G769" t="s">
        <v>74</v>
      </c>
      <c r="H769" t="s">
        <v>74</v>
      </c>
      <c r="I769" t="s">
        <v>14730</v>
      </c>
      <c r="J769" t="s">
        <v>620</v>
      </c>
      <c r="K769" t="s">
        <v>74</v>
      </c>
      <c r="L769" t="s">
        <v>74</v>
      </c>
      <c r="M769" t="s">
        <v>78</v>
      </c>
      <c r="N769" t="s">
        <v>79</v>
      </c>
      <c r="O769" t="s">
        <v>74</v>
      </c>
      <c r="P769" t="s">
        <v>74</v>
      </c>
      <c r="Q769" t="s">
        <v>74</v>
      </c>
      <c r="R769" t="s">
        <v>74</v>
      </c>
      <c r="S769" t="s">
        <v>74</v>
      </c>
      <c r="T769" t="s">
        <v>14731</v>
      </c>
      <c r="U769" t="s">
        <v>14732</v>
      </c>
      <c r="V769" t="s">
        <v>14733</v>
      </c>
      <c r="W769" t="s">
        <v>14734</v>
      </c>
      <c r="X769" t="s">
        <v>14735</v>
      </c>
      <c r="Y769" t="s">
        <v>14736</v>
      </c>
      <c r="Z769" t="s">
        <v>14737</v>
      </c>
      <c r="AA769" t="s">
        <v>14738</v>
      </c>
      <c r="AB769" t="s">
        <v>14739</v>
      </c>
      <c r="AC769" t="s">
        <v>14740</v>
      </c>
      <c r="AD769" t="s">
        <v>14741</v>
      </c>
      <c r="AE769" t="s">
        <v>14742</v>
      </c>
      <c r="AF769" t="s">
        <v>74</v>
      </c>
      <c r="AG769">
        <v>61</v>
      </c>
      <c r="AH769">
        <v>8</v>
      </c>
      <c r="AI769">
        <v>8</v>
      </c>
      <c r="AJ769">
        <v>1</v>
      </c>
      <c r="AK769">
        <v>13</v>
      </c>
      <c r="AL769" t="s">
        <v>605</v>
      </c>
      <c r="AM769" t="s">
        <v>606</v>
      </c>
      <c r="AN769" t="s">
        <v>607</v>
      </c>
      <c r="AO769" t="s">
        <v>633</v>
      </c>
      <c r="AP769" t="s">
        <v>634</v>
      </c>
      <c r="AQ769" t="s">
        <v>74</v>
      </c>
      <c r="AR769" t="s">
        <v>635</v>
      </c>
      <c r="AS769" t="s">
        <v>636</v>
      </c>
      <c r="AT769" t="s">
        <v>14688</v>
      </c>
      <c r="AU769">
        <v>2021</v>
      </c>
      <c r="AV769">
        <v>48</v>
      </c>
      <c r="AW769">
        <v>24</v>
      </c>
      <c r="AX769" t="s">
        <v>74</v>
      </c>
      <c r="AY769" t="s">
        <v>74</v>
      </c>
      <c r="AZ769" t="s">
        <v>74</v>
      </c>
      <c r="BA769" t="s">
        <v>74</v>
      </c>
      <c r="BB769" t="s">
        <v>74</v>
      </c>
      <c r="BC769" t="s">
        <v>74</v>
      </c>
      <c r="BD769" t="s">
        <v>14743</v>
      </c>
      <c r="BE769" t="s">
        <v>14744</v>
      </c>
      <c r="BF769" t="str">
        <f>HYPERLINK("http://dx.doi.org/10.1029/2021GL094966","http://dx.doi.org/10.1029/2021GL094966")</f>
        <v>http://dx.doi.org/10.1029/2021GL094966</v>
      </c>
      <c r="BG769" t="s">
        <v>74</v>
      </c>
      <c r="BH769" t="s">
        <v>74</v>
      </c>
      <c r="BI769">
        <v>10</v>
      </c>
      <c r="BJ769" t="s">
        <v>151</v>
      </c>
      <c r="BK769" t="s">
        <v>103</v>
      </c>
      <c r="BL769" t="s">
        <v>152</v>
      </c>
      <c r="BM769" t="s">
        <v>14691</v>
      </c>
      <c r="BN769" t="s">
        <v>74</v>
      </c>
      <c r="BO769" t="s">
        <v>640</v>
      </c>
      <c r="BP769" t="s">
        <v>74</v>
      </c>
      <c r="BQ769" t="s">
        <v>74</v>
      </c>
      <c r="BR769" t="s">
        <v>106</v>
      </c>
      <c r="BS769" t="s">
        <v>14745</v>
      </c>
      <c r="BT769" t="str">
        <f>HYPERLINK("https%3A%2F%2Fwww.webofscience.com%2Fwos%2Fwoscc%2Ffull-record%2FWOS:000735897000024","View Full Record in Web of Science")</f>
        <v>View Full Record in Web of Science</v>
      </c>
    </row>
    <row r="770" spans="1:72" x14ac:dyDescent="0.15">
      <c r="A770" t="s">
        <v>72</v>
      </c>
      <c r="B770" t="s">
        <v>14746</v>
      </c>
      <c r="C770" t="s">
        <v>74</v>
      </c>
      <c r="D770" t="s">
        <v>74</v>
      </c>
      <c r="E770" t="s">
        <v>74</v>
      </c>
      <c r="F770" t="s">
        <v>14747</v>
      </c>
      <c r="G770" t="s">
        <v>74</v>
      </c>
      <c r="H770" t="s">
        <v>74</v>
      </c>
      <c r="I770" t="s">
        <v>14748</v>
      </c>
      <c r="J770" t="s">
        <v>620</v>
      </c>
      <c r="K770" t="s">
        <v>74</v>
      </c>
      <c r="L770" t="s">
        <v>74</v>
      </c>
      <c r="M770" t="s">
        <v>78</v>
      </c>
      <c r="N770" t="s">
        <v>79</v>
      </c>
      <c r="O770" t="s">
        <v>74</v>
      </c>
      <c r="P770" t="s">
        <v>74</v>
      </c>
      <c r="Q770" t="s">
        <v>74</v>
      </c>
      <c r="R770" t="s">
        <v>74</v>
      </c>
      <c r="S770" t="s">
        <v>74</v>
      </c>
      <c r="T770" t="s">
        <v>14749</v>
      </c>
      <c r="U770" t="s">
        <v>14750</v>
      </c>
      <c r="V770" t="s">
        <v>14751</v>
      </c>
      <c r="W770" t="s">
        <v>14752</v>
      </c>
      <c r="X770" t="s">
        <v>14753</v>
      </c>
      <c r="Y770" t="s">
        <v>14754</v>
      </c>
      <c r="Z770" t="s">
        <v>14755</v>
      </c>
      <c r="AA770" t="s">
        <v>14756</v>
      </c>
      <c r="AB770" t="s">
        <v>14757</v>
      </c>
      <c r="AC770" t="s">
        <v>14758</v>
      </c>
      <c r="AD770" t="s">
        <v>14759</v>
      </c>
      <c r="AE770" t="s">
        <v>14760</v>
      </c>
      <c r="AF770" t="s">
        <v>74</v>
      </c>
      <c r="AG770">
        <v>55</v>
      </c>
      <c r="AH770">
        <v>5</v>
      </c>
      <c r="AI770">
        <v>5</v>
      </c>
      <c r="AJ770">
        <v>6</v>
      </c>
      <c r="AK770">
        <v>18</v>
      </c>
      <c r="AL770" t="s">
        <v>605</v>
      </c>
      <c r="AM770" t="s">
        <v>606</v>
      </c>
      <c r="AN770" t="s">
        <v>607</v>
      </c>
      <c r="AO770" t="s">
        <v>633</v>
      </c>
      <c r="AP770" t="s">
        <v>634</v>
      </c>
      <c r="AQ770" t="s">
        <v>74</v>
      </c>
      <c r="AR770" t="s">
        <v>635</v>
      </c>
      <c r="AS770" t="s">
        <v>636</v>
      </c>
      <c r="AT770" t="s">
        <v>14688</v>
      </c>
      <c r="AU770">
        <v>2021</v>
      </c>
      <c r="AV770">
        <v>48</v>
      </c>
      <c r="AW770">
        <v>24</v>
      </c>
      <c r="AX770" t="s">
        <v>74</v>
      </c>
      <c r="AY770" t="s">
        <v>74</v>
      </c>
      <c r="AZ770" t="s">
        <v>74</v>
      </c>
      <c r="BA770" t="s">
        <v>74</v>
      </c>
      <c r="BB770" t="s">
        <v>74</v>
      </c>
      <c r="BC770" t="s">
        <v>74</v>
      </c>
      <c r="BD770" t="s">
        <v>14761</v>
      </c>
      <c r="BE770" t="s">
        <v>14762</v>
      </c>
      <c r="BF770" t="str">
        <f>HYPERLINK("http://dx.doi.org/10.1029/2021GL096215","http://dx.doi.org/10.1029/2021GL096215")</f>
        <v>http://dx.doi.org/10.1029/2021GL096215</v>
      </c>
      <c r="BG770" t="s">
        <v>74</v>
      </c>
      <c r="BH770" t="s">
        <v>74</v>
      </c>
      <c r="BI770">
        <v>10</v>
      </c>
      <c r="BJ770" t="s">
        <v>151</v>
      </c>
      <c r="BK770" t="s">
        <v>103</v>
      </c>
      <c r="BL770" t="s">
        <v>152</v>
      </c>
      <c r="BM770" t="s">
        <v>14691</v>
      </c>
      <c r="BN770" t="s">
        <v>74</v>
      </c>
      <c r="BO770" t="s">
        <v>74</v>
      </c>
      <c r="BP770" t="s">
        <v>74</v>
      </c>
      <c r="BQ770" t="s">
        <v>74</v>
      </c>
      <c r="BR770" t="s">
        <v>106</v>
      </c>
      <c r="BS770" t="s">
        <v>14763</v>
      </c>
      <c r="BT770" t="str">
        <f>HYPERLINK("https%3A%2F%2Fwww.webofscience.com%2Fwos%2Fwoscc%2Ffull-record%2FWOS:000735897000054","View Full Record in Web of Science")</f>
        <v>View Full Record in Web of Science</v>
      </c>
    </row>
    <row r="771" spans="1:72" x14ac:dyDescent="0.15">
      <c r="A771" t="s">
        <v>72</v>
      </c>
      <c r="B771" t="s">
        <v>14764</v>
      </c>
      <c r="C771" t="s">
        <v>74</v>
      </c>
      <c r="D771" t="s">
        <v>74</v>
      </c>
      <c r="E771" t="s">
        <v>74</v>
      </c>
      <c r="F771" t="s">
        <v>14765</v>
      </c>
      <c r="G771" t="s">
        <v>74</v>
      </c>
      <c r="H771" t="s">
        <v>74</v>
      </c>
      <c r="I771" t="s">
        <v>14766</v>
      </c>
      <c r="J771" t="s">
        <v>620</v>
      </c>
      <c r="K771" t="s">
        <v>74</v>
      </c>
      <c r="L771" t="s">
        <v>74</v>
      </c>
      <c r="M771" t="s">
        <v>78</v>
      </c>
      <c r="N771" t="s">
        <v>79</v>
      </c>
      <c r="O771" t="s">
        <v>74</v>
      </c>
      <c r="P771" t="s">
        <v>74</v>
      </c>
      <c r="Q771" t="s">
        <v>74</v>
      </c>
      <c r="R771" t="s">
        <v>74</v>
      </c>
      <c r="S771" t="s">
        <v>74</v>
      </c>
      <c r="T771" t="s">
        <v>14767</v>
      </c>
      <c r="U771" t="s">
        <v>14768</v>
      </c>
      <c r="V771" t="s">
        <v>14769</v>
      </c>
      <c r="W771" t="s">
        <v>14770</v>
      </c>
      <c r="X771" t="s">
        <v>14771</v>
      </c>
      <c r="Y771" t="s">
        <v>14772</v>
      </c>
      <c r="Z771" t="s">
        <v>14773</v>
      </c>
      <c r="AA771" t="s">
        <v>14774</v>
      </c>
      <c r="AB771" t="s">
        <v>14775</v>
      </c>
      <c r="AC771" t="s">
        <v>14776</v>
      </c>
      <c r="AD771" t="s">
        <v>14777</v>
      </c>
      <c r="AE771" t="s">
        <v>14778</v>
      </c>
      <c r="AF771" t="s">
        <v>74</v>
      </c>
      <c r="AG771">
        <v>29</v>
      </c>
      <c r="AH771">
        <v>5</v>
      </c>
      <c r="AI771">
        <v>5</v>
      </c>
      <c r="AJ771">
        <v>1</v>
      </c>
      <c r="AK771">
        <v>11</v>
      </c>
      <c r="AL771" t="s">
        <v>605</v>
      </c>
      <c r="AM771" t="s">
        <v>606</v>
      </c>
      <c r="AN771" t="s">
        <v>607</v>
      </c>
      <c r="AO771" t="s">
        <v>633</v>
      </c>
      <c r="AP771" t="s">
        <v>634</v>
      </c>
      <c r="AQ771" t="s">
        <v>74</v>
      </c>
      <c r="AR771" t="s">
        <v>635</v>
      </c>
      <c r="AS771" t="s">
        <v>636</v>
      </c>
      <c r="AT771" t="s">
        <v>14688</v>
      </c>
      <c r="AU771">
        <v>2021</v>
      </c>
      <c r="AV771">
        <v>48</v>
      </c>
      <c r="AW771">
        <v>24</v>
      </c>
      <c r="AX771" t="s">
        <v>74</v>
      </c>
      <c r="AY771" t="s">
        <v>74</v>
      </c>
      <c r="AZ771" t="s">
        <v>74</v>
      </c>
      <c r="BA771" t="s">
        <v>74</v>
      </c>
      <c r="BB771" t="s">
        <v>74</v>
      </c>
      <c r="BC771" t="s">
        <v>74</v>
      </c>
      <c r="BD771" t="s">
        <v>14779</v>
      </c>
      <c r="BE771" t="s">
        <v>14780</v>
      </c>
      <c r="BF771" t="str">
        <f>HYPERLINK("http://dx.doi.org/10.1029/2021GL096020","http://dx.doi.org/10.1029/2021GL096020")</f>
        <v>http://dx.doi.org/10.1029/2021GL096020</v>
      </c>
      <c r="BG771" t="s">
        <v>74</v>
      </c>
      <c r="BH771" t="s">
        <v>74</v>
      </c>
      <c r="BI771">
        <v>9</v>
      </c>
      <c r="BJ771" t="s">
        <v>151</v>
      </c>
      <c r="BK771" t="s">
        <v>103</v>
      </c>
      <c r="BL771" t="s">
        <v>152</v>
      </c>
      <c r="BM771" t="s">
        <v>14691</v>
      </c>
      <c r="BN771" t="s">
        <v>74</v>
      </c>
      <c r="BO771" t="s">
        <v>74</v>
      </c>
      <c r="BP771" t="s">
        <v>74</v>
      </c>
      <c r="BQ771" t="s">
        <v>74</v>
      </c>
      <c r="BR771" t="s">
        <v>106</v>
      </c>
      <c r="BS771" t="s">
        <v>14781</v>
      </c>
      <c r="BT771" t="str">
        <f>HYPERLINK("https%3A%2F%2Fwww.webofscience.com%2Fwos%2Fwoscc%2Ffull-record%2FWOS:000735897000044","View Full Record in Web of Science")</f>
        <v>View Full Record in Web of Science</v>
      </c>
    </row>
    <row r="772" spans="1:72" x14ac:dyDescent="0.15">
      <c r="A772" t="s">
        <v>72</v>
      </c>
      <c r="B772" t="s">
        <v>14782</v>
      </c>
      <c r="C772" t="s">
        <v>74</v>
      </c>
      <c r="D772" t="s">
        <v>74</v>
      </c>
      <c r="E772" t="s">
        <v>74</v>
      </c>
      <c r="F772" t="s">
        <v>14783</v>
      </c>
      <c r="G772" t="s">
        <v>74</v>
      </c>
      <c r="H772" t="s">
        <v>74</v>
      </c>
      <c r="I772" t="s">
        <v>14784</v>
      </c>
      <c r="J772" t="s">
        <v>620</v>
      </c>
      <c r="K772" t="s">
        <v>74</v>
      </c>
      <c r="L772" t="s">
        <v>74</v>
      </c>
      <c r="M772" t="s">
        <v>78</v>
      </c>
      <c r="N772" t="s">
        <v>79</v>
      </c>
      <c r="O772" t="s">
        <v>74</v>
      </c>
      <c r="P772" t="s">
        <v>74</v>
      </c>
      <c r="Q772" t="s">
        <v>74</v>
      </c>
      <c r="R772" t="s">
        <v>74</v>
      </c>
      <c r="S772" t="s">
        <v>74</v>
      </c>
      <c r="T772" t="s">
        <v>14785</v>
      </c>
      <c r="U772" t="s">
        <v>14786</v>
      </c>
      <c r="V772" t="s">
        <v>14787</v>
      </c>
      <c r="W772" t="s">
        <v>14788</v>
      </c>
      <c r="X772" t="s">
        <v>14789</v>
      </c>
      <c r="Y772" t="s">
        <v>14790</v>
      </c>
      <c r="Z772" t="s">
        <v>14791</v>
      </c>
      <c r="AA772" t="s">
        <v>14792</v>
      </c>
      <c r="AB772" t="s">
        <v>14793</v>
      </c>
      <c r="AC772" t="s">
        <v>14794</v>
      </c>
      <c r="AD772" t="s">
        <v>14795</v>
      </c>
      <c r="AE772" t="s">
        <v>14796</v>
      </c>
      <c r="AF772" t="s">
        <v>74</v>
      </c>
      <c r="AG772">
        <v>26</v>
      </c>
      <c r="AH772">
        <v>7</v>
      </c>
      <c r="AI772">
        <v>7</v>
      </c>
      <c r="AJ772">
        <v>0</v>
      </c>
      <c r="AK772">
        <v>2</v>
      </c>
      <c r="AL772" t="s">
        <v>605</v>
      </c>
      <c r="AM772" t="s">
        <v>606</v>
      </c>
      <c r="AN772" t="s">
        <v>607</v>
      </c>
      <c r="AO772" t="s">
        <v>633</v>
      </c>
      <c r="AP772" t="s">
        <v>634</v>
      </c>
      <c r="AQ772" t="s">
        <v>74</v>
      </c>
      <c r="AR772" t="s">
        <v>635</v>
      </c>
      <c r="AS772" t="s">
        <v>636</v>
      </c>
      <c r="AT772" t="s">
        <v>14688</v>
      </c>
      <c r="AU772">
        <v>2021</v>
      </c>
      <c r="AV772">
        <v>48</v>
      </c>
      <c r="AW772">
        <v>24</v>
      </c>
      <c r="AX772" t="s">
        <v>74</v>
      </c>
      <c r="AY772" t="s">
        <v>74</v>
      </c>
      <c r="AZ772" t="s">
        <v>74</v>
      </c>
      <c r="BA772" t="s">
        <v>74</v>
      </c>
      <c r="BB772" t="s">
        <v>74</v>
      </c>
      <c r="BC772" t="s">
        <v>74</v>
      </c>
      <c r="BD772" t="s">
        <v>14797</v>
      </c>
      <c r="BE772" t="s">
        <v>14798</v>
      </c>
      <c r="BF772" t="str">
        <f>HYPERLINK("http://dx.doi.org/10.1029/2021GL097065","http://dx.doi.org/10.1029/2021GL097065")</f>
        <v>http://dx.doi.org/10.1029/2021GL097065</v>
      </c>
      <c r="BG772" t="s">
        <v>74</v>
      </c>
      <c r="BH772" t="s">
        <v>74</v>
      </c>
      <c r="BI772">
        <v>9</v>
      </c>
      <c r="BJ772" t="s">
        <v>151</v>
      </c>
      <c r="BK772" t="s">
        <v>103</v>
      </c>
      <c r="BL772" t="s">
        <v>152</v>
      </c>
      <c r="BM772" t="s">
        <v>14691</v>
      </c>
      <c r="BN772" t="s">
        <v>74</v>
      </c>
      <c r="BO772" t="s">
        <v>640</v>
      </c>
      <c r="BP772" t="s">
        <v>74</v>
      </c>
      <c r="BQ772" t="s">
        <v>74</v>
      </c>
      <c r="BR772" t="s">
        <v>106</v>
      </c>
      <c r="BS772" t="s">
        <v>14799</v>
      </c>
      <c r="BT772" t="str">
        <f>HYPERLINK("https%3A%2F%2Fwww.webofscience.com%2Fwos%2Fwoscc%2Ffull-record%2FWOS:000735897000006","View Full Record in Web of Science")</f>
        <v>View Full Record in Web of Science</v>
      </c>
    </row>
    <row r="773" spans="1:72" x14ac:dyDescent="0.15">
      <c r="A773" t="s">
        <v>72</v>
      </c>
      <c r="B773" t="s">
        <v>8648</v>
      </c>
      <c r="C773" t="s">
        <v>74</v>
      </c>
      <c r="D773" t="s">
        <v>74</v>
      </c>
      <c r="E773" t="s">
        <v>74</v>
      </c>
      <c r="F773" t="s">
        <v>8649</v>
      </c>
      <c r="G773" t="s">
        <v>74</v>
      </c>
      <c r="H773" t="s">
        <v>74</v>
      </c>
      <c r="I773" t="s">
        <v>14800</v>
      </c>
      <c r="J773" t="s">
        <v>14801</v>
      </c>
      <c r="K773" t="s">
        <v>74</v>
      </c>
      <c r="L773" t="s">
        <v>74</v>
      </c>
      <c r="M773" t="s">
        <v>78</v>
      </c>
      <c r="N773" t="s">
        <v>79</v>
      </c>
      <c r="O773" t="s">
        <v>74</v>
      </c>
      <c r="P773" t="s">
        <v>74</v>
      </c>
      <c r="Q773" t="s">
        <v>74</v>
      </c>
      <c r="R773" t="s">
        <v>74</v>
      </c>
      <c r="S773" t="s">
        <v>74</v>
      </c>
      <c r="T773" t="s">
        <v>14802</v>
      </c>
      <c r="U773" t="s">
        <v>14803</v>
      </c>
      <c r="V773" t="s">
        <v>14804</v>
      </c>
      <c r="W773" t="s">
        <v>14805</v>
      </c>
      <c r="X773" t="s">
        <v>8654</v>
      </c>
      <c r="Y773" t="s">
        <v>14806</v>
      </c>
      <c r="Z773" t="s">
        <v>14807</v>
      </c>
      <c r="AA773" t="s">
        <v>74</v>
      </c>
      <c r="AB773" t="s">
        <v>74</v>
      </c>
      <c r="AC773" t="s">
        <v>14808</v>
      </c>
      <c r="AD773" t="s">
        <v>14809</v>
      </c>
      <c r="AE773" t="s">
        <v>14810</v>
      </c>
      <c r="AF773" t="s">
        <v>74</v>
      </c>
      <c r="AG773">
        <v>60</v>
      </c>
      <c r="AH773">
        <v>8</v>
      </c>
      <c r="AI773">
        <v>12</v>
      </c>
      <c r="AJ773">
        <v>9</v>
      </c>
      <c r="AK773">
        <v>39</v>
      </c>
      <c r="AL773" t="s">
        <v>310</v>
      </c>
      <c r="AM773" t="s">
        <v>311</v>
      </c>
      <c r="AN773" t="s">
        <v>312</v>
      </c>
      <c r="AO773" t="s">
        <v>14811</v>
      </c>
      <c r="AP773" t="s">
        <v>14812</v>
      </c>
      <c r="AQ773" t="s">
        <v>74</v>
      </c>
      <c r="AR773" t="s">
        <v>14813</v>
      </c>
      <c r="AS773" t="s">
        <v>14814</v>
      </c>
      <c r="AT773" t="s">
        <v>840</v>
      </c>
      <c r="AU773">
        <v>2022</v>
      </c>
      <c r="AV773">
        <v>605</v>
      </c>
      <c r="AW773" t="s">
        <v>74</v>
      </c>
      <c r="AX773" t="s">
        <v>74</v>
      </c>
      <c r="AY773" t="s">
        <v>74</v>
      </c>
      <c r="AZ773" t="s">
        <v>74</v>
      </c>
      <c r="BA773" t="s">
        <v>74</v>
      </c>
      <c r="BB773" t="s">
        <v>74</v>
      </c>
      <c r="BC773" t="s">
        <v>74</v>
      </c>
      <c r="BD773">
        <v>127354</v>
      </c>
      <c r="BE773" t="s">
        <v>14815</v>
      </c>
      <c r="BF773" t="str">
        <f>HYPERLINK("http://dx.doi.org/10.1016/j.jhydrol.2021.127354","http://dx.doi.org/10.1016/j.jhydrol.2021.127354")</f>
        <v>http://dx.doi.org/10.1016/j.jhydrol.2021.127354</v>
      </c>
      <c r="BG773" t="s">
        <v>74</v>
      </c>
      <c r="BH773" t="s">
        <v>14486</v>
      </c>
      <c r="BI773">
        <v>14</v>
      </c>
      <c r="BJ773" t="s">
        <v>14816</v>
      </c>
      <c r="BK773" t="s">
        <v>103</v>
      </c>
      <c r="BL773" t="s">
        <v>14817</v>
      </c>
      <c r="BM773" t="s">
        <v>14818</v>
      </c>
      <c r="BN773" t="s">
        <v>74</v>
      </c>
      <c r="BO773" t="s">
        <v>948</v>
      </c>
      <c r="BP773" t="s">
        <v>74</v>
      </c>
      <c r="BQ773" t="s">
        <v>74</v>
      </c>
      <c r="BR773" t="s">
        <v>106</v>
      </c>
      <c r="BS773" t="s">
        <v>14819</v>
      </c>
      <c r="BT773" t="str">
        <f>HYPERLINK("https%3A%2F%2Fwww.webofscience.com%2Fwos%2Fwoscc%2Ffull-record%2FWOS:000752448600001","View Full Record in Web of Science")</f>
        <v>View Full Record in Web of Science</v>
      </c>
    </row>
    <row r="774" spans="1:72" x14ac:dyDescent="0.15">
      <c r="A774" t="s">
        <v>72</v>
      </c>
      <c r="B774" t="s">
        <v>14820</v>
      </c>
      <c r="C774" t="s">
        <v>74</v>
      </c>
      <c r="D774" t="s">
        <v>74</v>
      </c>
      <c r="E774" t="s">
        <v>74</v>
      </c>
      <c r="F774" t="s">
        <v>14821</v>
      </c>
      <c r="G774" t="s">
        <v>74</v>
      </c>
      <c r="H774" t="s">
        <v>74</v>
      </c>
      <c r="I774" t="s">
        <v>14822</v>
      </c>
      <c r="J774" t="s">
        <v>592</v>
      </c>
      <c r="K774" t="s">
        <v>74</v>
      </c>
      <c r="L774" t="s">
        <v>74</v>
      </c>
      <c r="M774" t="s">
        <v>78</v>
      </c>
      <c r="N774" t="s">
        <v>79</v>
      </c>
      <c r="O774" t="s">
        <v>74</v>
      </c>
      <c r="P774" t="s">
        <v>74</v>
      </c>
      <c r="Q774" t="s">
        <v>74</v>
      </c>
      <c r="R774" t="s">
        <v>74</v>
      </c>
      <c r="S774" t="s">
        <v>74</v>
      </c>
      <c r="T774" t="s">
        <v>14823</v>
      </c>
      <c r="U774" t="s">
        <v>14824</v>
      </c>
      <c r="V774" t="s">
        <v>14825</v>
      </c>
      <c r="W774" t="s">
        <v>14826</v>
      </c>
      <c r="X774" t="s">
        <v>14827</v>
      </c>
      <c r="Y774" t="s">
        <v>14828</v>
      </c>
      <c r="Z774" t="s">
        <v>14829</v>
      </c>
      <c r="AA774" t="s">
        <v>74</v>
      </c>
      <c r="AB774" t="s">
        <v>74</v>
      </c>
      <c r="AC774" t="s">
        <v>14830</v>
      </c>
      <c r="AD774" t="s">
        <v>14831</v>
      </c>
      <c r="AE774" t="s">
        <v>14832</v>
      </c>
      <c r="AF774" t="s">
        <v>74</v>
      </c>
      <c r="AG774">
        <v>58</v>
      </c>
      <c r="AH774">
        <v>1</v>
      </c>
      <c r="AI774">
        <v>1</v>
      </c>
      <c r="AJ774">
        <v>0</v>
      </c>
      <c r="AK774">
        <v>10</v>
      </c>
      <c r="AL774" t="s">
        <v>605</v>
      </c>
      <c r="AM774" t="s">
        <v>606</v>
      </c>
      <c r="AN774" t="s">
        <v>607</v>
      </c>
      <c r="AO774" t="s">
        <v>608</v>
      </c>
      <c r="AP774" t="s">
        <v>609</v>
      </c>
      <c r="AQ774" t="s">
        <v>74</v>
      </c>
      <c r="AR774" t="s">
        <v>610</v>
      </c>
      <c r="AS774" t="s">
        <v>611</v>
      </c>
      <c r="AT774" t="s">
        <v>14833</v>
      </c>
      <c r="AU774">
        <v>2021</v>
      </c>
      <c r="AV774">
        <v>126</v>
      </c>
      <c r="AW774">
        <v>24</v>
      </c>
      <c r="AX774" t="s">
        <v>74</v>
      </c>
      <c r="AY774" t="s">
        <v>74</v>
      </c>
      <c r="AZ774" t="s">
        <v>74</v>
      </c>
      <c r="BA774" t="s">
        <v>74</v>
      </c>
      <c r="BB774" t="s">
        <v>74</v>
      </c>
      <c r="BC774" t="s">
        <v>74</v>
      </c>
      <c r="BD774" t="s">
        <v>14834</v>
      </c>
      <c r="BE774" t="s">
        <v>14835</v>
      </c>
      <c r="BF774" t="str">
        <f>HYPERLINK("http://dx.doi.org/10.1029/2021JD035721","http://dx.doi.org/10.1029/2021JD035721")</f>
        <v>http://dx.doi.org/10.1029/2021JD035721</v>
      </c>
      <c r="BG774" t="s">
        <v>74</v>
      </c>
      <c r="BH774" t="s">
        <v>74</v>
      </c>
      <c r="BI774">
        <v>13</v>
      </c>
      <c r="BJ774" t="s">
        <v>514</v>
      </c>
      <c r="BK774" t="s">
        <v>103</v>
      </c>
      <c r="BL774" t="s">
        <v>514</v>
      </c>
      <c r="BM774" t="s">
        <v>14836</v>
      </c>
      <c r="BN774" t="s">
        <v>74</v>
      </c>
      <c r="BO774" t="s">
        <v>948</v>
      </c>
      <c r="BP774" t="s">
        <v>74</v>
      </c>
      <c r="BQ774" t="s">
        <v>74</v>
      </c>
      <c r="BR774" t="s">
        <v>106</v>
      </c>
      <c r="BS774" t="s">
        <v>14837</v>
      </c>
      <c r="BT774" t="str">
        <f>HYPERLINK("https%3A%2F%2Fwww.webofscience.com%2Fwos%2Fwoscc%2Ffull-record%2FWOS:000735878700034","View Full Record in Web of Science")</f>
        <v>View Full Record in Web of Science</v>
      </c>
    </row>
    <row r="775" spans="1:72" x14ac:dyDescent="0.15">
      <c r="A775" t="s">
        <v>72</v>
      </c>
      <c r="B775" t="s">
        <v>14838</v>
      </c>
      <c r="C775" t="s">
        <v>74</v>
      </c>
      <c r="D775" t="s">
        <v>74</v>
      </c>
      <c r="E775" t="s">
        <v>74</v>
      </c>
      <c r="F775" t="s">
        <v>14839</v>
      </c>
      <c r="G775" t="s">
        <v>74</v>
      </c>
      <c r="H775" t="s">
        <v>74</v>
      </c>
      <c r="I775" t="s">
        <v>14840</v>
      </c>
      <c r="J775" t="s">
        <v>592</v>
      </c>
      <c r="K775" t="s">
        <v>74</v>
      </c>
      <c r="L775" t="s">
        <v>74</v>
      </c>
      <c r="M775" t="s">
        <v>78</v>
      </c>
      <c r="N775" t="s">
        <v>79</v>
      </c>
      <c r="O775" t="s">
        <v>74</v>
      </c>
      <c r="P775" t="s">
        <v>74</v>
      </c>
      <c r="Q775" t="s">
        <v>74</v>
      </c>
      <c r="R775" t="s">
        <v>74</v>
      </c>
      <c r="S775" t="s">
        <v>74</v>
      </c>
      <c r="T775" t="s">
        <v>14841</v>
      </c>
      <c r="U775" t="s">
        <v>14842</v>
      </c>
      <c r="V775" t="s">
        <v>14843</v>
      </c>
      <c r="W775" t="s">
        <v>14844</v>
      </c>
      <c r="X775" t="s">
        <v>14845</v>
      </c>
      <c r="Y775" t="s">
        <v>14846</v>
      </c>
      <c r="Z775" t="s">
        <v>14847</v>
      </c>
      <c r="AA775" t="s">
        <v>14848</v>
      </c>
      <c r="AB775" t="s">
        <v>14849</v>
      </c>
      <c r="AC775" t="s">
        <v>14850</v>
      </c>
      <c r="AD775" t="s">
        <v>14851</v>
      </c>
      <c r="AE775" t="s">
        <v>14852</v>
      </c>
      <c r="AF775" t="s">
        <v>74</v>
      </c>
      <c r="AG775">
        <v>113</v>
      </c>
      <c r="AH775">
        <v>23</v>
      </c>
      <c r="AI775">
        <v>23</v>
      </c>
      <c r="AJ775">
        <v>2</v>
      </c>
      <c r="AK775">
        <v>14</v>
      </c>
      <c r="AL775" t="s">
        <v>605</v>
      </c>
      <c r="AM775" t="s">
        <v>606</v>
      </c>
      <c r="AN775" t="s">
        <v>607</v>
      </c>
      <c r="AO775" t="s">
        <v>608</v>
      </c>
      <c r="AP775" t="s">
        <v>609</v>
      </c>
      <c r="AQ775" t="s">
        <v>74</v>
      </c>
      <c r="AR775" t="s">
        <v>610</v>
      </c>
      <c r="AS775" t="s">
        <v>611</v>
      </c>
      <c r="AT775" t="s">
        <v>14833</v>
      </c>
      <c r="AU775">
        <v>2021</v>
      </c>
      <c r="AV775">
        <v>126</v>
      </c>
      <c r="AW775">
        <v>24</v>
      </c>
      <c r="AX775" t="s">
        <v>74</v>
      </c>
      <c r="AY775" t="s">
        <v>74</v>
      </c>
      <c r="AZ775" t="s">
        <v>74</v>
      </c>
      <c r="BA775" t="s">
        <v>74</v>
      </c>
      <c r="BB775" t="s">
        <v>74</v>
      </c>
      <c r="BC775" t="s">
        <v>74</v>
      </c>
      <c r="BD775" t="s">
        <v>14853</v>
      </c>
      <c r="BE775" t="s">
        <v>14854</v>
      </c>
      <c r="BF775" t="str">
        <f>HYPERLINK("http://dx.doi.org/10.1029/2021JD035294","http://dx.doi.org/10.1029/2021JD035294")</f>
        <v>http://dx.doi.org/10.1029/2021JD035294</v>
      </c>
      <c r="BG775" t="s">
        <v>74</v>
      </c>
      <c r="BH775" t="s">
        <v>74</v>
      </c>
      <c r="BI775">
        <v>25</v>
      </c>
      <c r="BJ775" t="s">
        <v>514</v>
      </c>
      <c r="BK775" t="s">
        <v>103</v>
      </c>
      <c r="BL775" t="s">
        <v>514</v>
      </c>
      <c r="BM775" t="s">
        <v>14836</v>
      </c>
      <c r="BN775" t="s">
        <v>74</v>
      </c>
      <c r="BO775" t="s">
        <v>4950</v>
      </c>
      <c r="BP775" t="s">
        <v>74</v>
      </c>
      <c r="BQ775" t="s">
        <v>74</v>
      </c>
      <c r="BR775" t="s">
        <v>106</v>
      </c>
      <c r="BS775" t="s">
        <v>14855</v>
      </c>
      <c r="BT775" t="str">
        <f>HYPERLINK("https%3A%2F%2Fwww.webofscience.com%2Fwos%2Fwoscc%2Ffull-record%2FWOS:000735878700016","View Full Record in Web of Science")</f>
        <v>View Full Record in Web of Science</v>
      </c>
    </row>
    <row r="776" spans="1:72" x14ac:dyDescent="0.15">
      <c r="A776" t="s">
        <v>72</v>
      </c>
      <c r="B776" t="s">
        <v>14856</v>
      </c>
      <c r="C776" t="s">
        <v>74</v>
      </c>
      <c r="D776" t="s">
        <v>74</v>
      </c>
      <c r="E776" t="s">
        <v>74</v>
      </c>
      <c r="F776" t="s">
        <v>14857</v>
      </c>
      <c r="G776" t="s">
        <v>74</v>
      </c>
      <c r="H776" t="s">
        <v>74</v>
      </c>
      <c r="I776" t="s">
        <v>14858</v>
      </c>
      <c r="J776" t="s">
        <v>1265</v>
      </c>
      <c r="K776" t="s">
        <v>74</v>
      </c>
      <c r="L776" t="s">
        <v>74</v>
      </c>
      <c r="M776" t="s">
        <v>78</v>
      </c>
      <c r="N776" t="s">
        <v>14859</v>
      </c>
      <c r="O776" t="s">
        <v>74</v>
      </c>
      <c r="P776" t="s">
        <v>74</v>
      </c>
      <c r="Q776" t="s">
        <v>74</v>
      </c>
      <c r="R776" t="s">
        <v>74</v>
      </c>
      <c r="S776" t="s">
        <v>74</v>
      </c>
      <c r="T776" t="s">
        <v>74</v>
      </c>
      <c r="U776" t="s">
        <v>74</v>
      </c>
      <c r="V776" t="s">
        <v>74</v>
      </c>
      <c r="W776" t="s">
        <v>14860</v>
      </c>
      <c r="X776" t="s">
        <v>3236</v>
      </c>
      <c r="Y776" t="s">
        <v>14861</v>
      </c>
      <c r="Z776" t="s">
        <v>14862</v>
      </c>
      <c r="AA776" t="s">
        <v>74</v>
      </c>
      <c r="AB776" t="s">
        <v>14863</v>
      </c>
      <c r="AC776" t="s">
        <v>14864</v>
      </c>
      <c r="AD776" t="s">
        <v>5373</v>
      </c>
      <c r="AE776" t="s">
        <v>74</v>
      </c>
      <c r="AF776" t="s">
        <v>74</v>
      </c>
      <c r="AG776">
        <v>14</v>
      </c>
      <c r="AH776">
        <v>0</v>
      </c>
      <c r="AI776">
        <v>0</v>
      </c>
      <c r="AJ776">
        <v>2</v>
      </c>
      <c r="AK776">
        <v>14</v>
      </c>
      <c r="AL776" t="s">
        <v>171</v>
      </c>
      <c r="AM776" t="s">
        <v>172</v>
      </c>
      <c r="AN776" t="s">
        <v>173</v>
      </c>
      <c r="AO776" t="s">
        <v>1278</v>
      </c>
      <c r="AP776" t="s">
        <v>1279</v>
      </c>
      <c r="AQ776" t="s">
        <v>74</v>
      </c>
      <c r="AR776" t="s">
        <v>1280</v>
      </c>
      <c r="AS776" t="s">
        <v>1281</v>
      </c>
      <c r="AT776" t="s">
        <v>99</v>
      </c>
      <c r="AU776">
        <v>2022</v>
      </c>
      <c r="AV776">
        <v>28</v>
      </c>
      <c r="AW776">
        <v>5</v>
      </c>
      <c r="AX776" t="s">
        <v>74</v>
      </c>
      <c r="AY776" t="s">
        <v>74</v>
      </c>
      <c r="AZ776" t="s">
        <v>74</v>
      </c>
      <c r="BA776" t="s">
        <v>74</v>
      </c>
      <c r="BB776" t="s">
        <v>14865</v>
      </c>
      <c r="BC776" t="s">
        <v>14866</v>
      </c>
      <c r="BD776" t="s">
        <v>74</v>
      </c>
      <c r="BE776" t="s">
        <v>14867</v>
      </c>
      <c r="BF776" t="str">
        <f>HYPERLINK("http://dx.doi.org/10.1111/gcb.16048","http://dx.doi.org/10.1111/gcb.16048")</f>
        <v>http://dx.doi.org/10.1111/gcb.16048</v>
      </c>
      <c r="BG776" t="s">
        <v>74</v>
      </c>
      <c r="BH776" t="s">
        <v>14486</v>
      </c>
      <c r="BI776">
        <v>2</v>
      </c>
      <c r="BJ776" t="s">
        <v>1283</v>
      </c>
      <c r="BK776" t="s">
        <v>103</v>
      </c>
      <c r="BL776" t="s">
        <v>1082</v>
      </c>
      <c r="BM776" t="s">
        <v>14868</v>
      </c>
      <c r="BN776">
        <v>34927317</v>
      </c>
      <c r="BO776" t="s">
        <v>1613</v>
      </c>
      <c r="BP776" t="s">
        <v>74</v>
      </c>
      <c r="BQ776" t="s">
        <v>74</v>
      </c>
      <c r="BR776" t="s">
        <v>106</v>
      </c>
      <c r="BS776" t="s">
        <v>14869</v>
      </c>
      <c r="BT776" t="str">
        <f>HYPERLINK("https%3A%2F%2Fwww.webofscience.com%2Fwos%2Fwoscc%2Ffull-record%2FWOS:000734600100001","View Full Record in Web of Science")</f>
        <v>View Full Record in Web of Science</v>
      </c>
    </row>
    <row r="777" spans="1:72" x14ac:dyDescent="0.15">
      <c r="A777" t="s">
        <v>72</v>
      </c>
      <c r="B777" t="s">
        <v>14870</v>
      </c>
      <c r="C777" t="s">
        <v>74</v>
      </c>
      <c r="D777" t="s">
        <v>74</v>
      </c>
      <c r="E777" t="s">
        <v>74</v>
      </c>
      <c r="F777" t="s">
        <v>14871</v>
      </c>
      <c r="G777" t="s">
        <v>74</v>
      </c>
      <c r="H777" t="s">
        <v>74</v>
      </c>
      <c r="I777" t="s">
        <v>14872</v>
      </c>
      <c r="J777" t="s">
        <v>1265</v>
      </c>
      <c r="K777" t="s">
        <v>74</v>
      </c>
      <c r="L777" t="s">
        <v>74</v>
      </c>
      <c r="M777" t="s">
        <v>78</v>
      </c>
      <c r="N777" t="s">
        <v>14859</v>
      </c>
      <c r="O777" t="s">
        <v>74</v>
      </c>
      <c r="P777" t="s">
        <v>74</v>
      </c>
      <c r="Q777" t="s">
        <v>74</v>
      </c>
      <c r="R777" t="s">
        <v>74</v>
      </c>
      <c r="S777" t="s">
        <v>74</v>
      </c>
      <c r="T777" t="s">
        <v>74</v>
      </c>
      <c r="U777" t="s">
        <v>74</v>
      </c>
      <c r="V777" t="s">
        <v>74</v>
      </c>
      <c r="W777" t="s">
        <v>14873</v>
      </c>
      <c r="X777" t="s">
        <v>14874</v>
      </c>
      <c r="Y777" t="s">
        <v>14875</v>
      </c>
      <c r="Z777" t="s">
        <v>14876</v>
      </c>
      <c r="AA777" t="s">
        <v>14877</v>
      </c>
      <c r="AB777" t="s">
        <v>14878</v>
      </c>
      <c r="AC777" t="s">
        <v>74</v>
      </c>
      <c r="AD777" t="s">
        <v>74</v>
      </c>
      <c r="AE777" t="s">
        <v>74</v>
      </c>
      <c r="AF777" t="s">
        <v>74</v>
      </c>
      <c r="AG777">
        <v>10</v>
      </c>
      <c r="AH777">
        <v>1</v>
      </c>
      <c r="AI777">
        <v>1</v>
      </c>
      <c r="AJ777">
        <v>0</v>
      </c>
      <c r="AK777">
        <v>4</v>
      </c>
      <c r="AL777" t="s">
        <v>171</v>
      </c>
      <c r="AM777" t="s">
        <v>172</v>
      </c>
      <c r="AN777" t="s">
        <v>173</v>
      </c>
      <c r="AO777" t="s">
        <v>1278</v>
      </c>
      <c r="AP777" t="s">
        <v>1279</v>
      </c>
      <c r="AQ777" t="s">
        <v>74</v>
      </c>
      <c r="AR777" t="s">
        <v>1280</v>
      </c>
      <c r="AS777" t="s">
        <v>1281</v>
      </c>
      <c r="AT777" t="s">
        <v>99</v>
      </c>
      <c r="AU777">
        <v>2022</v>
      </c>
      <c r="AV777">
        <v>28</v>
      </c>
      <c r="AW777">
        <v>5</v>
      </c>
      <c r="AX777" t="s">
        <v>74</v>
      </c>
      <c r="AY777" t="s">
        <v>74</v>
      </c>
      <c r="AZ777" t="s">
        <v>74</v>
      </c>
      <c r="BA777" t="s">
        <v>74</v>
      </c>
      <c r="BB777">
        <v>1703</v>
      </c>
      <c r="BC777">
        <v>1704</v>
      </c>
      <c r="BD777" t="s">
        <v>74</v>
      </c>
      <c r="BE777" t="s">
        <v>14879</v>
      </c>
      <c r="BF777" t="str">
        <f>HYPERLINK("http://dx.doi.org/10.1111/gcb.16047","http://dx.doi.org/10.1111/gcb.16047")</f>
        <v>http://dx.doi.org/10.1111/gcb.16047</v>
      </c>
      <c r="BG777" t="s">
        <v>74</v>
      </c>
      <c r="BH777" t="s">
        <v>14486</v>
      </c>
      <c r="BI777">
        <v>2</v>
      </c>
      <c r="BJ777" t="s">
        <v>1283</v>
      </c>
      <c r="BK777" t="s">
        <v>103</v>
      </c>
      <c r="BL777" t="s">
        <v>1082</v>
      </c>
      <c r="BM777" t="s">
        <v>14868</v>
      </c>
      <c r="BN777">
        <v>34923724</v>
      </c>
      <c r="BO777" t="s">
        <v>1613</v>
      </c>
      <c r="BP777" t="s">
        <v>74</v>
      </c>
      <c r="BQ777" t="s">
        <v>74</v>
      </c>
      <c r="BR777" t="s">
        <v>106</v>
      </c>
      <c r="BS777" t="s">
        <v>14880</v>
      </c>
      <c r="BT777" t="str">
        <f>HYPERLINK("https%3A%2F%2Fwww.webofscience.com%2Fwos%2Fwoscc%2Ffull-record%2FWOS:000734548700001","View Full Record in Web of Science")</f>
        <v>View Full Record in Web of Science</v>
      </c>
    </row>
    <row r="778" spans="1:72" x14ac:dyDescent="0.15">
      <c r="A778" t="s">
        <v>72</v>
      </c>
      <c r="B778" t="s">
        <v>14881</v>
      </c>
      <c r="C778" t="s">
        <v>74</v>
      </c>
      <c r="D778" t="s">
        <v>74</v>
      </c>
      <c r="E778" t="s">
        <v>74</v>
      </c>
      <c r="F778" t="s">
        <v>14882</v>
      </c>
      <c r="G778" t="s">
        <v>74</v>
      </c>
      <c r="H778" t="s">
        <v>74</v>
      </c>
      <c r="I778" t="s">
        <v>14883</v>
      </c>
      <c r="J778" t="s">
        <v>592</v>
      </c>
      <c r="K778" t="s">
        <v>74</v>
      </c>
      <c r="L778" t="s">
        <v>74</v>
      </c>
      <c r="M778" t="s">
        <v>78</v>
      </c>
      <c r="N778" t="s">
        <v>79</v>
      </c>
      <c r="O778" t="s">
        <v>74</v>
      </c>
      <c r="P778" t="s">
        <v>74</v>
      </c>
      <c r="Q778" t="s">
        <v>74</v>
      </c>
      <c r="R778" t="s">
        <v>74</v>
      </c>
      <c r="S778" t="s">
        <v>74</v>
      </c>
      <c r="T778" t="s">
        <v>14884</v>
      </c>
      <c r="U778" t="s">
        <v>14885</v>
      </c>
      <c r="V778" t="s">
        <v>14886</v>
      </c>
      <c r="W778" t="s">
        <v>14887</v>
      </c>
      <c r="X778" t="s">
        <v>14888</v>
      </c>
      <c r="Y778" t="s">
        <v>14889</v>
      </c>
      <c r="Z778" t="s">
        <v>14890</v>
      </c>
      <c r="AA778" t="s">
        <v>14891</v>
      </c>
      <c r="AB778" t="s">
        <v>14892</v>
      </c>
      <c r="AC778" t="s">
        <v>14893</v>
      </c>
      <c r="AD778" t="s">
        <v>14894</v>
      </c>
      <c r="AE778" t="s">
        <v>14895</v>
      </c>
      <c r="AF778" t="s">
        <v>74</v>
      </c>
      <c r="AG778">
        <v>38</v>
      </c>
      <c r="AH778">
        <v>1</v>
      </c>
      <c r="AI778">
        <v>1</v>
      </c>
      <c r="AJ778">
        <v>1</v>
      </c>
      <c r="AK778">
        <v>3</v>
      </c>
      <c r="AL778" t="s">
        <v>605</v>
      </c>
      <c r="AM778" t="s">
        <v>606</v>
      </c>
      <c r="AN778" t="s">
        <v>607</v>
      </c>
      <c r="AO778" t="s">
        <v>608</v>
      </c>
      <c r="AP778" t="s">
        <v>609</v>
      </c>
      <c r="AQ778" t="s">
        <v>74</v>
      </c>
      <c r="AR778" t="s">
        <v>610</v>
      </c>
      <c r="AS778" t="s">
        <v>611</v>
      </c>
      <c r="AT778" t="s">
        <v>14833</v>
      </c>
      <c r="AU778">
        <v>2021</v>
      </c>
      <c r="AV778">
        <v>126</v>
      </c>
      <c r="AW778">
        <v>24</v>
      </c>
      <c r="AX778" t="s">
        <v>74</v>
      </c>
      <c r="AY778" t="s">
        <v>74</v>
      </c>
      <c r="AZ778" t="s">
        <v>74</v>
      </c>
      <c r="BA778" t="s">
        <v>74</v>
      </c>
      <c r="BB778" t="s">
        <v>74</v>
      </c>
      <c r="BC778" t="s">
        <v>74</v>
      </c>
      <c r="BD778" t="s">
        <v>14896</v>
      </c>
      <c r="BE778" t="s">
        <v>14897</v>
      </c>
      <c r="BF778" t="str">
        <f>HYPERLINK("http://dx.doi.org/10.1029/2021JD035842","http://dx.doi.org/10.1029/2021JD035842")</f>
        <v>http://dx.doi.org/10.1029/2021JD035842</v>
      </c>
      <c r="BG778" t="s">
        <v>74</v>
      </c>
      <c r="BH778" t="s">
        <v>74</v>
      </c>
      <c r="BI778">
        <v>12</v>
      </c>
      <c r="BJ778" t="s">
        <v>514</v>
      </c>
      <c r="BK778" t="s">
        <v>103</v>
      </c>
      <c r="BL778" t="s">
        <v>514</v>
      </c>
      <c r="BM778" t="s">
        <v>14836</v>
      </c>
      <c r="BN778" t="s">
        <v>74</v>
      </c>
      <c r="BO778" t="s">
        <v>74</v>
      </c>
      <c r="BP778" t="s">
        <v>74</v>
      </c>
      <c r="BQ778" t="s">
        <v>74</v>
      </c>
      <c r="BR778" t="s">
        <v>106</v>
      </c>
      <c r="BS778" t="s">
        <v>14898</v>
      </c>
      <c r="BT778" t="str">
        <f>HYPERLINK("https%3A%2F%2Fwww.webofscience.com%2Fwos%2Fwoscc%2Ffull-record%2FWOS:000735878700027","View Full Record in Web of Science")</f>
        <v>View Full Record in Web of Science</v>
      </c>
    </row>
    <row r="779" spans="1:72" x14ac:dyDescent="0.15">
      <c r="A779" t="s">
        <v>72</v>
      </c>
      <c r="B779" t="s">
        <v>14899</v>
      </c>
      <c r="C779" t="s">
        <v>74</v>
      </c>
      <c r="D779" t="s">
        <v>74</v>
      </c>
      <c r="E779" t="s">
        <v>74</v>
      </c>
      <c r="F779" t="s">
        <v>14900</v>
      </c>
      <c r="G779" t="s">
        <v>74</v>
      </c>
      <c r="H779" t="s">
        <v>74</v>
      </c>
      <c r="I779" t="s">
        <v>14901</v>
      </c>
      <c r="J779" t="s">
        <v>1063</v>
      </c>
      <c r="K779" t="s">
        <v>74</v>
      </c>
      <c r="L779" t="s">
        <v>74</v>
      </c>
      <c r="M779" t="s">
        <v>78</v>
      </c>
      <c r="N779" t="s">
        <v>79</v>
      </c>
      <c r="O779" t="s">
        <v>74</v>
      </c>
      <c r="P779" t="s">
        <v>74</v>
      </c>
      <c r="Q779" t="s">
        <v>74</v>
      </c>
      <c r="R779" t="s">
        <v>74</v>
      </c>
      <c r="S779" t="s">
        <v>74</v>
      </c>
      <c r="T779" t="s">
        <v>14902</v>
      </c>
      <c r="U779" t="s">
        <v>14903</v>
      </c>
      <c r="V779" t="s">
        <v>14904</v>
      </c>
      <c r="W779" t="s">
        <v>14905</v>
      </c>
      <c r="X779" t="s">
        <v>14906</v>
      </c>
      <c r="Y779" t="s">
        <v>14907</v>
      </c>
      <c r="Z779" t="s">
        <v>14908</v>
      </c>
      <c r="AA779" t="s">
        <v>14909</v>
      </c>
      <c r="AB779" t="s">
        <v>74</v>
      </c>
      <c r="AC779" t="s">
        <v>14910</v>
      </c>
      <c r="AD779" t="s">
        <v>14911</v>
      </c>
      <c r="AE779" t="s">
        <v>14912</v>
      </c>
      <c r="AF779" t="s">
        <v>74</v>
      </c>
      <c r="AG779">
        <v>81</v>
      </c>
      <c r="AH779">
        <v>1</v>
      </c>
      <c r="AI779">
        <v>1</v>
      </c>
      <c r="AJ779">
        <v>1</v>
      </c>
      <c r="AK779">
        <v>9</v>
      </c>
      <c r="AL779" t="s">
        <v>1074</v>
      </c>
      <c r="AM779" t="s">
        <v>506</v>
      </c>
      <c r="AN779" t="s">
        <v>1075</v>
      </c>
      <c r="AO779" t="s">
        <v>1076</v>
      </c>
      <c r="AP779" t="s">
        <v>1077</v>
      </c>
      <c r="AQ779" t="s">
        <v>74</v>
      </c>
      <c r="AR779" t="s">
        <v>1078</v>
      </c>
      <c r="AS779" t="s">
        <v>1079</v>
      </c>
      <c r="AT779" t="s">
        <v>840</v>
      </c>
      <c r="AU779">
        <v>2022</v>
      </c>
      <c r="AV779">
        <v>45</v>
      </c>
      <c r="AW779">
        <v>2</v>
      </c>
      <c r="AX779" t="s">
        <v>74</v>
      </c>
      <c r="AY779" t="s">
        <v>74</v>
      </c>
      <c r="AZ779" t="s">
        <v>74</v>
      </c>
      <c r="BA779" t="s">
        <v>74</v>
      </c>
      <c r="BB779">
        <v>345</v>
      </c>
      <c r="BC779">
        <v>358</v>
      </c>
      <c r="BD779" t="s">
        <v>74</v>
      </c>
      <c r="BE779" t="s">
        <v>14913</v>
      </c>
      <c r="BF779" t="str">
        <f>HYPERLINK("http://dx.doi.org/10.1007/s00300-021-02992-4","http://dx.doi.org/10.1007/s00300-021-02992-4")</f>
        <v>http://dx.doi.org/10.1007/s00300-021-02992-4</v>
      </c>
      <c r="BG779" t="s">
        <v>74</v>
      </c>
      <c r="BH779" t="s">
        <v>14486</v>
      </c>
      <c r="BI779">
        <v>14</v>
      </c>
      <c r="BJ779" t="s">
        <v>1081</v>
      </c>
      <c r="BK779" t="s">
        <v>103</v>
      </c>
      <c r="BL779" t="s">
        <v>1082</v>
      </c>
      <c r="BM779" t="s">
        <v>4821</v>
      </c>
      <c r="BN779">
        <v>35221461</v>
      </c>
      <c r="BO779" t="s">
        <v>749</v>
      </c>
      <c r="BP779" t="s">
        <v>74</v>
      </c>
      <c r="BQ779" t="s">
        <v>74</v>
      </c>
      <c r="BR779" t="s">
        <v>106</v>
      </c>
      <c r="BS779" t="s">
        <v>14914</v>
      </c>
      <c r="BT779" t="str">
        <f>HYPERLINK("https%3A%2F%2Fwww.webofscience.com%2Fwos%2Fwoscc%2Ffull-record%2FWOS:000734346200001","View Full Record in Web of Science")</f>
        <v>View Full Record in Web of Science</v>
      </c>
    </row>
    <row r="780" spans="1:72" x14ac:dyDescent="0.15">
      <c r="A780" t="s">
        <v>72</v>
      </c>
      <c r="B780" t="s">
        <v>14915</v>
      </c>
      <c r="C780" t="s">
        <v>74</v>
      </c>
      <c r="D780" t="s">
        <v>74</v>
      </c>
      <c r="E780" t="s">
        <v>74</v>
      </c>
      <c r="F780" t="s">
        <v>14916</v>
      </c>
      <c r="G780" t="s">
        <v>74</v>
      </c>
      <c r="H780" t="s">
        <v>74</v>
      </c>
      <c r="I780" t="s">
        <v>14917</v>
      </c>
      <c r="J780" t="s">
        <v>6919</v>
      </c>
      <c r="K780" t="s">
        <v>74</v>
      </c>
      <c r="L780" t="s">
        <v>74</v>
      </c>
      <c r="M780" t="s">
        <v>78</v>
      </c>
      <c r="N780" t="s">
        <v>79</v>
      </c>
      <c r="O780" t="s">
        <v>74</v>
      </c>
      <c r="P780" t="s">
        <v>74</v>
      </c>
      <c r="Q780" t="s">
        <v>74</v>
      </c>
      <c r="R780" t="s">
        <v>74</v>
      </c>
      <c r="S780" t="s">
        <v>74</v>
      </c>
      <c r="T780" t="s">
        <v>14918</v>
      </c>
      <c r="U780" t="s">
        <v>14919</v>
      </c>
      <c r="V780" t="s">
        <v>14920</v>
      </c>
      <c r="W780" t="s">
        <v>14921</v>
      </c>
      <c r="X780" t="s">
        <v>14922</v>
      </c>
      <c r="Y780" t="s">
        <v>14923</v>
      </c>
      <c r="Z780" t="s">
        <v>14924</v>
      </c>
      <c r="AA780" t="s">
        <v>14925</v>
      </c>
      <c r="AB780" t="s">
        <v>14926</v>
      </c>
      <c r="AC780" t="s">
        <v>14927</v>
      </c>
      <c r="AD780" t="s">
        <v>14928</v>
      </c>
      <c r="AE780" t="s">
        <v>14929</v>
      </c>
      <c r="AF780" t="s">
        <v>74</v>
      </c>
      <c r="AG780">
        <v>102</v>
      </c>
      <c r="AH780">
        <v>8</v>
      </c>
      <c r="AI780">
        <v>8</v>
      </c>
      <c r="AJ780">
        <v>8</v>
      </c>
      <c r="AK780">
        <v>50</v>
      </c>
      <c r="AL780" t="s">
        <v>310</v>
      </c>
      <c r="AM780" t="s">
        <v>311</v>
      </c>
      <c r="AN780" t="s">
        <v>312</v>
      </c>
      <c r="AO780" t="s">
        <v>6932</v>
      </c>
      <c r="AP780" t="s">
        <v>6933</v>
      </c>
      <c r="AQ780" t="s">
        <v>74</v>
      </c>
      <c r="AR780" t="s">
        <v>6934</v>
      </c>
      <c r="AS780" t="s">
        <v>6935</v>
      </c>
      <c r="AT780" t="s">
        <v>1153</v>
      </c>
      <c r="AU780">
        <v>2022</v>
      </c>
      <c r="AV780">
        <v>426</v>
      </c>
      <c r="AW780" t="s">
        <v>74</v>
      </c>
      <c r="AX780" t="s">
        <v>74</v>
      </c>
      <c r="AY780" t="s">
        <v>74</v>
      </c>
      <c r="AZ780" t="s">
        <v>74</v>
      </c>
      <c r="BA780" t="s">
        <v>74</v>
      </c>
      <c r="BB780" t="s">
        <v>74</v>
      </c>
      <c r="BC780" t="s">
        <v>74</v>
      </c>
      <c r="BD780">
        <v>128115</v>
      </c>
      <c r="BE780" t="s">
        <v>14930</v>
      </c>
      <c r="BF780" t="str">
        <f>HYPERLINK("http://dx.doi.org/10.1016/j.jhazmat.2021.128115","http://dx.doi.org/10.1016/j.jhazmat.2021.128115")</f>
        <v>http://dx.doi.org/10.1016/j.jhazmat.2021.128115</v>
      </c>
      <c r="BG780" t="s">
        <v>74</v>
      </c>
      <c r="BH780" t="s">
        <v>14486</v>
      </c>
      <c r="BI780">
        <v>12</v>
      </c>
      <c r="BJ780" t="s">
        <v>6937</v>
      </c>
      <c r="BK780" t="s">
        <v>103</v>
      </c>
      <c r="BL780" t="s">
        <v>6938</v>
      </c>
      <c r="BM780" t="s">
        <v>14931</v>
      </c>
      <c r="BN780">
        <v>34959217</v>
      </c>
      <c r="BO780" t="s">
        <v>74</v>
      </c>
      <c r="BP780" t="s">
        <v>74</v>
      </c>
      <c r="BQ780" t="s">
        <v>74</v>
      </c>
      <c r="BR780" t="s">
        <v>106</v>
      </c>
      <c r="BS780" t="s">
        <v>14932</v>
      </c>
      <c r="BT780" t="str">
        <f>HYPERLINK("https%3A%2F%2Fwww.webofscience.com%2Fwos%2Fwoscc%2Ffull-record%2FWOS:000752473200003","View Full Record in Web of Science")</f>
        <v>View Full Record in Web of Science</v>
      </c>
    </row>
    <row r="781" spans="1:72" x14ac:dyDescent="0.15">
      <c r="A781" t="s">
        <v>72</v>
      </c>
      <c r="B781" t="s">
        <v>14933</v>
      </c>
      <c r="C781" t="s">
        <v>74</v>
      </c>
      <c r="D781" t="s">
        <v>74</v>
      </c>
      <c r="E781" t="s">
        <v>74</v>
      </c>
      <c r="F781" t="s">
        <v>14934</v>
      </c>
      <c r="G781" t="s">
        <v>74</v>
      </c>
      <c r="H781" t="s">
        <v>74</v>
      </c>
      <c r="I781" t="s">
        <v>14935</v>
      </c>
      <c r="J781" t="s">
        <v>1853</v>
      </c>
      <c r="K781" t="s">
        <v>74</v>
      </c>
      <c r="L781" t="s">
        <v>74</v>
      </c>
      <c r="M781" t="s">
        <v>78</v>
      </c>
      <c r="N781" t="s">
        <v>79</v>
      </c>
      <c r="O781" t="s">
        <v>74</v>
      </c>
      <c r="P781" t="s">
        <v>74</v>
      </c>
      <c r="Q781" t="s">
        <v>74</v>
      </c>
      <c r="R781" t="s">
        <v>74</v>
      </c>
      <c r="S781" t="s">
        <v>74</v>
      </c>
      <c r="T781" t="s">
        <v>14936</v>
      </c>
      <c r="U781" t="s">
        <v>14937</v>
      </c>
      <c r="V781" t="s">
        <v>14938</v>
      </c>
      <c r="W781" t="s">
        <v>14939</v>
      </c>
      <c r="X781" t="s">
        <v>14940</v>
      </c>
      <c r="Y781" t="s">
        <v>14941</v>
      </c>
      <c r="Z781" t="s">
        <v>14942</v>
      </c>
      <c r="AA781" t="s">
        <v>14943</v>
      </c>
      <c r="AB781" t="s">
        <v>14944</v>
      </c>
      <c r="AC781" t="s">
        <v>14945</v>
      </c>
      <c r="AD781" t="s">
        <v>14946</v>
      </c>
      <c r="AE781" t="s">
        <v>14947</v>
      </c>
      <c r="AF781" t="s">
        <v>74</v>
      </c>
      <c r="AG781">
        <v>55</v>
      </c>
      <c r="AH781">
        <v>3</v>
      </c>
      <c r="AI781">
        <v>3</v>
      </c>
      <c r="AJ781">
        <v>0</v>
      </c>
      <c r="AK781">
        <v>6</v>
      </c>
      <c r="AL781" t="s">
        <v>505</v>
      </c>
      <c r="AM781" t="s">
        <v>506</v>
      </c>
      <c r="AN781" t="s">
        <v>507</v>
      </c>
      <c r="AO781" t="s">
        <v>1865</v>
      </c>
      <c r="AP781" t="s">
        <v>1866</v>
      </c>
      <c r="AQ781" t="s">
        <v>74</v>
      </c>
      <c r="AR781" t="s">
        <v>1867</v>
      </c>
      <c r="AS781" t="s">
        <v>1868</v>
      </c>
      <c r="AT781" t="s">
        <v>99</v>
      </c>
      <c r="AU781">
        <v>2022</v>
      </c>
      <c r="AV781">
        <v>265</v>
      </c>
      <c r="AW781" t="s">
        <v>74</v>
      </c>
      <c r="AX781" t="s">
        <v>74</v>
      </c>
      <c r="AY781" t="s">
        <v>74</v>
      </c>
      <c r="AZ781" t="s">
        <v>74</v>
      </c>
      <c r="BA781" t="s">
        <v>74</v>
      </c>
      <c r="BB781" t="s">
        <v>74</v>
      </c>
      <c r="BC781" t="s">
        <v>74</v>
      </c>
      <c r="BD781">
        <v>111128</v>
      </c>
      <c r="BE781" t="s">
        <v>14948</v>
      </c>
      <c r="BF781" t="str">
        <f>HYPERLINK("http://dx.doi.org/10.1016/j.cbpa.2021.111128","http://dx.doi.org/10.1016/j.cbpa.2021.111128")</f>
        <v>http://dx.doi.org/10.1016/j.cbpa.2021.111128</v>
      </c>
      <c r="BG781" t="s">
        <v>74</v>
      </c>
      <c r="BH781" t="s">
        <v>14486</v>
      </c>
      <c r="BI781">
        <v>8</v>
      </c>
      <c r="BJ781" t="s">
        <v>1870</v>
      </c>
      <c r="BK781" t="s">
        <v>103</v>
      </c>
      <c r="BL781" t="s">
        <v>1870</v>
      </c>
      <c r="BM781" t="s">
        <v>14949</v>
      </c>
      <c r="BN781">
        <v>34952237</v>
      </c>
      <c r="BO781" t="s">
        <v>74</v>
      </c>
      <c r="BP781" t="s">
        <v>74</v>
      </c>
      <c r="BQ781" t="s">
        <v>74</v>
      </c>
      <c r="BR781" t="s">
        <v>106</v>
      </c>
      <c r="BS781" t="s">
        <v>14950</v>
      </c>
      <c r="BT781" t="str">
        <f>HYPERLINK("https%3A%2F%2Fwww.webofscience.com%2Fwos%2Fwoscc%2Ffull-record%2FWOS:000740849000009","View Full Record in Web of Science")</f>
        <v>View Full Record in Web of Science</v>
      </c>
    </row>
    <row r="782" spans="1:72" x14ac:dyDescent="0.15">
      <c r="A782" t="s">
        <v>72</v>
      </c>
      <c r="B782" t="s">
        <v>14951</v>
      </c>
      <c r="C782" t="s">
        <v>74</v>
      </c>
      <c r="D782" t="s">
        <v>74</v>
      </c>
      <c r="E782" t="s">
        <v>74</v>
      </c>
      <c r="F782" t="s">
        <v>14952</v>
      </c>
      <c r="G782" t="s">
        <v>74</v>
      </c>
      <c r="H782" t="s">
        <v>74</v>
      </c>
      <c r="I782" t="s">
        <v>14953</v>
      </c>
      <c r="J782" t="s">
        <v>4683</v>
      </c>
      <c r="K782" t="s">
        <v>74</v>
      </c>
      <c r="L782" t="s">
        <v>74</v>
      </c>
      <c r="M782" t="s">
        <v>78</v>
      </c>
      <c r="N782" t="s">
        <v>79</v>
      </c>
      <c r="O782" t="s">
        <v>74</v>
      </c>
      <c r="P782" t="s">
        <v>74</v>
      </c>
      <c r="Q782" t="s">
        <v>74</v>
      </c>
      <c r="R782" t="s">
        <v>74</v>
      </c>
      <c r="S782" t="s">
        <v>74</v>
      </c>
      <c r="T782" t="s">
        <v>74</v>
      </c>
      <c r="U782" t="s">
        <v>14954</v>
      </c>
      <c r="V782" t="s">
        <v>14955</v>
      </c>
      <c r="W782" t="s">
        <v>14956</v>
      </c>
      <c r="X782" t="s">
        <v>14957</v>
      </c>
      <c r="Y782" t="s">
        <v>14958</v>
      </c>
      <c r="Z782" t="s">
        <v>14959</v>
      </c>
      <c r="AA782" t="s">
        <v>14960</v>
      </c>
      <c r="AB782" t="s">
        <v>14961</v>
      </c>
      <c r="AC782" t="s">
        <v>14962</v>
      </c>
      <c r="AD782" t="s">
        <v>14963</v>
      </c>
      <c r="AE782" t="s">
        <v>14964</v>
      </c>
      <c r="AF782" t="s">
        <v>74</v>
      </c>
      <c r="AG782">
        <v>110</v>
      </c>
      <c r="AH782">
        <v>3</v>
      </c>
      <c r="AI782">
        <v>4</v>
      </c>
      <c r="AJ782">
        <v>0</v>
      </c>
      <c r="AK782">
        <v>9</v>
      </c>
      <c r="AL782" t="s">
        <v>310</v>
      </c>
      <c r="AM782" t="s">
        <v>311</v>
      </c>
      <c r="AN782" t="s">
        <v>312</v>
      </c>
      <c r="AO782" t="s">
        <v>4696</v>
      </c>
      <c r="AP782" t="s">
        <v>4697</v>
      </c>
      <c r="AQ782" t="s">
        <v>74</v>
      </c>
      <c r="AR782" t="s">
        <v>4698</v>
      </c>
      <c r="AS782" t="s">
        <v>4699</v>
      </c>
      <c r="AT782" t="s">
        <v>1153</v>
      </c>
      <c r="AU782">
        <v>2022</v>
      </c>
      <c r="AV782">
        <v>812</v>
      </c>
      <c r="AW782" t="s">
        <v>74</v>
      </c>
      <c r="AX782" t="s">
        <v>74</v>
      </c>
      <c r="AY782" t="s">
        <v>74</v>
      </c>
      <c r="AZ782" t="s">
        <v>74</v>
      </c>
      <c r="BA782" t="s">
        <v>74</v>
      </c>
      <c r="BB782" t="s">
        <v>74</v>
      </c>
      <c r="BC782" t="s">
        <v>74</v>
      </c>
      <c r="BD782">
        <v>152474</v>
      </c>
      <c r="BE782" t="s">
        <v>14965</v>
      </c>
      <c r="BF782" t="str">
        <f>HYPERLINK("http://dx.doi.org/10.1016/j.scitotenv.2021.152474","http://dx.doi.org/10.1016/j.scitotenv.2021.152474")</f>
        <v>http://dx.doi.org/10.1016/j.scitotenv.2021.152474</v>
      </c>
      <c r="BG782" t="s">
        <v>74</v>
      </c>
      <c r="BH782" t="s">
        <v>14486</v>
      </c>
      <c r="BI782">
        <v>13</v>
      </c>
      <c r="BJ782" t="s">
        <v>1560</v>
      </c>
      <c r="BK782" t="s">
        <v>103</v>
      </c>
      <c r="BL782" t="s">
        <v>1561</v>
      </c>
      <c r="BM782" t="s">
        <v>14966</v>
      </c>
      <c r="BN782">
        <v>34952068</v>
      </c>
      <c r="BO782" t="s">
        <v>749</v>
      </c>
      <c r="BP782" t="s">
        <v>74</v>
      </c>
      <c r="BQ782" t="s">
        <v>74</v>
      </c>
      <c r="BR782" t="s">
        <v>106</v>
      </c>
      <c r="BS782" t="s">
        <v>14967</v>
      </c>
      <c r="BT782" t="str">
        <f>HYPERLINK("https%3A%2F%2Fwww.webofscience.com%2Fwos%2Fwoscc%2Ffull-record%2FWOS:000744155500006","View Full Record in Web of Science")</f>
        <v>View Full Record in Web of Science</v>
      </c>
    </row>
    <row r="783" spans="1:72" x14ac:dyDescent="0.15">
      <c r="A783" t="s">
        <v>72</v>
      </c>
      <c r="B783" t="s">
        <v>14968</v>
      </c>
      <c r="C783" t="s">
        <v>74</v>
      </c>
      <c r="D783" t="s">
        <v>74</v>
      </c>
      <c r="E783" t="s">
        <v>74</v>
      </c>
      <c r="F783" t="s">
        <v>14969</v>
      </c>
      <c r="G783" t="s">
        <v>74</v>
      </c>
      <c r="H783" t="s">
        <v>74</v>
      </c>
      <c r="I783" t="s">
        <v>14970</v>
      </c>
      <c r="J783" t="s">
        <v>351</v>
      </c>
      <c r="K783" t="s">
        <v>74</v>
      </c>
      <c r="L783" t="s">
        <v>74</v>
      </c>
      <c r="M783" t="s">
        <v>78</v>
      </c>
      <c r="N783" t="s">
        <v>79</v>
      </c>
      <c r="O783" t="s">
        <v>74</v>
      </c>
      <c r="P783" t="s">
        <v>74</v>
      </c>
      <c r="Q783" t="s">
        <v>74</v>
      </c>
      <c r="R783" t="s">
        <v>74</v>
      </c>
      <c r="S783" t="s">
        <v>74</v>
      </c>
      <c r="T783" t="s">
        <v>14971</v>
      </c>
      <c r="U783" t="s">
        <v>14972</v>
      </c>
      <c r="V783" t="s">
        <v>14973</v>
      </c>
      <c r="W783" t="s">
        <v>14974</v>
      </c>
      <c r="X783" t="s">
        <v>14975</v>
      </c>
      <c r="Y783" t="s">
        <v>14976</v>
      </c>
      <c r="Z783" t="s">
        <v>14977</v>
      </c>
      <c r="AA783" t="s">
        <v>74</v>
      </c>
      <c r="AB783" t="s">
        <v>14978</v>
      </c>
      <c r="AC783" t="s">
        <v>74</v>
      </c>
      <c r="AD783" t="s">
        <v>74</v>
      </c>
      <c r="AE783" t="s">
        <v>74</v>
      </c>
      <c r="AF783" t="s">
        <v>74</v>
      </c>
      <c r="AG783">
        <v>78</v>
      </c>
      <c r="AH783">
        <v>7</v>
      </c>
      <c r="AI783">
        <v>8</v>
      </c>
      <c r="AJ783">
        <v>4</v>
      </c>
      <c r="AK783">
        <v>11</v>
      </c>
      <c r="AL783" t="s">
        <v>363</v>
      </c>
      <c r="AM783" t="s">
        <v>364</v>
      </c>
      <c r="AN783" t="s">
        <v>365</v>
      </c>
      <c r="AO783" t="s">
        <v>74</v>
      </c>
      <c r="AP783" t="s">
        <v>366</v>
      </c>
      <c r="AQ783" t="s">
        <v>74</v>
      </c>
      <c r="AR783" t="s">
        <v>367</v>
      </c>
      <c r="AS783" t="s">
        <v>368</v>
      </c>
      <c r="AT783" t="s">
        <v>14979</v>
      </c>
      <c r="AU783">
        <v>2021</v>
      </c>
      <c r="AV783">
        <v>8</v>
      </c>
      <c r="AW783" t="s">
        <v>74</v>
      </c>
      <c r="AX783" t="s">
        <v>74</v>
      </c>
      <c r="AY783" t="s">
        <v>74</v>
      </c>
      <c r="AZ783" t="s">
        <v>74</v>
      </c>
      <c r="BA783" t="s">
        <v>74</v>
      </c>
      <c r="BB783" t="s">
        <v>74</v>
      </c>
      <c r="BC783" t="s">
        <v>74</v>
      </c>
      <c r="BD783">
        <v>792651</v>
      </c>
      <c r="BE783" t="s">
        <v>14980</v>
      </c>
      <c r="BF783" t="str">
        <f>HYPERLINK("http://dx.doi.org/10.3389/fmars.2021.792651","http://dx.doi.org/10.3389/fmars.2021.792651")</f>
        <v>http://dx.doi.org/10.3389/fmars.2021.792651</v>
      </c>
      <c r="BG783" t="s">
        <v>74</v>
      </c>
      <c r="BH783" t="s">
        <v>74</v>
      </c>
      <c r="BI783">
        <v>16</v>
      </c>
      <c r="BJ783" t="s">
        <v>102</v>
      </c>
      <c r="BK783" t="s">
        <v>103</v>
      </c>
      <c r="BL783" t="s">
        <v>104</v>
      </c>
      <c r="BM783" t="s">
        <v>14981</v>
      </c>
      <c r="BN783" t="s">
        <v>74</v>
      </c>
      <c r="BO783" t="s">
        <v>445</v>
      </c>
      <c r="BP783" t="s">
        <v>74</v>
      </c>
      <c r="BQ783" t="s">
        <v>74</v>
      </c>
      <c r="BR783" t="s">
        <v>106</v>
      </c>
      <c r="BS783" t="s">
        <v>14982</v>
      </c>
      <c r="BT783" t="str">
        <f>HYPERLINK("https%3A%2F%2Fwww.webofscience.com%2Fwos%2Fwoscc%2Ffull-record%2FWOS:000743028600001","View Full Record in Web of Science")</f>
        <v>View Full Record in Web of Science</v>
      </c>
    </row>
    <row r="784" spans="1:72" x14ac:dyDescent="0.15">
      <c r="A784" t="s">
        <v>72</v>
      </c>
      <c r="B784" t="s">
        <v>14983</v>
      </c>
      <c r="C784" t="s">
        <v>74</v>
      </c>
      <c r="D784" t="s">
        <v>74</v>
      </c>
      <c r="E784" t="s">
        <v>74</v>
      </c>
      <c r="F784" t="s">
        <v>14984</v>
      </c>
      <c r="G784" t="s">
        <v>74</v>
      </c>
      <c r="H784" t="s">
        <v>74</v>
      </c>
      <c r="I784" t="s">
        <v>14985</v>
      </c>
      <c r="J784" t="s">
        <v>847</v>
      </c>
      <c r="K784" t="s">
        <v>74</v>
      </c>
      <c r="L784" t="s">
        <v>74</v>
      </c>
      <c r="M784" t="s">
        <v>78</v>
      </c>
      <c r="N784" t="s">
        <v>79</v>
      </c>
      <c r="O784" t="s">
        <v>74</v>
      </c>
      <c r="P784" t="s">
        <v>74</v>
      </c>
      <c r="Q784" t="s">
        <v>74</v>
      </c>
      <c r="R784" t="s">
        <v>74</v>
      </c>
      <c r="S784" t="s">
        <v>74</v>
      </c>
      <c r="T784" t="s">
        <v>14986</v>
      </c>
      <c r="U784" t="s">
        <v>14987</v>
      </c>
      <c r="V784" t="s">
        <v>14988</v>
      </c>
      <c r="W784" t="s">
        <v>14989</v>
      </c>
      <c r="X784" t="s">
        <v>14990</v>
      </c>
      <c r="Y784" t="s">
        <v>14991</v>
      </c>
      <c r="Z784" t="s">
        <v>14992</v>
      </c>
      <c r="AA784" t="s">
        <v>14993</v>
      </c>
      <c r="AB784" t="s">
        <v>14994</v>
      </c>
      <c r="AC784" t="s">
        <v>14995</v>
      </c>
      <c r="AD784" t="s">
        <v>14995</v>
      </c>
      <c r="AE784" t="s">
        <v>14996</v>
      </c>
      <c r="AF784" t="s">
        <v>74</v>
      </c>
      <c r="AG784">
        <v>37</v>
      </c>
      <c r="AH784">
        <v>0</v>
      </c>
      <c r="AI784">
        <v>0</v>
      </c>
      <c r="AJ784">
        <v>0</v>
      </c>
      <c r="AK784">
        <v>3</v>
      </c>
      <c r="AL784" t="s">
        <v>814</v>
      </c>
      <c r="AM784" t="s">
        <v>93</v>
      </c>
      <c r="AN784" t="s">
        <v>815</v>
      </c>
      <c r="AO784" t="s">
        <v>857</v>
      </c>
      <c r="AP784" t="s">
        <v>858</v>
      </c>
      <c r="AQ784" t="s">
        <v>74</v>
      </c>
      <c r="AR784" t="s">
        <v>859</v>
      </c>
      <c r="AS784" t="s">
        <v>860</v>
      </c>
      <c r="AT784" t="s">
        <v>840</v>
      </c>
      <c r="AU784">
        <v>2022</v>
      </c>
      <c r="AV784">
        <v>136</v>
      </c>
      <c r="AW784" t="s">
        <v>74</v>
      </c>
      <c r="AX784" t="s">
        <v>74</v>
      </c>
      <c r="AY784" t="s">
        <v>74</v>
      </c>
      <c r="AZ784" t="s">
        <v>74</v>
      </c>
      <c r="BA784" t="s">
        <v>74</v>
      </c>
      <c r="BB784" t="s">
        <v>74</v>
      </c>
      <c r="BC784" t="s">
        <v>74</v>
      </c>
      <c r="BD784">
        <v>104921</v>
      </c>
      <c r="BE784" t="s">
        <v>14997</v>
      </c>
      <c r="BF784" t="str">
        <f>HYPERLINK("http://dx.doi.org/10.1016/j.marpol.2021.104921","http://dx.doi.org/10.1016/j.marpol.2021.104921")</f>
        <v>http://dx.doi.org/10.1016/j.marpol.2021.104921</v>
      </c>
      <c r="BG784" t="s">
        <v>74</v>
      </c>
      <c r="BH784" t="s">
        <v>14486</v>
      </c>
      <c r="BI784">
        <v>6</v>
      </c>
      <c r="BJ784" t="s">
        <v>862</v>
      </c>
      <c r="BK784" t="s">
        <v>863</v>
      </c>
      <c r="BL784" t="s">
        <v>864</v>
      </c>
      <c r="BM784" t="s">
        <v>14998</v>
      </c>
      <c r="BN784" t="s">
        <v>74</v>
      </c>
      <c r="BO784" t="s">
        <v>948</v>
      </c>
      <c r="BP784" t="s">
        <v>74</v>
      </c>
      <c r="BQ784" t="s">
        <v>74</v>
      </c>
      <c r="BR784" t="s">
        <v>106</v>
      </c>
      <c r="BS784" t="s">
        <v>14999</v>
      </c>
      <c r="BT784" t="str">
        <f>HYPERLINK("https%3A%2F%2Fwww.webofscience.com%2Fwos%2Fwoscc%2Ffull-record%2FWOS:000737141400004","View Full Record in Web of Science")</f>
        <v>View Full Record in Web of Science</v>
      </c>
    </row>
    <row r="785" spans="1:72" x14ac:dyDescent="0.15">
      <c r="A785" t="s">
        <v>72</v>
      </c>
      <c r="B785" t="s">
        <v>15000</v>
      </c>
      <c r="C785" t="s">
        <v>74</v>
      </c>
      <c r="D785" t="s">
        <v>74</v>
      </c>
      <c r="E785" t="s">
        <v>74</v>
      </c>
      <c r="F785" t="s">
        <v>15001</v>
      </c>
      <c r="G785" t="s">
        <v>74</v>
      </c>
      <c r="H785" t="s">
        <v>74</v>
      </c>
      <c r="I785" t="s">
        <v>15002</v>
      </c>
      <c r="J785" t="s">
        <v>1375</v>
      </c>
      <c r="K785" t="s">
        <v>74</v>
      </c>
      <c r="L785" t="s">
        <v>74</v>
      </c>
      <c r="M785" t="s">
        <v>78</v>
      </c>
      <c r="N785" t="s">
        <v>79</v>
      </c>
      <c r="O785" t="s">
        <v>74</v>
      </c>
      <c r="P785" t="s">
        <v>74</v>
      </c>
      <c r="Q785" t="s">
        <v>74</v>
      </c>
      <c r="R785" t="s">
        <v>74</v>
      </c>
      <c r="S785" t="s">
        <v>74</v>
      </c>
      <c r="T785" t="s">
        <v>15003</v>
      </c>
      <c r="U785" t="s">
        <v>15004</v>
      </c>
      <c r="V785" t="s">
        <v>15005</v>
      </c>
      <c r="W785" t="s">
        <v>15006</v>
      </c>
      <c r="X785" t="s">
        <v>15007</v>
      </c>
      <c r="Y785" t="s">
        <v>15008</v>
      </c>
      <c r="Z785" t="s">
        <v>15009</v>
      </c>
      <c r="AA785" t="s">
        <v>15010</v>
      </c>
      <c r="AB785" t="s">
        <v>15011</v>
      </c>
      <c r="AC785" t="s">
        <v>74</v>
      </c>
      <c r="AD785" t="s">
        <v>74</v>
      </c>
      <c r="AE785" t="s">
        <v>74</v>
      </c>
      <c r="AF785" t="s">
        <v>74</v>
      </c>
      <c r="AG785">
        <v>97</v>
      </c>
      <c r="AH785">
        <v>12</v>
      </c>
      <c r="AI785">
        <v>13</v>
      </c>
      <c r="AJ785">
        <v>0</v>
      </c>
      <c r="AK785">
        <v>17</v>
      </c>
      <c r="AL785" t="s">
        <v>363</v>
      </c>
      <c r="AM785" t="s">
        <v>364</v>
      </c>
      <c r="AN785" t="s">
        <v>365</v>
      </c>
      <c r="AO785" t="s">
        <v>74</v>
      </c>
      <c r="AP785" t="s">
        <v>1388</v>
      </c>
      <c r="AQ785" t="s">
        <v>74</v>
      </c>
      <c r="AR785" t="s">
        <v>1389</v>
      </c>
      <c r="AS785" t="s">
        <v>1390</v>
      </c>
      <c r="AT785" t="s">
        <v>14979</v>
      </c>
      <c r="AU785">
        <v>2021</v>
      </c>
      <c r="AV785">
        <v>9</v>
      </c>
      <c r="AW785" t="s">
        <v>74</v>
      </c>
      <c r="AX785" t="s">
        <v>74</v>
      </c>
      <c r="AY785" t="s">
        <v>74</v>
      </c>
      <c r="AZ785" t="s">
        <v>74</v>
      </c>
      <c r="BA785" t="s">
        <v>74</v>
      </c>
      <c r="BB785" t="s">
        <v>74</v>
      </c>
      <c r="BC785" t="s">
        <v>74</v>
      </c>
      <c r="BD785">
        <v>741789</v>
      </c>
      <c r="BE785" t="s">
        <v>15012</v>
      </c>
      <c r="BF785" t="str">
        <f>HYPERLINK("http://dx.doi.org/10.3389/feart.2021.741789","http://dx.doi.org/10.3389/feart.2021.741789")</f>
        <v>http://dx.doi.org/10.3389/feart.2021.741789</v>
      </c>
      <c r="BG785" t="s">
        <v>74</v>
      </c>
      <c r="BH785" t="s">
        <v>74</v>
      </c>
      <c r="BI785">
        <v>17</v>
      </c>
      <c r="BJ785" t="s">
        <v>151</v>
      </c>
      <c r="BK785" t="s">
        <v>103</v>
      </c>
      <c r="BL785" t="s">
        <v>152</v>
      </c>
      <c r="BM785" t="s">
        <v>15013</v>
      </c>
      <c r="BN785" t="s">
        <v>74</v>
      </c>
      <c r="BO785" t="s">
        <v>4992</v>
      </c>
      <c r="BP785" t="s">
        <v>74</v>
      </c>
      <c r="BQ785" t="s">
        <v>74</v>
      </c>
      <c r="BR785" t="s">
        <v>106</v>
      </c>
      <c r="BS785" t="s">
        <v>15014</v>
      </c>
      <c r="BT785" t="str">
        <f>HYPERLINK("https%3A%2F%2Fwww.webofscience.com%2Fwos%2Fwoscc%2Ffull-record%2FWOS:000740835100001","View Full Record in Web of Science")</f>
        <v>View Full Record in Web of Science</v>
      </c>
    </row>
    <row r="786" spans="1:72" x14ac:dyDescent="0.15">
      <c r="A786" t="s">
        <v>72</v>
      </c>
      <c r="B786" t="s">
        <v>15015</v>
      </c>
      <c r="C786" t="s">
        <v>74</v>
      </c>
      <c r="D786" t="s">
        <v>74</v>
      </c>
      <c r="E786" t="s">
        <v>74</v>
      </c>
      <c r="F786" t="s">
        <v>15016</v>
      </c>
      <c r="G786" t="s">
        <v>74</v>
      </c>
      <c r="H786" t="s">
        <v>74</v>
      </c>
      <c r="I786" t="s">
        <v>15017</v>
      </c>
      <c r="J786" t="s">
        <v>15018</v>
      </c>
      <c r="K786" t="s">
        <v>74</v>
      </c>
      <c r="L786" t="s">
        <v>74</v>
      </c>
      <c r="M786" t="s">
        <v>78</v>
      </c>
      <c r="N786" t="s">
        <v>79</v>
      </c>
      <c r="O786" t="s">
        <v>74</v>
      </c>
      <c r="P786" t="s">
        <v>74</v>
      </c>
      <c r="Q786" t="s">
        <v>74</v>
      </c>
      <c r="R786" t="s">
        <v>74</v>
      </c>
      <c r="S786" t="s">
        <v>74</v>
      </c>
      <c r="T786" t="s">
        <v>15019</v>
      </c>
      <c r="U786" t="s">
        <v>15020</v>
      </c>
      <c r="V786" t="s">
        <v>15021</v>
      </c>
      <c r="W786" t="s">
        <v>15022</v>
      </c>
      <c r="X786" t="s">
        <v>15023</v>
      </c>
      <c r="Y786" t="s">
        <v>15024</v>
      </c>
      <c r="Z786" t="s">
        <v>15025</v>
      </c>
      <c r="AA786" t="s">
        <v>15026</v>
      </c>
      <c r="AB786" t="s">
        <v>15027</v>
      </c>
      <c r="AC786" t="s">
        <v>15028</v>
      </c>
      <c r="AD786" t="s">
        <v>15029</v>
      </c>
      <c r="AE786" t="s">
        <v>15030</v>
      </c>
      <c r="AF786" t="s">
        <v>74</v>
      </c>
      <c r="AG786">
        <v>97</v>
      </c>
      <c r="AH786">
        <v>6</v>
      </c>
      <c r="AI786">
        <v>6</v>
      </c>
      <c r="AJ786">
        <v>1</v>
      </c>
      <c r="AK786">
        <v>17</v>
      </c>
      <c r="AL786" t="s">
        <v>363</v>
      </c>
      <c r="AM786" t="s">
        <v>364</v>
      </c>
      <c r="AN786" t="s">
        <v>365</v>
      </c>
      <c r="AO786" t="s">
        <v>15031</v>
      </c>
      <c r="AP786" t="s">
        <v>74</v>
      </c>
      <c r="AQ786" t="s">
        <v>74</v>
      </c>
      <c r="AR786" t="s">
        <v>15032</v>
      </c>
      <c r="AS786" t="s">
        <v>15033</v>
      </c>
      <c r="AT786" t="s">
        <v>14979</v>
      </c>
      <c r="AU786">
        <v>2021</v>
      </c>
      <c r="AV786">
        <v>9</v>
      </c>
      <c r="AW786" t="s">
        <v>74</v>
      </c>
      <c r="AX786" t="s">
        <v>74</v>
      </c>
      <c r="AY786" t="s">
        <v>74</v>
      </c>
      <c r="AZ786" t="s">
        <v>74</v>
      </c>
      <c r="BA786" t="s">
        <v>74</v>
      </c>
      <c r="BB786" t="s">
        <v>74</v>
      </c>
      <c r="BC786" t="s">
        <v>74</v>
      </c>
      <c r="BD786">
        <v>802574</v>
      </c>
      <c r="BE786" t="s">
        <v>15034</v>
      </c>
      <c r="BF786" t="str">
        <f>HYPERLINK("http://dx.doi.org/10.3389/fchem.2021.802574","http://dx.doi.org/10.3389/fchem.2021.802574")</f>
        <v>http://dx.doi.org/10.3389/fchem.2021.802574</v>
      </c>
      <c r="BG786" t="s">
        <v>74</v>
      </c>
      <c r="BH786" t="s">
        <v>74</v>
      </c>
      <c r="BI786">
        <v>14</v>
      </c>
      <c r="BJ786" t="s">
        <v>15035</v>
      </c>
      <c r="BK786" t="s">
        <v>103</v>
      </c>
      <c r="BL786" t="s">
        <v>3284</v>
      </c>
      <c r="BM786" t="s">
        <v>15036</v>
      </c>
      <c r="BN786">
        <v>35004620</v>
      </c>
      <c r="BO786" t="s">
        <v>4992</v>
      </c>
      <c r="BP786" t="s">
        <v>74</v>
      </c>
      <c r="BQ786" t="s">
        <v>74</v>
      </c>
      <c r="BR786" t="s">
        <v>106</v>
      </c>
      <c r="BS786" t="s">
        <v>15037</v>
      </c>
      <c r="BT786" t="str">
        <f>HYPERLINK("https%3A%2F%2Fwww.webofscience.com%2Fwos%2Fwoscc%2Ffull-record%2FWOS:000743994000001","View Full Record in Web of Science")</f>
        <v>View Full Record in Web of Science</v>
      </c>
    </row>
    <row r="787" spans="1:72" x14ac:dyDescent="0.15">
      <c r="A787" t="s">
        <v>72</v>
      </c>
      <c r="B787" t="s">
        <v>15038</v>
      </c>
      <c r="C787" t="s">
        <v>74</v>
      </c>
      <c r="D787" t="s">
        <v>74</v>
      </c>
      <c r="E787" t="s">
        <v>74</v>
      </c>
      <c r="F787" t="s">
        <v>15039</v>
      </c>
      <c r="G787" t="s">
        <v>74</v>
      </c>
      <c r="H787" t="s">
        <v>74</v>
      </c>
      <c r="I787" t="s">
        <v>15040</v>
      </c>
      <c r="J787" t="s">
        <v>15041</v>
      </c>
      <c r="K787" t="s">
        <v>74</v>
      </c>
      <c r="L787" t="s">
        <v>74</v>
      </c>
      <c r="M787" t="s">
        <v>78</v>
      </c>
      <c r="N787" t="s">
        <v>79</v>
      </c>
      <c r="O787" t="s">
        <v>74</v>
      </c>
      <c r="P787" t="s">
        <v>74</v>
      </c>
      <c r="Q787" t="s">
        <v>74</v>
      </c>
      <c r="R787" t="s">
        <v>74</v>
      </c>
      <c r="S787" t="s">
        <v>74</v>
      </c>
      <c r="T787" t="s">
        <v>74</v>
      </c>
      <c r="U787" t="s">
        <v>15042</v>
      </c>
      <c r="V787" t="s">
        <v>15043</v>
      </c>
      <c r="W787" t="s">
        <v>15044</v>
      </c>
      <c r="X787" t="s">
        <v>15045</v>
      </c>
      <c r="Y787" t="s">
        <v>15046</v>
      </c>
      <c r="Z787" t="s">
        <v>15047</v>
      </c>
      <c r="AA787" t="s">
        <v>15048</v>
      </c>
      <c r="AB787" t="s">
        <v>15049</v>
      </c>
      <c r="AC787" t="s">
        <v>15050</v>
      </c>
      <c r="AD787" t="s">
        <v>15051</v>
      </c>
      <c r="AE787" t="s">
        <v>15052</v>
      </c>
      <c r="AF787" t="s">
        <v>74</v>
      </c>
      <c r="AG787">
        <v>28</v>
      </c>
      <c r="AH787">
        <v>8</v>
      </c>
      <c r="AI787">
        <v>10</v>
      </c>
      <c r="AJ787">
        <v>3</v>
      </c>
      <c r="AK787">
        <v>7</v>
      </c>
      <c r="AL787" t="s">
        <v>690</v>
      </c>
      <c r="AM787" t="s">
        <v>606</v>
      </c>
      <c r="AN787" t="s">
        <v>691</v>
      </c>
      <c r="AO787" t="s">
        <v>15053</v>
      </c>
      <c r="AP787" t="s">
        <v>15054</v>
      </c>
      <c r="AQ787" t="s">
        <v>74</v>
      </c>
      <c r="AR787" t="s">
        <v>15055</v>
      </c>
      <c r="AS787" t="s">
        <v>15056</v>
      </c>
      <c r="AT787" t="s">
        <v>14979</v>
      </c>
      <c r="AU787">
        <v>2021</v>
      </c>
      <c r="AV787">
        <v>84</v>
      </c>
      <c r="AW787">
        <v>12</v>
      </c>
      <c r="AX787" t="s">
        <v>74</v>
      </c>
      <c r="AY787" t="s">
        <v>74</v>
      </c>
      <c r="AZ787" t="s">
        <v>74</v>
      </c>
      <c r="BA787" t="s">
        <v>74</v>
      </c>
      <c r="BB787">
        <v>3011</v>
      </c>
      <c r="BC787">
        <v>3019</v>
      </c>
      <c r="BD787" t="s">
        <v>74</v>
      </c>
      <c r="BE787" t="s">
        <v>15057</v>
      </c>
      <c r="BF787" t="str">
        <f>HYPERLINK("http://dx.doi.org/10.1021/acs.jnatprod.1c00203","http://dx.doi.org/10.1021/acs.jnatprod.1c00203")</f>
        <v>http://dx.doi.org/10.1021/acs.jnatprod.1c00203</v>
      </c>
      <c r="BG787" t="s">
        <v>74</v>
      </c>
      <c r="BH787" t="s">
        <v>74</v>
      </c>
      <c r="BI787">
        <v>9</v>
      </c>
      <c r="BJ787" t="s">
        <v>15058</v>
      </c>
      <c r="BK787" t="s">
        <v>15059</v>
      </c>
      <c r="BL787" t="s">
        <v>15060</v>
      </c>
      <c r="BM787" t="s">
        <v>15061</v>
      </c>
      <c r="BN787">
        <v>34842422</v>
      </c>
      <c r="BO787" t="s">
        <v>74</v>
      </c>
      <c r="BP787" t="s">
        <v>74</v>
      </c>
      <c r="BQ787" t="s">
        <v>74</v>
      </c>
      <c r="BR787" t="s">
        <v>106</v>
      </c>
      <c r="BS787" t="s">
        <v>15062</v>
      </c>
      <c r="BT787" t="str">
        <f>HYPERLINK("https%3A%2F%2Fwww.webofscience.com%2Fwos%2Fwoscc%2Ffull-record%2FWOS:000744182500002","View Full Record in Web of Science")</f>
        <v>View Full Record in Web of Science</v>
      </c>
    </row>
    <row r="788" spans="1:72" x14ac:dyDescent="0.15">
      <c r="A788" t="s">
        <v>72</v>
      </c>
      <c r="B788" t="s">
        <v>15063</v>
      </c>
      <c r="C788" t="s">
        <v>74</v>
      </c>
      <c r="D788" t="s">
        <v>74</v>
      </c>
      <c r="E788" t="s">
        <v>74</v>
      </c>
      <c r="F788" t="s">
        <v>15064</v>
      </c>
      <c r="G788" t="s">
        <v>74</v>
      </c>
      <c r="H788" t="s">
        <v>74</v>
      </c>
      <c r="I788" t="s">
        <v>15065</v>
      </c>
      <c r="J788" t="s">
        <v>1020</v>
      </c>
      <c r="K788" t="s">
        <v>74</v>
      </c>
      <c r="L788" t="s">
        <v>74</v>
      </c>
      <c r="M788" t="s">
        <v>78</v>
      </c>
      <c r="N788" t="s">
        <v>79</v>
      </c>
      <c r="O788" t="s">
        <v>74</v>
      </c>
      <c r="P788" t="s">
        <v>74</v>
      </c>
      <c r="Q788" t="s">
        <v>74</v>
      </c>
      <c r="R788" t="s">
        <v>74</v>
      </c>
      <c r="S788" t="s">
        <v>74</v>
      </c>
      <c r="T788" t="s">
        <v>15066</v>
      </c>
      <c r="U788" t="s">
        <v>15067</v>
      </c>
      <c r="V788" t="s">
        <v>15068</v>
      </c>
      <c r="W788" t="s">
        <v>15069</v>
      </c>
      <c r="X788" t="s">
        <v>15070</v>
      </c>
      <c r="Y788" t="s">
        <v>15071</v>
      </c>
      <c r="Z788" t="s">
        <v>15072</v>
      </c>
      <c r="AA788" t="s">
        <v>15073</v>
      </c>
      <c r="AB788" t="s">
        <v>15074</v>
      </c>
      <c r="AC788" t="s">
        <v>15075</v>
      </c>
      <c r="AD788" t="s">
        <v>15076</v>
      </c>
      <c r="AE788" t="s">
        <v>15077</v>
      </c>
      <c r="AF788" t="s">
        <v>74</v>
      </c>
      <c r="AG788">
        <v>111</v>
      </c>
      <c r="AH788">
        <v>4</v>
      </c>
      <c r="AI788">
        <v>4</v>
      </c>
      <c r="AJ788">
        <v>1</v>
      </c>
      <c r="AK788">
        <v>1</v>
      </c>
      <c r="AL788" t="s">
        <v>92</v>
      </c>
      <c r="AM788" t="s">
        <v>93</v>
      </c>
      <c r="AN788" t="s">
        <v>94</v>
      </c>
      <c r="AO788" t="s">
        <v>1029</v>
      </c>
      <c r="AP788" t="s">
        <v>1030</v>
      </c>
      <c r="AQ788" t="s">
        <v>74</v>
      </c>
      <c r="AR788" t="s">
        <v>1031</v>
      </c>
      <c r="AS788" t="s">
        <v>1032</v>
      </c>
      <c r="AT788" t="s">
        <v>99</v>
      </c>
      <c r="AU788">
        <v>2022</v>
      </c>
      <c r="AV788">
        <v>114</v>
      </c>
      <c r="AW788" t="s">
        <v>74</v>
      </c>
      <c r="AX788" t="s">
        <v>74</v>
      </c>
      <c r="AY788" t="s">
        <v>74</v>
      </c>
      <c r="AZ788" t="s">
        <v>74</v>
      </c>
      <c r="BA788" t="s">
        <v>74</v>
      </c>
      <c r="BB788" t="s">
        <v>74</v>
      </c>
      <c r="BC788" t="s">
        <v>74</v>
      </c>
      <c r="BD788">
        <v>103690</v>
      </c>
      <c r="BE788" t="s">
        <v>15078</v>
      </c>
      <c r="BF788" t="str">
        <f>HYPERLINK("http://dx.doi.org/10.1016/j.jsames.2021.103690","http://dx.doi.org/10.1016/j.jsames.2021.103690")</f>
        <v>http://dx.doi.org/10.1016/j.jsames.2021.103690</v>
      </c>
      <c r="BG788" t="s">
        <v>74</v>
      </c>
      <c r="BH788" t="s">
        <v>14486</v>
      </c>
      <c r="BI788">
        <v>17</v>
      </c>
      <c r="BJ788" t="s">
        <v>151</v>
      </c>
      <c r="BK788" t="s">
        <v>103</v>
      </c>
      <c r="BL788" t="s">
        <v>152</v>
      </c>
      <c r="BM788" t="s">
        <v>15079</v>
      </c>
      <c r="BN788" t="s">
        <v>74</v>
      </c>
      <c r="BO788" t="s">
        <v>1336</v>
      </c>
      <c r="BP788" t="s">
        <v>74</v>
      </c>
      <c r="BQ788" t="s">
        <v>74</v>
      </c>
      <c r="BR788" t="s">
        <v>106</v>
      </c>
      <c r="BS788" t="s">
        <v>15080</v>
      </c>
      <c r="BT788" t="str">
        <f>HYPERLINK("https%3A%2F%2Fwww.webofscience.com%2Fwos%2Fwoscc%2Ffull-record%2FWOS:000745671300002","View Full Record in Web of Science")</f>
        <v>View Full Record in Web of Science</v>
      </c>
    </row>
    <row r="789" spans="1:72" x14ac:dyDescent="0.15">
      <c r="A789" t="s">
        <v>72</v>
      </c>
      <c r="B789" t="s">
        <v>15081</v>
      </c>
      <c r="C789" t="s">
        <v>74</v>
      </c>
      <c r="D789" t="s">
        <v>74</v>
      </c>
      <c r="E789" t="s">
        <v>74</v>
      </c>
      <c r="F789" t="s">
        <v>15082</v>
      </c>
      <c r="G789" t="s">
        <v>74</v>
      </c>
      <c r="H789" t="s">
        <v>74</v>
      </c>
      <c r="I789" t="s">
        <v>15083</v>
      </c>
      <c r="J789" t="s">
        <v>351</v>
      </c>
      <c r="K789" t="s">
        <v>74</v>
      </c>
      <c r="L789" t="s">
        <v>74</v>
      </c>
      <c r="M789" t="s">
        <v>78</v>
      </c>
      <c r="N789" t="s">
        <v>79</v>
      </c>
      <c r="O789" t="s">
        <v>74</v>
      </c>
      <c r="P789" t="s">
        <v>74</v>
      </c>
      <c r="Q789" t="s">
        <v>74</v>
      </c>
      <c r="R789" t="s">
        <v>74</v>
      </c>
      <c r="S789" t="s">
        <v>74</v>
      </c>
      <c r="T789" t="s">
        <v>15084</v>
      </c>
      <c r="U789" t="s">
        <v>15085</v>
      </c>
      <c r="V789" t="s">
        <v>15086</v>
      </c>
      <c r="W789" t="s">
        <v>15087</v>
      </c>
      <c r="X789" t="s">
        <v>2987</v>
      </c>
      <c r="Y789" t="s">
        <v>15088</v>
      </c>
      <c r="Z789" t="s">
        <v>15089</v>
      </c>
      <c r="AA789" t="s">
        <v>15090</v>
      </c>
      <c r="AB789" t="s">
        <v>15091</v>
      </c>
      <c r="AC789" t="s">
        <v>74</v>
      </c>
      <c r="AD789" t="s">
        <v>74</v>
      </c>
      <c r="AE789" t="s">
        <v>74</v>
      </c>
      <c r="AF789" t="s">
        <v>74</v>
      </c>
      <c r="AG789">
        <v>233</v>
      </c>
      <c r="AH789">
        <v>8</v>
      </c>
      <c r="AI789">
        <v>8</v>
      </c>
      <c r="AJ789">
        <v>6</v>
      </c>
      <c r="AK789">
        <v>30</v>
      </c>
      <c r="AL789" t="s">
        <v>363</v>
      </c>
      <c r="AM789" t="s">
        <v>364</v>
      </c>
      <c r="AN789" t="s">
        <v>365</v>
      </c>
      <c r="AO789" t="s">
        <v>74</v>
      </c>
      <c r="AP789" t="s">
        <v>366</v>
      </c>
      <c r="AQ789" t="s">
        <v>74</v>
      </c>
      <c r="AR789" t="s">
        <v>367</v>
      </c>
      <c r="AS789" t="s">
        <v>368</v>
      </c>
      <c r="AT789" t="s">
        <v>15092</v>
      </c>
      <c r="AU789">
        <v>2021</v>
      </c>
      <c r="AV789">
        <v>8</v>
      </c>
      <c r="AW789" t="s">
        <v>74</v>
      </c>
      <c r="AX789" t="s">
        <v>74</v>
      </c>
      <c r="AY789" t="s">
        <v>74</v>
      </c>
      <c r="AZ789" t="s">
        <v>74</v>
      </c>
      <c r="BA789" t="s">
        <v>74</v>
      </c>
      <c r="BB789" t="s">
        <v>74</v>
      </c>
      <c r="BC789" t="s">
        <v>74</v>
      </c>
      <c r="BD789">
        <v>802276</v>
      </c>
      <c r="BE789" t="s">
        <v>15093</v>
      </c>
      <c r="BF789" t="str">
        <f>HYPERLINK("http://dx.doi.org/10.3389/fmars.2021.802276","http://dx.doi.org/10.3389/fmars.2021.802276")</f>
        <v>http://dx.doi.org/10.3389/fmars.2021.802276</v>
      </c>
      <c r="BG789" t="s">
        <v>74</v>
      </c>
      <c r="BH789" t="s">
        <v>74</v>
      </c>
      <c r="BI789">
        <v>24</v>
      </c>
      <c r="BJ789" t="s">
        <v>102</v>
      </c>
      <c r="BK789" t="s">
        <v>103</v>
      </c>
      <c r="BL789" t="s">
        <v>104</v>
      </c>
      <c r="BM789" t="s">
        <v>15094</v>
      </c>
      <c r="BN789" t="s">
        <v>74</v>
      </c>
      <c r="BO789" t="s">
        <v>15095</v>
      </c>
      <c r="BP789" t="s">
        <v>74</v>
      </c>
      <c r="BQ789" t="s">
        <v>74</v>
      </c>
      <c r="BR789" t="s">
        <v>106</v>
      </c>
      <c r="BS789" t="s">
        <v>15096</v>
      </c>
      <c r="BT789" t="str">
        <f>HYPERLINK("https%3A%2F%2Fwww.webofscience.com%2Fwos%2Fwoscc%2Ffull-record%2FWOS:000743010600001","View Full Record in Web of Science")</f>
        <v>View Full Record in Web of Science</v>
      </c>
    </row>
    <row r="790" spans="1:72" x14ac:dyDescent="0.15">
      <c r="A790" t="s">
        <v>72</v>
      </c>
      <c r="B790" t="s">
        <v>15097</v>
      </c>
      <c r="C790" t="s">
        <v>74</v>
      </c>
      <c r="D790" t="s">
        <v>74</v>
      </c>
      <c r="E790" t="s">
        <v>74</v>
      </c>
      <c r="F790" t="s">
        <v>15098</v>
      </c>
      <c r="G790" t="s">
        <v>74</v>
      </c>
      <c r="H790" t="s">
        <v>74</v>
      </c>
      <c r="I790" t="s">
        <v>15099</v>
      </c>
      <c r="J790" t="s">
        <v>15100</v>
      </c>
      <c r="K790" t="s">
        <v>74</v>
      </c>
      <c r="L790" t="s">
        <v>74</v>
      </c>
      <c r="M790" t="s">
        <v>78</v>
      </c>
      <c r="N790" t="s">
        <v>79</v>
      </c>
      <c r="O790" t="s">
        <v>74</v>
      </c>
      <c r="P790" t="s">
        <v>74</v>
      </c>
      <c r="Q790" t="s">
        <v>74</v>
      </c>
      <c r="R790" t="s">
        <v>74</v>
      </c>
      <c r="S790" t="s">
        <v>74</v>
      </c>
      <c r="T790" t="s">
        <v>74</v>
      </c>
      <c r="U790" t="s">
        <v>15101</v>
      </c>
      <c r="V790" t="s">
        <v>15102</v>
      </c>
      <c r="W790" t="s">
        <v>15103</v>
      </c>
      <c r="X790" t="s">
        <v>15104</v>
      </c>
      <c r="Y790" t="s">
        <v>15105</v>
      </c>
      <c r="Z790" t="s">
        <v>15106</v>
      </c>
      <c r="AA790" t="s">
        <v>15107</v>
      </c>
      <c r="AB790" t="s">
        <v>15108</v>
      </c>
      <c r="AC790" t="s">
        <v>15109</v>
      </c>
      <c r="AD790" t="s">
        <v>15110</v>
      </c>
      <c r="AE790" t="s">
        <v>15111</v>
      </c>
      <c r="AF790" t="s">
        <v>74</v>
      </c>
      <c r="AG790">
        <v>46</v>
      </c>
      <c r="AH790">
        <v>3</v>
      </c>
      <c r="AI790">
        <v>3</v>
      </c>
      <c r="AJ790">
        <v>1</v>
      </c>
      <c r="AK790">
        <v>8</v>
      </c>
      <c r="AL790" t="s">
        <v>171</v>
      </c>
      <c r="AM790" t="s">
        <v>172</v>
      </c>
      <c r="AN790" t="s">
        <v>173</v>
      </c>
      <c r="AO790" t="s">
        <v>15112</v>
      </c>
      <c r="AP790" t="s">
        <v>15113</v>
      </c>
      <c r="AQ790" t="s">
        <v>74</v>
      </c>
      <c r="AR790" t="s">
        <v>15114</v>
      </c>
      <c r="AS790" t="s">
        <v>15115</v>
      </c>
      <c r="AT790" t="s">
        <v>4645</v>
      </c>
      <c r="AU790">
        <v>2022</v>
      </c>
      <c r="AV790">
        <v>57</v>
      </c>
      <c r="AW790">
        <v>1</v>
      </c>
      <c r="AX790" t="s">
        <v>74</v>
      </c>
      <c r="AY790" t="s">
        <v>74</v>
      </c>
      <c r="AZ790" t="s">
        <v>74</v>
      </c>
      <c r="BA790" t="s">
        <v>74</v>
      </c>
      <c r="BB790">
        <v>105</v>
      </c>
      <c r="BC790">
        <v>121</v>
      </c>
      <c r="BD790" t="s">
        <v>74</v>
      </c>
      <c r="BE790" t="s">
        <v>15116</v>
      </c>
      <c r="BF790" t="str">
        <f>HYPERLINK("http://dx.doi.org/10.1111/maps.13776","http://dx.doi.org/10.1111/maps.13776")</f>
        <v>http://dx.doi.org/10.1111/maps.13776</v>
      </c>
      <c r="BG790" t="s">
        <v>74</v>
      </c>
      <c r="BH790" t="s">
        <v>14486</v>
      </c>
      <c r="BI790">
        <v>17</v>
      </c>
      <c r="BJ790" t="s">
        <v>1014</v>
      </c>
      <c r="BK790" t="s">
        <v>103</v>
      </c>
      <c r="BL790" t="s">
        <v>1014</v>
      </c>
      <c r="BM790" t="s">
        <v>15117</v>
      </c>
      <c r="BN790" t="s">
        <v>74</v>
      </c>
      <c r="BO790" t="s">
        <v>74</v>
      </c>
      <c r="BP790" t="s">
        <v>74</v>
      </c>
      <c r="BQ790" t="s">
        <v>74</v>
      </c>
      <c r="BR790" t="s">
        <v>106</v>
      </c>
      <c r="BS790" t="s">
        <v>15118</v>
      </c>
      <c r="BT790" t="str">
        <f>HYPERLINK("https%3A%2F%2Fwww.webofscience.com%2Fwos%2Fwoscc%2Ffull-record%2FWOS:000733547300001","View Full Record in Web of Science")</f>
        <v>View Full Record in Web of Science</v>
      </c>
    </row>
    <row r="791" spans="1:72" x14ac:dyDescent="0.15">
      <c r="A791" t="s">
        <v>72</v>
      </c>
      <c r="B791" t="s">
        <v>15119</v>
      </c>
      <c r="C791" t="s">
        <v>74</v>
      </c>
      <c r="D791" t="s">
        <v>74</v>
      </c>
      <c r="E791" t="s">
        <v>74</v>
      </c>
      <c r="F791" t="s">
        <v>15120</v>
      </c>
      <c r="G791" t="s">
        <v>74</v>
      </c>
      <c r="H791" t="s">
        <v>74</v>
      </c>
      <c r="I791" t="s">
        <v>15121</v>
      </c>
      <c r="J791" t="s">
        <v>15122</v>
      </c>
      <c r="K791" t="s">
        <v>74</v>
      </c>
      <c r="L791" t="s">
        <v>74</v>
      </c>
      <c r="M791" t="s">
        <v>78</v>
      </c>
      <c r="N791" t="s">
        <v>79</v>
      </c>
      <c r="O791" t="s">
        <v>74</v>
      </c>
      <c r="P791" t="s">
        <v>74</v>
      </c>
      <c r="Q791" t="s">
        <v>74</v>
      </c>
      <c r="R791" t="s">
        <v>74</v>
      </c>
      <c r="S791" t="s">
        <v>74</v>
      </c>
      <c r="T791" t="s">
        <v>15123</v>
      </c>
      <c r="U791" t="s">
        <v>15124</v>
      </c>
      <c r="V791" t="s">
        <v>15125</v>
      </c>
      <c r="W791" t="s">
        <v>15126</v>
      </c>
      <c r="X791" t="s">
        <v>15127</v>
      </c>
      <c r="Y791" t="s">
        <v>15128</v>
      </c>
      <c r="Z791" t="s">
        <v>15129</v>
      </c>
      <c r="AA791" t="s">
        <v>74</v>
      </c>
      <c r="AB791" t="s">
        <v>15130</v>
      </c>
      <c r="AC791" t="s">
        <v>15131</v>
      </c>
      <c r="AD791" t="s">
        <v>15132</v>
      </c>
      <c r="AE791" t="s">
        <v>15133</v>
      </c>
      <c r="AF791" t="s">
        <v>74</v>
      </c>
      <c r="AG791">
        <v>52</v>
      </c>
      <c r="AH791">
        <v>18</v>
      </c>
      <c r="AI791">
        <v>18</v>
      </c>
      <c r="AJ791">
        <v>5</v>
      </c>
      <c r="AK791">
        <v>16</v>
      </c>
      <c r="AL791" t="s">
        <v>198</v>
      </c>
      <c r="AM791" t="s">
        <v>506</v>
      </c>
      <c r="AN791" t="s">
        <v>1695</v>
      </c>
      <c r="AO791" t="s">
        <v>15134</v>
      </c>
      <c r="AP791" t="s">
        <v>15135</v>
      </c>
      <c r="AQ791" t="s">
        <v>74</v>
      </c>
      <c r="AR791" t="s">
        <v>15122</v>
      </c>
      <c r="AS791" t="s">
        <v>15136</v>
      </c>
      <c r="AT791" t="s">
        <v>4533</v>
      </c>
      <c r="AU791">
        <v>2022</v>
      </c>
      <c r="AV791">
        <v>64</v>
      </c>
      <c r="AW791">
        <v>4</v>
      </c>
      <c r="AX791" t="s">
        <v>74</v>
      </c>
      <c r="AY791" t="s">
        <v>74</v>
      </c>
      <c r="AZ791" t="s">
        <v>233</v>
      </c>
      <c r="BA791" t="s">
        <v>74</v>
      </c>
      <c r="BB791">
        <v>781</v>
      </c>
      <c r="BC791">
        <v>791</v>
      </c>
      <c r="BD791" t="s">
        <v>15137</v>
      </c>
      <c r="BE791" t="s">
        <v>15138</v>
      </c>
      <c r="BF791" t="str">
        <f>HYPERLINK("http://dx.doi.org/10.1017/RDC.2021.102","http://dx.doi.org/10.1017/RDC.2021.102")</f>
        <v>http://dx.doi.org/10.1017/RDC.2021.102</v>
      </c>
      <c r="BG791" t="s">
        <v>74</v>
      </c>
      <c r="BH791" t="s">
        <v>14486</v>
      </c>
      <c r="BI791">
        <v>11</v>
      </c>
      <c r="BJ791" t="s">
        <v>1014</v>
      </c>
      <c r="BK791" t="s">
        <v>103</v>
      </c>
      <c r="BL791" t="s">
        <v>1014</v>
      </c>
      <c r="BM791" t="s">
        <v>15139</v>
      </c>
      <c r="BN791" t="s">
        <v>74</v>
      </c>
      <c r="BO791" t="s">
        <v>749</v>
      </c>
      <c r="BP791" t="s">
        <v>74</v>
      </c>
      <c r="BQ791" t="s">
        <v>74</v>
      </c>
      <c r="BR791" t="s">
        <v>106</v>
      </c>
      <c r="BS791" t="s">
        <v>15140</v>
      </c>
      <c r="BT791" t="str">
        <f>HYPERLINK("https%3A%2F%2Fwww.webofscience.com%2Fwos%2Fwoscc%2Ffull-record%2FWOS:000733650000001","View Full Record in Web of Science")</f>
        <v>View Full Record in Web of Science</v>
      </c>
    </row>
    <row r="792" spans="1:72" x14ac:dyDescent="0.15">
      <c r="A792" t="s">
        <v>72</v>
      </c>
      <c r="B792" t="s">
        <v>15141</v>
      </c>
      <c r="C792" t="s">
        <v>74</v>
      </c>
      <c r="D792" t="s">
        <v>74</v>
      </c>
      <c r="E792" t="s">
        <v>74</v>
      </c>
      <c r="F792" t="s">
        <v>15142</v>
      </c>
      <c r="G792" t="s">
        <v>74</v>
      </c>
      <c r="H792" t="s">
        <v>74</v>
      </c>
      <c r="I792" t="s">
        <v>15143</v>
      </c>
      <c r="J792" t="s">
        <v>1375</v>
      </c>
      <c r="K792" t="s">
        <v>74</v>
      </c>
      <c r="L792" t="s">
        <v>74</v>
      </c>
      <c r="M792" t="s">
        <v>78</v>
      </c>
      <c r="N792" t="s">
        <v>79</v>
      </c>
      <c r="O792" t="s">
        <v>74</v>
      </c>
      <c r="P792" t="s">
        <v>74</v>
      </c>
      <c r="Q792" t="s">
        <v>74</v>
      </c>
      <c r="R792" t="s">
        <v>74</v>
      </c>
      <c r="S792" t="s">
        <v>74</v>
      </c>
      <c r="T792" t="s">
        <v>15144</v>
      </c>
      <c r="U792" t="s">
        <v>15145</v>
      </c>
      <c r="V792" t="s">
        <v>15146</v>
      </c>
      <c r="W792" t="s">
        <v>15147</v>
      </c>
      <c r="X792" t="s">
        <v>15148</v>
      </c>
      <c r="Y792" t="s">
        <v>15149</v>
      </c>
      <c r="Z792" t="s">
        <v>13683</v>
      </c>
      <c r="AA792" t="s">
        <v>15150</v>
      </c>
      <c r="AB792" t="s">
        <v>15151</v>
      </c>
      <c r="AC792" t="s">
        <v>15152</v>
      </c>
      <c r="AD792" t="s">
        <v>15153</v>
      </c>
      <c r="AE792" t="s">
        <v>15154</v>
      </c>
      <c r="AF792" t="s">
        <v>74</v>
      </c>
      <c r="AG792">
        <v>64</v>
      </c>
      <c r="AH792">
        <v>6</v>
      </c>
      <c r="AI792">
        <v>6</v>
      </c>
      <c r="AJ792">
        <v>1</v>
      </c>
      <c r="AK792">
        <v>6</v>
      </c>
      <c r="AL792" t="s">
        <v>363</v>
      </c>
      <c r="AM792" t="s">
        <v>364</v>
      </c>
      <c r="AN792" t="s">
        <v>365</v>
      </c>
      <c r="AO792" t="s">
        <v>74</v>
      </c>
      <c r="AP792" t="s">
        <v>1388</v>
      </c>
      <c r="AQ792" t="s">
        <v>74</v>
      </c>
      <c r="AR792" t="s">
        <v>1389</v>
      </c>
      <c r="AS792" t="s">
        <v>1390</v>
      </c>
      <c r="AT792" t="s">
        <v>15155</v>
      </c>
      <c r="AU792">
        <v>2021</v>
      </c>
      <c r="AV792">
        <v>9</v>
      </c>
      <c r="AW792" t="s">
        <v>74</v>
      </c>
      <c r="AX792" t="s">
        <v>74</v>
      </c>
      <c r="AY792" t="s">
        <v>74</v>
      </c>
      <c r="AZ792" t="s">
        <v>74</v>
      </c>
      <c r="BA792" t="s">
        <v>74</v>
      </c>
      <c r="BB792" t="s">
        <v>74</v>
      </c>
      <c r="BC792" t="s">
        <v>74</v>
      </c>
      <c r="BD792">
        <v>813433</v>
      </c>
      <c r="BE792" t="s">
        <v>15156</v>
      </c>
      <c r="BF792" t="str">
        <f>HYPERLINK("http://dx.doi.org/10.3389/feart.2021.813433","http://dx.doi.org/10.3389/feart.2021.813433")</f>
        <v>http://dx.doi.org/10.3389/feart.2021.813433</v>
      </c>
      <c r="BG792" t="s">
        <v>74</v>
      </c>
      <c r="BH792" t="s">
        <v>74</v>
      </c>
      <c r="BI792">
        <v>12</v>
      </c>
      <c r="BJ792" t="s">
        <v>151</v>
      </c>
      <c r="BK792" t="s">
        <v>103</v>
      </c>
      <c r="BL792" t="s">
        <v>152</v>
      </c>
      <c r="BM792" t="s">
        <v>15157</v>
      </c>
      <c r="BN792" t="s">
        <v>74</v>
      </c>
      <c r="BO792" t="s">
        <v>445</v>
      </c>
      <c r="BP792" t="s">
        <v>74</v>
      </c>
      <c r="BQ792" t="s">
        <v>74</v>
      </c>
      <c r="BR792" t="s">
        <v>106</v>
      </c>
      <c r="BS792" t="s">
        <v>15158</v>
      </c>
      <c r="BT792" t="str">
        <f>HYPERLINK("https%3A%2F%2Fwww.webofscience.com%2Fwos%2Fwoscc%2Ffull-record%2FWOS:000745141700001","View Full Record in Web of Science")</f>
        <v>View Full Record in Web of Science</v>
      </c>
    </row>
    <row r="793" spans="1:72" x14ac:dyDescent="0.15">
      <c r="A793" t="s">
        <v>72</v>
      </c>
      <c r="B793" t="s">
        <v>15159</v>
      </c>
      <c r="C793" t="s">
        <v>74</v>
      </c>
      <c r="D793" t="s">
        <v>74</v>
      </c>
      <c r="E793" t="s">
        <v>74</v>
      </c>
      <c r="F793" t="s">
        <v>15160</v>
      </c>
      <c r="G793" t="s">
        <v>74</v>
      </c>
      <c r="H793" t="s">
        <v>74</v>
      </c>
      <c r="I793" t="s">
        <v>15161</v>
      </c>
      <c r="J793" t="s">
        <v>1682</v>
      </c>
      <c r="K793" t="s">
        <v>74</v>
      </c>
      <c r="L793" t="s">
        <v>74</v>
      </c>
      <c r="M793" t="s">
        <v>78</v>
      </c>
      <c r="N793" t="s">
        <v>79</v>
      </c>
      <c r="O793" t="s">
        <v>74</v>
      </c>
      <c r="P793" t="s">
        <v>74</v>
      </c>
      <c r="Q793" t="s">
        <v>74</v>
      </c>
      <c r="R793" t="s">
        <v>74</v>
      </c>
      <c r="S793" t="s">
        <v>74</v>
      </c>
      <c r="T793" t="s">
        <v>15162</v>
      </c>
      <c r="U793" t="s">
        <v>15163</v>
      </c>
      <c r="V793" t="s">
        <v>15164</v>
      </c>
      <c r="W793" t="s">
        <v>15165</v>
      </c>
      <c r="X793" t="s">
        <v>15166</v>
      </c>
      <c r="Y793" t="s">
        <v>15167</v>
      </c>
      <c r="Z793" t="s">
        <v>15168</v>
      </c>
      <c r="AA793" t="s">
        <v>15169</v>
      </c>
      <c r="AB793" t="s">
        <v>15170</v>
      </c>
      <c r="AC793" t="s">
        <v>15171</v>
      </c>
      <c r="AD793" t="s">
        <v>15172</v>
      </c>
      <c r="AE793" t="s">
        <v>15173</v>
      </c>
      <c r="AF793" t="s">
        <v>74</v>
      </c>
      <c r="AG793">
        <v>75</v>
      </c>
      <c r="AH793">
        <v>1</v>
      </c>
      <c r="AI793">
        <v>1</v>
      </c>
      <c r="AJ793">
        <v>3</v>
      </c>
      <c r="AK793">
        <v>12</v>
      </c>
      <c r="AL793" t="s">
        <v>198</v>
      </c>
      <c r="AM793" t="s">
        <v>506</v>
      </c>
      <c r="AN793" t="s">
        <v>1695</v>
      </c>
      <c r="AO793" t="s">
        <v>1696</v>
      </c>
      <c r="AP793" t="s">
        <v>1697</v>
      </c>
      <c r="AQ793" t="s">
        <v>74</v>
      </c>
      <c r="AR793" t="s">
        <v>1698</v>
      </c>
      <c r="AS793" t="s">
        <v>1699</v>
      </c>
      <c r="AT793" t="s">
        <v>840</v>
      </c>
      <c r="AU793">
        <v>2022</v>
      </c>
      <c r="AV793">
        <v>34</v>
      </c>
      <c r="AW793">
        <v>1</v>
      </c>
      <c r="AX793" t="s">
        <v>74</v>
      </c>
      <c r="AY793" t="s">
        <v>74</v>
      </c>
      <c r="AZ793" t="s">
        <v>74</v>
      </c>
      <c r="BA793" t="s">
        <v>74</v>
      </c>
      <c r="BB793">
        <v>3</v>
      </c>
      <c r="BC793">
        <v>15</v>
      </c>
      <c r="BD793" t="s">
        <v>15174</v>
      </c>
      <c r="BE793" t="s">
        <v>15175</v>
      </c>
      <c r="BF793" t="str">
        <f>HYPERLINK("http://dx.doi.org/10.1017/S0954102021000511","http://dx.doi.org/10.1017/S0954102021000511")</f>
        <v>http://dx.doi.org/10.1017/S0954102021000511</v>
      </c>
      <c r="BG793" t="s">
        <v>74</v>
      </c>
      <c r="BH793" t="s">
        <v>14486</v>
      </c>
      <c r="BI793">
        <v>13</v>
      </c>
      <c r="BJ793" t="s">
        <v>1702</v>
      </c>
      <c r="BK793" t="s">
        <v>103</v>
      </c>
      <c r="BL793" t="s">
        <v>1703</v>
      </c>
      <c r="BM793" t="s">
        <v>1704</v>
      </c>
      <c r="BN793" t="s">
        <v>74</v>
      </c>
      <c r="BO793" t="s">
        <v>74</v>
      </c>
      <c r="BP793" t="s">
        <v>74</v>
      </c>
      <c r="BQ793" t="s">
        <v>74</v>
      </c>
      <c r="BR793" t="s">
        <v>106</v>
      </c>
      <c r="BS793" t="s">
        <v>15176</v>
      </c>
      <c r="BT793" t="str">
        <f>HYPERLINK("https%3A%2F%2Fwww.webofscience.com%2Fwos%2Fwoscc%2Ffull-record%2FWOS:000733359500001","View Full Record in Web of Science")</f>
        <v>View Full Record in Web of Science</v>
      </c>
    </row>
    <row r="794" spans="1:72" x14ac:dyDescent="0.15">
      <c r="A794" t="s">
        <v>72</v>
      </c>
      <c r="B794" t="s">
        <v>15177</v>
      </c>
      <c r="C794" t="s">
        <v>74</v>
      </c>
      <c r="D794" t="s">
        <v>74</v>
      </c>
      <c r="E794" t="s">
        <v>74</v>
      </c>
      <c r="F794" t="s">
        <v>15178</v>
      </c>
      <c r="G794" t="s">
        <v>74</v>
      </c>
      <c r="H794" t="s">
        <v>74</v>
      </c>
      <c r="I794" t="s">
        <v>15179</v>
      </c>
      <c r="J794" t="s">
        <v>1397</v>
      </c>
      <c r="K794" t="s">
        <v>74</v>
      </c>
      <c r="L794" t="s">
        <v>74</v>
      </c>
      <c r="M794" t="s">
        <v>78</v>
      </c>
      <c r="N794" t="s">
        <v>79</v>
      </c>
      <c r="O794" t="s">
        <v>74</v>
      </c>
      <c r="P794" t="s">
        <v>74</v>
      </c>
      <c r="Q794" t="s">
        <v>74</v>
      </c>
      <c r="R794" t="s">
        <v>74</v>
      </c>
      <c r="S794" t="s">
        <v>74</v>
      </c>
      <c r="T794" t="s">
        <v>74</v>
      </c>
      <c r="U794" t="s">
        <v>15180</v>
      </c>
      <c r="V794" t="s">
        <v>15181</v>
      </c>
      <c r="W794" t="s">
        <v>15182</v>
      </c>
      <c r="X794" t="s">
        <v>15183</v>
      </c>
      <c r="Y794" t="s">
        <v>15184</v>
      </c>
      <c r="Z794" t="s">
        <v>15185</v>
      </c>
      <c r="AA794" t="s">
        <v>15186</v>
      </c>
      <c r="AB794" t="s">
        <v>15187</v>
      </c>
      <c r="AC794" t="s">
        <v>15188</v>
      </c>
      <c r="AD794" t="s">
        <v>15189</v>
      </c>
      <c r="AE794" t="s">
        <v>15190</v>
      </c>
      <c r="AF794" t="s">
        <v>74</v>
      </c>
      <c r="AG794">
        <v>70</v>
      </c>
      <c r="AH794">
        <v>8</v>
      </c>
      <c r="AI794">
        <v>9</v>
      </c>
      <c r="AJ794">
        <v>0</v>
      </c>
      <c r="AK794">
        <v>14</v>
      </c>
      <c r="AL794" t="s">
        <v>120</v>
      </c>
      <c r="AM794" t="s">
        <v>121</v>
      </c>
      <c r="AN794" t="s">
        <v>122</v>
      </c>
      <c r="AO794" t="s">
        <v>1409</v>
      </c>
      <c r="AP794" t="s">
        <v>1410</v>
      </c>
      <c r="AQ794" t="s">
        <v>74</v>
      </c>
      <c r="AR794" t="s">
        <v>1397</v>
      </c>
      <c r="AS794" t="s">
        <v>1411</v>
      </c>
      <c r="AT794" t="s">
        <v>15155</v>
      </c>
      <c r="AU794">
        <v>2021</v>
      </c>
      <c r="AV794">
        <v>15</v>
      </c>
      <c r="AW794">
        <v>12</v>
      </c>
      <c r="AX794" t="s">
        <v>74</v>
      </c>
      <c r="AY794" t="s">
        <v>74</v>
      </c>
      <c r="AZ794" t="s">
        <v>74</v>
      </c>
      <c r="BA794" t="s">
        <v>74</v>
      </c>
      <c r="BB794">
        <v>5785</v>
      </c>
      <c r="BC794">
        <v>5804</v>
      </c>
      <c r="BD794" t="s">
        <v>74</v>
      </c>
      <c r="BE794" t="s">
        <v>15191</v>
      </c>
      <c r="BF794" t="str">
        <f>HYPERLINK("http://dx.doi.org/10.5194/tc-15-5785-2021","http://dx.doi.org/10.5194/tc-15-5785-2021")</f>
        <v>http://dx.doi.org/10.5194/tc-15-5785-2021</v>
      </c>
      <c r="BG794" t="s">
        <v>74</v>
      </c>
      <c r="BH794" t="s">
        <v>74</v>
      </c>
      <c r="BI794">
        <v>20</v>
      </c>
      <c r="BJ794" t="s">
        <v>208</v>
      </c>
      <c r="BK794" t="s">
        <v>103</v>
      </c>
      <c r="BL794" t="s">
        <v>209</v>
      </c>
      <c r="BM794" t="s">
        <v>15192</v>
      </c>
      <c r="BN794" t="s">
        <v>74</v>
      </c>
      <c r="BO794" t="s">
        <v>1204</v>
      </c>
      <c r="BP794" t="s">
        <v>74</v>
      </c>
      <c r="BQ794" t="s">
        <v>74</v>
      </c>
      <c r="BR794" t="s">
        <v>106</v>
      </c>
      <c r="BS794" t="s">
        <v>15193</v>
      </c>
      <c r="BT794" t="str">
        <f>HYPERLINK("https%3A%2F%2Fwww.webofscience.com%2Fwos%2Fwoscc%2Ffull-record%2FWOS:000733129700001","View Full Record in Web of Science")</f>
        <v>View Full Record in Web of Science</v>
      </c>
    </row>
    <row r="795" spans="1:72" x14ac:dyDescent="0.15">
      <c r="A795" t="s">
        <v>72</v>
      </c>
      <c r="B795" t="s">
        <v>15194</v>
      </c>
      <c r="C795" t="s">
        <v>74</v>
      </c>
      <c r="D795" t="s">
        <v>74</v>
      </c>
      <c r="E795" t="s">
        <v>74</v>
      </c>
      <c r="F795" t="s">
        <v>15195</v>
      </c>
      <c r="G795" t="s">
        <v>74</v>
      </c>
      <c r="H795" t="s">
        <v>74</v>
      </c>
      <c r="I795" t="s">
        <v>15196</v>
      </c>
      <c r="J795" t="s">
        <v>730</v>
      </c>
      <c r="K795" t="s">
        <v>74</v>
      </c>
      <c r="L795" t="s">
        <v>74</v>
      </c>
      <c r="M795" t="s">
        <v>78</v>
      </c>
      <c r="N795" t="s">
        <v>79</v>
      </c>
      <c r="O795" t="s">
        <v>74</v>
      </c>
      <c r="P795" t="s">
        <v>74</v>
      </c>
      <c r="Q795" t="s">
        <v>74</v>
      </c>
      <c r="R795" t="s">
        <v>74</v>
      </c>
      <c r="S795" t="s">
        <v>74</v>
      </c>
      <c r="T795" t="s">
        <v>74</v>
      </c>
      <c r="U795" t="s">
        <v>15197</v>
      </c>
      <c r="V795" t="s">
        <v>15198</v>
      </c>
      <c r="W795" t="s">
        <v>15199</v>
      </c>
      <c r="X795" t="s">
        <v>15200</v>
      </c>
      <c r="Y795" t="s">
        <v>15201</v>
      </c>
      <c r="Z795" t="s">
        <v>15202</v>
      </c>
      <c r="AA795" t="s">
        <v>15203</v>
      </c>
      <c r="AB795" t="s">
        <v>15204</v>
      </c>
      <c r="AC795" t="s">
        <v>15205</v>
      </c>
      <c r="AD795" t="s">
        <v>15206</v>
      </c>
      <c r="AE795" t="s">
        <v>15207</v>
      </c>
      <c r="AF795" t="s">
        <v>74</v>
      </c>
      <c r="AG795">
        <v>41</v>
      </c>
      <c r="AH795">
        <v>4</v>
      </c>
      <c r="AI795">
        <v>4</v>
      </c>
      <c r="AJ795">
        <v>2</v>
      </c>
      <c r="AK795">
        <v>18</v>
      </c>
      <c r="AL795" t="s">
        <v>171</v>
      </c>
      <c r="AM795" t="s">
        <v>172</v>
      </c>
      <c r="AN795" t="s">
        <v>173</v>
      </c>
      <c r="AO795" t="s">
        <v>742</v>
      </c>
      <c r="AP795" t="s">
        <v>743</v>
      </c>
      <c r="AQ795" t="s">
        <v>74</v>
      </c>
      <c r="AR795" t="s">
        <v>744</v>
      </c>
      <c r="AS795" t="s">
        <v>745</v>
      </c>
      <c r="AT795" t="s">
        <v>4645</v>
      </c>
      <c r="AU795">
        <v>2022</v>
      </c>
      <c r="AV795">
        <v>24</v>
      </c>
      <c r="AW795">
        <v>1</v>
      </c>
      <c r="AX795" t="s">
        <v>74</v>
      </c>
      <c r="AY795" t="s">
        <v>74</v>
      </c>
      <c r="AZ795" t="s">
        <v>74</v>
      </c>
      <c r="BA795" t="s">
        <v>74</v>
      </c>
      <c r="BB795">
        <v>98</v>
      </c>
      <c r="BC795">
        <v>109</v>
      </c>
      <c r="BD795" t="s">
        <v>74</v>
      </c>
      <c r="BE795" t="s">
        <v>15208</v>
      </c>
      <c r="BF795" t="str">
        <f>HYPERLINK("http://dx.doi.org/10.1111/1462-2920.15870","http://dx.doi.org/10.1111/1462-2920.15870")</f>
        <v>http://dx.doi.org/10.1111/1462-2920.15870</v>
      </c>
      <c r="BG795" t="s">
        <v>74</v>
      </c>
      <c r="BH795" t="s">
        <v>14486</v>
      </c>
      <c r="BI795">
        <v>12</v>
      </c>
      <c r="BJ795" t="s">
        <v>747</v>
      </c>
      <c r="BK795" t="s">
        <v>103</v>
      </c>
      <c r="BL795" t="s">
        <v>747</v>
      </c>
      <c r="BM795" t="s">
        <v>15209</v>
      </c>
      <c r="BN795">
        <v>34913576</v>
      </c>
      <c r="BO795" t="s">
        <v>74</v>
      </c>
      <c r="BP795" t="s">
        <v>74</v>
      </c>
      <c r="BQ795" t="s">
        <v>74</v>
      </c>
      <c r="BR795" t="s">
        <v>106</v>
      </c>
      <c r="BS795" t="s">
        <v>15210</v>
      </c>
      <c r="BT795" t="str">
        <f>HYPERLINK("https%3A%2F%2Fwww.webofscience.com%2Fwos%2Fwoscc%2Ffull-record%2FWOS:000732933400001","View Full Record in Web of Science")</f>
        <v>View Full Record in Web of Science</v>
      </c>
    </row>
    <row r="796" spans="1:72" x14ac:dyDescent="0.15">
      <c r="A796" t="s">
        <v>72</v>
      </c>
      <c r="B796" t="s">
        <v>15211</v>
      </c>
      <c r="C796" t="s">
        <v>74</v>
      </c>
      <c r="D796" t="s">
        <v>74</v>
      </c>
      <c r="E796" t="s">
        <v>74</v>
      </c>
      <c r="F796" t="s">
        <v>15212</v>
      </c>
      <c r="G796" t="s">
        <v>74</v>
      </c>
      <c r="H796" t="s">
        <v>74</v>
      </c>
      <c r="I796" t="s">
        <v>15213</v>
      </c>
      <c r="J796" t="s">
        <v>15214</v>
      </c>
      <c r="K796" t="s">
        <v>74</v>
      </c>
      <c r="L796" t="s">
        <v>74</v>
      </c>
      <c r="M796" t="s">
        <v>78</v>
      </c>
      <c r="N796" t="s">
        <v>79</v>
      </c>
      <c r="O796" t="s">
        <v>74</v>
      </c>
      <c r="P796" t="s">
        <v>74</v>
      </c>
      <c r="Q796" t="s">
        <v>74</v>
      </c>
      <c r="R796" t="s">
        <v>74</v>
      </c>
      <c r="S796" t="s">
        <v>74</v>
      </c>
      <c r="T796" t="s">
        <v>15215</v>
      </c>
      <c r="U796" t="s">
        <v>15216</v>
      </c>
      <c r="V796" t="s">
        <v>15217</v>
      </c>
      <c r="W796" t="s">
        <v>15218</v>
      </c>
      <c r="X796" t="s">
        <v>163</v>
      </c>
      <c r="Y796" t="s">
        <v>15219</v>
      </c>
      <c r="Z796" t="s">
        <v>15220</v>
      </c>
      <c r="AA796" t="s">
        <v>15221</v>
      </c>
      <c r="AB796" t="s">
        <v>15222</v>
      </c>
      <c r="AC796" t="s">
        <v>15223</v>
      </c>
      <c r="AD796" t="s">
        <v>15223</v>
      </c>
      <c r="AE796" t="s">
        <v>15223</v>
      </c>
      <c r="AF796" t="s">
        <v>74</v>
      </c>
      <c r="AG796">
        <v>59</v>
      </c>
      <c r="AH796">
        <v>1</v>
      </c>
      <c r="AI796">
        <v>1</v>
      </c>
      <c r="AJ796">
        <v>1</v>
      </c>
      <c r="AK796">
        <v>7</v>
      </c>
      <c r="AL796" t="s">
        <v>171</v>
      </c>
      <c r="AM796" t="s">
        <v>172</v>
      </c>
      <c r="AN796" t="s">
        <v>173</v>
      </c>
      <c r="AO796" t="s">
        <v>15224</v>
      </c>
      <c r="AP796" t="s">
        <v>15225</v>
      </c>
      <c r="AQ796" t="s">
        <v>74</v>
      </c>
      <c r="AR796" t="s">
        <v>15226</v>
      </c>
      <c r="AS796" t="s">
        <v>15227</v>
      </c>
      <c r="AT796" t="s">
        <v>1674</v>
      </c>
      <c r="AU796">
        <v>2022</v>
      </c>
      <c r="AV796">
        <v>29</v>
      </c>
      <c r="AW796">
        <v>3</v>
      </c>
      <c r="AX796" t="s">
        <v>74</v>
      </c>
      <c r="AY796" t="s">
        <v>74</v>
      </c>
      <c r="AZ796" t="s">
        <v>74</v>
      </c>
      <c r="BA796" t="s">
        <v>74</v>
      </c>
      <c r="BB796">
        <v>241</v>
      </c>
      <c r="BC796">
        <v>253</v>
      </c>
      <c r="BD796" t="s">
        <v>74</v>
      </c>
      <c r="BE796" t="s">
        <v>15228</v>
      </c>
      <c r="BF796" t="str">
        <f>HYPERLINK("http://dx.doi.org/10.1111/fme.12528","http://dx.doi.org/10.1111/fme.12528")</f>
        <v>http://dx.doi.org/10.1111/fme.12528</v>
      </c>
      <c r="BG796" t="s">
        <v>74</v>
      </c>
      <c r="BH796" t="s">
        <v>14486</v>
      </c>
      <c r="BI796">
        <v>13</v>
      </c>
      <c r="BJ796" t="s">
        <v>485</v>
      </c>
      <c r="BK796" t="s">
        <v>103</v>
      </c>
      <c r="BL796" t="s">
        <v>485</v>
      </c>
      <c r="BM796" t="s">
        <v>15229</v>
      </c>
      <c r="BN796" t="s">
        <v>74</v>
      </c>
      <c r="BO796" t="s">
        <v>74</v>
      </c>
      <c r="BP796" t="s">
        <v>74</v>
      </c>
      <c r="BQ796" t="s">
        <v>74</v>
      </c>
      <c r="BR796" t="s">
        <v>106</v>
      </c>
      <c r="BS796" t="s">
        <v>15230</v>
      </c>
      <c r="BT796" t="str">
        <f>HYPERLINK("https%3A%2F%2Fwww.webofscience.com%2Fwos%2Fwoscc%2Ffull-record%2FWOS:000732714000001","View Full Record in Web of Science")</f>
        <v>View Full Record in Web of Science</v>
      </c>
    </row>
    <row r="797" spans="1:72" x14ac:dyDescent="0.15">
      <c r="A797" t="s">
        <v>72</v>
      </c>
      <c r="B797" t="s">
        <v>15231</v>
      </c>
      <c r="C797" t="s">
        <v>74</v>
      </c>
      <c r="D797" t="s">
        <v>74</v>
      </c>
      <c r="E797" t="s">
        <v>74</v>
      </c>
      <c r="F797" t="s">
        <v>15232</v>
      </c>
      <c r="G797" t="s">
        <v>74</v>
      </c>
      <c r="H797" t="s">
        <v>74</v>
      </c>
      <c r="I797" t="s">
        <v>15233</v>
      </c>
      <c r="J797" t="s">
        <v>1375</v>
      </c>
      <c r="K797" t="s">
        <v>74</v>
      </c>
      <c r="L797" t="s">
        <v>74</v>
      </c>
      <c r="M797" t="s">
        <v>78</v>
      </c>
      <c r="N797" t="s">
        <v>79</v>
      </c>
      <c r="O797" t="s">
        <v>74</v>
      </c>
      <c r="P797" t="s">
        <v>74</v>
      </c>
      <c r="Q797" t="s">
        <v>74</v>
      </c>
      <c r="R797" t="s">
        <v>74</v>
      </c>
      <c r="S797" t="s">
        <v>74</v>
      </c>
      <c r="T797" t="s">
        <v>15234</v>
      </c>
      <c r="U797" t="s">
        <v>15235</v>
      </c>
      <c r="V797" t="s">
        <v>15236</v>
      </c>
      <c r="W797" t="s">
        <v>15237</v>
      </c>
      <c r="X797" t="s">
        <v>3316</v>
      </c>
      <c r="Y797" t="s">
        <v>15238</v>
      </c>
      <c r="Z797" t="s">
        <v>15239</v>
      </c>
      <c r="AA797" t="s">
        <v>15240</v>
      </c>
      <c r="AB797" t="s">
        <v>15241</v>
      </c>
      <c r="AC797" t="s">
        <v>74</v>
      </c>
      <c r="AD797" t="s">
        <v>74</v>
      </c>
      <c r="AE797" t="s">
        <v>74</v>
      </c>
      <c r="AF797" t="s">
        <v>74</v>
      </c>
      <c r="AG797">
        <v>70</v>
      </c>
      <c r="AH797">
        <v>1</v>
      </c>
      <c r="AI797">
        <v>2</v>
      </c>
      <c r="AJ797">
        <v>1</v>
      </c>
      <c r="AK797">
        <v>18</v>
      </c>
      <c r="AL797" t="s">
        <v>363</v>
      </c>
      <c r="AM797" t="s">
        <v>364</v>
      </c>
      <c r="AN797" t="s">
        <v>365</v>
      </c>
      <c r="AO797" t="s">
        <v>74</v>
      </c>
      <c r="AP797" t="s">
        <v>1388</v>
      </c>
      <c r="AQ797" t="s">
        <v>74</v>
      </c>
      <c r="AR797" t="s">
        <v>1389</v>
      </c>
      <c r="AS797" t="s">
        <v>1390</v>
      </c>
      <c r="AT797" t="s">
        <v>15242</v>
      </c>
      <c r="AU797">
        <v>2021</v>
      </c>
      <c r="AV797">
        <v>9</v>
      </c>
      <c r="AW797" t="s">
        <v>74</v>
      </c>
      <c r="AX797" t="s">
        <v>74</v>
      </c>
      <c r="AY797" t="s">
        <v>74</v>
      </c>
      <c r="AZ797" t="s">
        <v>74</v>
      </c>
      <c r="BA797" t="s">
        <v>74</v>
      </c>
      <c r="BB797" t="s">
        <v>74</v>
      </c>
      <c r="BC797" t="s">
        <v>74</v>
      </c>
      <c r="BD797">
        <v>782458</v>
      </c>
      <c r="BE797" t="s">
        <v>15243</v>
      </c>
      <c r="BF797" t="str">
        <f>HYPERLINK("http://dx.doi.org/10.3389/feart.2021.782458","http://dx.doi.org/10.3389/feart.2021.782458")</f>
        <v>http://dx.doi.org/10.3389/feart.2021.782458</v>
      </c>
      <c r="BG797" t="s">
        <v>74</v>
      </c>
      <c r="BH797" t="s">
        <v>74</v>
      </c>
      <c r="BI797">
        <v>15</v>
      </c>
      <c r="BJ797" t="s">
        <v>151</v>
      </c>
      <c r="BK797" t="s">
        <v>103</v>
      </c>
      <c r="BL797" t="s">
        <v>152</v>
      </c>
      <c r="BM797" t="s">
        <v>15244</v>
      </c>
      <c r="BN797" t="s">
        <v>74</v>
      </c>
      <c r="BO797" t="s">
        <v>445</v>
      </c>
      <c r="BP797" t="s">
        <v>74</v>
      </c>
      <c r="BQ797" t="s">
        <v>74</v>
      </c>
      <c r="BR797" t="s">
        <v>106</v>
      </c>
      <c r="BS797" t="s">
        <v>15245</v>
      </c>
      <c r="BT797" t="str">
        <f>HYPERLINK("https%3A%2F%2Fwww.webofscience.com%2Fwos%2Fwoscc%2Ffull-record%2FWOS:000739064100001","View Full Record in Web of Science")</f>
        <v>View Full Record in Web of Science</v>
      </c>
    </row>
    <row r="798" spans="1:72" x14ac:dyDescent="0.15">
      <c r="A798" t="s">
        <v>72</v>
      </c>
      <c r="B798" t="s">
        <v>15246</v>
      </c>
      <c r="C798" t="s">
        <v>74</v>
      </c>
      <c r="D798" t="s">
        <v>74</v>
      </c>
      <c r="E798" t="s">
        <v>74</v>
      </c>
      <c r="F798" t="s">
        <v>15247</v>
      </c>
      <c r="G798" t="s">
        <v>74</v>
      </c>
      <c r="H798" t="s">
        <v>74</v>
      </c>
      <c r="I798" t="s">
        <v>15248</v>
      </c>
      <c r="J798" t="s">
        <v>15249</v>
      </c>
      <c r="K798" t="s">
        <v>74</v>
      </c>
      <c r="L798" t="s">
        <v>74</v>
      </c>
      <c r="M798" t="s">
        <v>78</v>
      </c>
      <c r="N798" t="s">
        <v>79</v>
      </c>
      <c r="O798" t="s">
        <v>74</v>
      </c>
      <c r="P798" t="s">
        <v>74</v>
      </c>
      <c r="Q798" t="s">
        <v>74</v>
      </c>
      <c r="R798" t="s">
        <v>74</v>
      </c>
      <c r="S798" t="s">
        <v>74</v>
      </c>
      <c r="T798" t="s">
        <v>15250</v>
      </c>
      <c r="U798" t="s">
        <v>15251</v>
      </c>
      <c r="V798" t="s">
        <v>15252</v>
      </c>
      <c r="W798" t="s">
        <v>15253</v>
      </c>
      <c r="X798" t="s">
        <v>15254</v>
      </c>
      <c r="Y798" t="s">
        <v>15255</v>
      </c>
      <c r="Z798" t="s">
        <v>15256</v>
      </c>
      <c r="AA798" t="s">
        <v>15257</v>
      </c>
      <c r="AB798" t="s">
        <v>15258</v>
      </c>
      <c r="AC798" t="s">
        <v>15259</v>
      </c>
      <c r="AD798" t="s">
        <v>15260</v>
      </c>
      <c r="AE798" t="s">
        <v>15261</v>
      </c>
      <c r="AF798" t="s">
        <v>74</v>
      </c>
      <c r="AG798">
        <v>86</v>
      </c>
      <c r="AH798">
        <v>0</v>
      </c>
      <c r="AI798">
        <v>0</v>
      </c>
      <c r="AJ798">
        <v>1</v>
      </c>
      <c r="AK798">
        <v>6</v>
      </c>
      <c r="AL798" t="s">
        <v>15262</v>
      </c>
      <c r="AM798" t="s">
        <v>436</v>
      </c>
      <c r="AN798" t="s">
        <v>15263</v>
      </c>
      <c r="AO798" t="s">
        <v>15264</v>
      </c>
      <c r="AP798" t="s">
        <v>74</v>
      </c>
      <c r="AQ798" t="s">
        <v>74</v>
      </c>
      <c r="AR798" t="s">
        <v>15249</v>
      </c>
      <c r="AS798" t="s">
        <v>15265</v>
      </c>
      <c r="AT798" t="s">
        <v>15242</v>
      </c>
      <c r="AU798">
        <v>2021</v>
      </c>
      <c r="AV798">
        <v>9</v>
      </c>
      <c r="AW798" t="s">
        <v>74</v>
      </c>
      <c r="AX798" t="s">
        <v>74</v>
      </c>
      <c r="AY798" t="s">
        <v>74</v>
      </c>
      <c r="AZ798" t="s">
        <v>74</v>
      </c>
      <c r="BA798" t="s">
        <v>74</v>
      </c>
      <c r="BB798" t="s">
        <v>74</v>
      </c>
      <c r="BC798" t="s">
        <v>74</v>
      </c>
      <c r="BD798" t="s">
        <v>15266</v>
      </c>
      <c r="BE798" t="s">
        <v>15267</v>
      </c>
      <c r="BF798" t="str">
        <f>HYPERLINK("http://dx.doi.org/10.7717/peerj.12679","http://dx.doi.org/10.7717/peerj.12679")</f>
        <v>http://dx.doi.org/10.7717/peerj.12679</v>
      </c>
      <c r="BG798" t="s">
        <v>74</v>
      </c>
      <c r="BH798" t="s">
        <v>74</v>
      </c>
      <c r="BI798">
        <v>24</v>
      </c>
      <c r="BJ798" t="s">
        <v>289</v>
      </c>
      <c r="BK798" t="s">
        <v>103</v>
      </c>
      <c r="BL798" t="s">
        <v>290</v>
      </c>
      <c r="BM798" t="s">
        <v>15268</v>
      </c>
      <c r="BN798">
        <v>35036155</v>
      </c>
      <c r="BO798" t="s">
        <v>371</v>
      </c>
      <c r="BP798" t="s">
        <v>74</v>
      </c>
      <c r="BQ798" t="s">
        <v>74</v>
      </c>
      <c r="BR798" t="s">
        <v>106</v>
      </c>
      <c r="BS798" t="s">
        <v>15269</v>
      </c>
      <c r="BT798" t="str">
        <f>HYPERLINK("https%3A%2F%2Fwww.webofscience.com%2Fwos%2Fwoscc%2Ffull-record%2FWOS:000736980900001","View Full Record in Web of Science")</f>
        <v>View Full Record in Web of Science</v>
      </c>
    </row>
    <row r="799" spans="1:72" x14ac:dyDescent="0.15">
      <c r="A799" t="s">
        <v>72</v>
      </c>
      <c r="B799" t="s">
        <v>15270</v>
      </c>
      <c r="C799" t="s">
        <v>74</v>
      </c>
      <c r="D799" t="s">
        <v>74</v>
      </c>
      <c r="E799" t="s">
        <v>74</v>
      </c>
      <c r="F799" t="s">
        <v>15271</v>
      </c>
      <c r="G799" t="s">
        <v>74</v>
      </c>
      <c r="H799" t="s">
        <v>74</v>
      </c>
      <c r="I799" t="s">
        <v>15272</v>
      </c>
      <c r="J799" t="s">
        <v>4683</v>
      </c>
      <c r="K799" t="s">
        <v>74</v>
      </c>
      <c r="L799" t="s">
        <v>74</v>
      </c>
      <c r="M799" t="s">
        <v>78</v>
      </c>
      <c r="N799" t="s">
        <v>79</v>
      </c>
      <c r="O799" t="s">
        <v>74</v>
      </c>
      <c r="P799" t="s">
        <v>74</v>
      </c>
      <c r="Q799" t="s">
        <v>74</v>
      </c>
      <c r="R799" t="s">
        <v>74</v>
      </c>
      <c r="S799" t="s">
        <v>74</v>
      </c>
      <c r="T799" t="s">
        <v>15273</v>
      </c>
      <c r="U799" t="s">
        <v>15274</v>
      </c>
      <c r="V799" t="s">
        <v>15275</v>
      </c>
      <c r="W799" t="s">
        <v>15276</v>
      </c>
      <c r="X799" t="s">
        <v>15277</v>
      </c>
      <c r="Y799" t="s">
        <v>15278</v>
      </c>
      <c r="Z799" t="s">
        <v>15279</v>
      </c>
      <c r="AA799" t="s">
        <v>15280</v>
      </c>
      <c r="AB799" t="s">
        <v>15281</v>
      </c>
      <c r="AC799" t="s">
        <v>74</v>
      </c>
      <c r="AD799" t="s">
        <v>74</v>
      </c>
      <c r="AE799" t="s">
        <v>74</v>
      </c>
      <c r="AF799" t="s">
        <v>74</v>
      </c>
      <c r="AG799">
        <v>76</v>
      </c>
      <c r="AH799">
        <v>9</v>
      </c>
      <c r="AI799">
        <v>9</v>
      </c>
      <c r="AJ799">
        <v>2</v>
      </c>
      <c r="AK799">
        <v>42</v>
      </c>
      <c r="AL799" t="s">
        <v>310</v>
      </c>
      <c r="AM799" t="s">
        <v>311</v>
      </c>
      <c r="AN799" t="s">
        <v>312</v>
      </c>
      <c r="AO799" t="s">
        <v>4696</v>
      </c>
      <c r="AP799" t="s">
        <v>4697</v>
      </c>
      <c r="AQ799" t="s">
        <v>74</v>
      </c>
      <c r="AR799" t="s">
        <v>4698</v>
      </c>
      <c r="AS799" t="s">
        <v>4699</v>
      </c>
      <c r="AT799" t="s">
        <v>15282</v>
      </c>
      <c r="AU799">
        <v>2022</v>
      </c>
      <c r="AV799">
        <v>811</v>
      </c>
      <c r="AW799" t="s">
        <v>74</v>
      </c>
      <c r="AX799" t="s">
        <v>74</v>
      </c>
      <c r="AY799" t="s">
        <v>74</v>
      </c>
      <c r="AZ799" t="s">
        <v>74</v>
      </c>
      <c r="BA799" t="s">
        <v>74</v>
      </c>
      <c r="BB799" t="s">
        <v>74</v>
      </c>
      <c r="BC799" t="s">
        <v>74</v>
      </c>
      <c r="BD799">
        <v>151740</v>
      </c>
      <c r="BE799" t="s">
        <v>15283</v>
      </c>
      <c r="BF799" t="str">
        <f>HYPERLINK("http://dx.doi.org/10.1016/j.scitotenv.2021.151740","http://dx.doi.org/10.1016/j.scitotenv.2021.151740")</f>
        <v>http://dx.doi.org/10.1016/j.scitotenv.2021.151740</v>
      </c>
      <c r="BG799" t="s">
        <v>74</v>
      </c>
      <c r="BH799" t="s">
        <v>14486</v>
      </c>
      <c r="BI799">
        <v>11</v>
      </c>
      <c r="BJ799" t="s">
        <v>1560</v>
      </c>
      <c r="BK799" t="s">
        <v>103</v>
      </c>
      <c r="BL799" t="s">
        <v>1561</v>
      </c>
      <c r="BM799" t="s">
        <v>15284</v>
      </c>
      <c r="BN799">
        <v>34871693</v>
      </c>
      <c r="BO799" t="s">
        <v>1745</v>
      </c>
      <c r="BP799" t="s">
        <v>74</v>
      </c>
      <c r="BQ799" t="s">
        <v>74</v>
      </c>
      <c r="BR799" t="s">
        <v>106</v>
      </c>
      <c r="BS799" t="s">
        <v>15285</v>
      </c>
      <c r="BT799" t="str">
        <f>HYPERLINK("https%3A%2F%2Fwww.webofscience.com%2Fwos%2Fwoscc%2Ffull-record%2FWOS:000740222800020","View Full Record in Web of Science")</f>
        <v>View Full Record in Web of Science</v>
      </c>
    </row>
    <row r="800" spans="1:72" x14ac:dyDescent="0.15">
      <c r="A800" t="s">
        <v>72</v>
      </c>
      <c r="B800" t="s">
        <v>15286</v>
      </c>
      <c r="C800" t="s">
        <v>74</v>
      </c>
      <c r="D800" t="s">
        <v>74</v>
      </c>
      <c r="E800" t="s">
        <v>74</v>
      </c>
      <c r="F800" t="s">
        <v>15287</v>
      </c>
      <c r="G800" t="s">
        <v>74</v>
      </c>
      <c r="H800" t="s">
        <v>74</v>
      </c>
      <c r="I800" t="s">
        <v>15288</v>
      </c>
      <c r="J800" t="s">
        <v>15289</v>
      </c>
      <c r="K800" t="s">
        <v>74</v>
      </c>
      <c r="L800" t="s">
        <v>74</v>
      </c>
      <c r="M800" t="s">
        <v>78</v>
      </c>
      <c r="N800" t="s">
        <v>14859</v>
      </c>
      <c r="O800" t="s">
        <v>74</v>
      </c>
      <c r="P800" t="s">
        <v>74</v>
      </c>
      <c r="Q800" t="s">
        <v>74</v>
      </c>
      <c r="R800" t="s">
        <v>74</v>
      </c>
      <c r="S800" t="s">
        <v>74</v>
      </c>
      <c r="T800" t="s">
        <v>74</v>
      </c>
      <c r="U800" t="s">
        <v>74</v>
      </c>
      <c r="V800" t="s">
        <v>74</v>
      </c>
      <c r="W800" t="s">
        <v>15290</v>
      </c>
      <c r="X800" t="s">
        <v>15291</v>
      </c>
      <c r="Y800" t="s">
        <v>15292</v>
      </c>
      <c r="Z800" t="s">
        <v>15293</v>
      </c>
      <c r="AA800" t="s">
        <v>15294</v>
      </c>
      <c r="AB800" t="s">
        <v>74</v>
      </c>
      <c r="AC800" t="s">
        <v>15295</v>
      </c>
      <c r="AD800" t="s">
        <v>5373</v>
      </c>
      <c r="AE800" t="s">
        <v>74</v>
      </c>
      <c r="AF800" t="s">
        <v>74</v>
      </c>
      <c r="AG800">
        <v>10</v>
      </c>
      <c r="AH800">
        <v>4</v>
      </c>
      <c r="AI800">
        <v>4</v>
      </c>
      <c r="AJ800">
        <v>0</v>
      </c>
      <c r="AK800">
        <v>15</v>
      </c>
      <c r="AL800" t="s">
        <v>6824</v>
      </c>
      <c r="AM800" t="s">
        <v>199</v>
      </c>
      <c r="AN800" t="s">
        <v>6825</v>
      </c>
      <c r="AO800" t="s">
        <v>15296</v>
      </c>
      <c r="AP800" t="s">
        <v>15297</v>
      </c>
      <c r="AQ800" t="s">
        <v>74</v>
      </c>
      <c r="AR800" t="s">
        <v>15298</v>
      </c>
      <c r="AS800" t="s">
        <v>15299</v>
      </c>
      <c r="AT800" t="s">
        <v>15300</v>
      </c>
      <c r="AU800">
        <v>2021</v>
      </c>
      <c r="AV800">
        <v>31</v>
      </c>
      <c r="AW800">
        <v>24</v>
      </c>
      <c r="AX800" t="s">
        <v>74</v>
      </c>
      <c r="AY800" t="s">
        <v>74</v>
      </c>
      <c r="AZ800" t="s">
        <v>74</v>
      </c>
      <c r="BA800" t="s">
        <v>74</v>
      </c>
      <c r="BB800" t="s">
        <v>15301</v>
      </c>
      <c r="BC800" t="s">
        <v>15302</v>
      </c>
      <c r="BD800" t="s">
        <v>74</v>
      </c>
      <c r="BE800" t="s">
        <v>15303</v>
      </c>
      <c r="BF800" t="str">
        <f>HYPERLINK("http://dx.doi.org/10.1016/j.cub.2021.11.015","http://dx.doi.org/10.1016/j.cub.2021.11.015")</f>
        <v>http://dx.doi.org/10.1016/j.cub.2021.11.015</v>
      </c>
      <c r="BG800" t="s">
        <v>74</v>
      </c>
      <c r="BH800" t="s">
        <v>14486</v>
      </c>
      <c r="BI800">
        <v>2</v>
      </c>
      <c r="BJ800" t="s">
        <v>15304</v>
      </c>
      <c r="BK800" t="s">
        <v>103</v>
      </c>
      <c r="BL800" t="s">
        <v>15305</v>
      </c>
      <c r="BM800" t="s">
        <v>15306</v>
      </c>
      <c r="BN800">
        <v>34932962</v>
      </c>
      <c r="BO800" t="s">
        <v>948</v>
      </c>
      <c r="BP800" t="s">
        <v>74</v>
      </c>
      <c r="BQ800" t="s">
        <v>74</v>
      </c>
      <c r="BR800" t="s">
        <v>106</v>
      </c>
      <c r="BS800" t="s">
        <v>15307</v>
      </c>
      <c r="BT800" t="str">
        <f>HYPERLINK("https%3A%2F%2Fwww.webofscience.com%2Fwos%2Fwoscc%2Ffull-record%2FWOS:000734302000003","View Full Record in Web of Science")</f>
        <v>View Full Record in Web of Science</v>
      </c>
    </row>
    <row r="801" spans="1:72" x14ac:dyDescent="0.15">
      <c r="A801" t="s">
        <v>72</v>
      </c>
      <c r="B801" t="s">
        <v>15308</v>
      </c>
      <c r="C801" t="s">
        <v>74</v>
      </c>
      <c r="D801" t="s">
        <v>74</v>
      </c>
      <c r="E801" t="s">
        <v>74</v>
      </c>
      <c r="F801" t="s">
        <v>15309</v>
      </c>
      <c r="G801" t="s">
        <v>74</v>
      </c>
      <c r="H801" t="s">
        <v>74</v>
      </c>
      <c r="I801" t="s">
        <v>15310</v>
      </c>
      <c r="J801" t="s">
        <v>15311</v>
      </c>
      <c r="K801" t="s">
        <v>74</v>
      </c>
      <c r="L801" t="s">
        <v>74</v>
      </c>
      <c r="M801" t="s">
        <v>78</v>
      </c>
      <c r="N801" t="s">
        <v>79</v>
      </c>
      <c r="O801" t="s">
        <v>74</v>
      </c>
      <c r="P801" t="s">
        <v>74</v>
      </c>
      <c r="Q801" t="s">
        <v>74</v>
      </c>
      <c r="R801" t="s">
        <v>74</v>
      </c>
      <c r="S801" t="s">
        <v>74</v>
      </c>
      <c r="T801" t="s">
        <v>15312</v>
      </c>
      <c r="U801" t="s">
        <v>15313</v>
      </c>
      <c r="V801" t="s">
        <v>15314</v>
      </c>
      <c r="W801" t="s">
        <v>15315</v>
      </c>
      <c r="X801" t="s">
        <v>15316</v>
      </c>
      <c r="Y801" t="s">
        <v>15317</v>
      </c>
      <c r="Z801" t="s">
        <v>15318</v>
      </c>
      <c r="AA801" t="s">
        <v>15319</v>
      </c>
      <c r="AB801" t="s">
        <v>15320</v>
      </c>
      <c r="AC801" t="s">
        <v>15321</v>
      </c>
      <c r="AD801" t="s">
        <v>15322</v>
      </c>
      <c r="AE801" t="s">
        <v>15323</v>
      </c>
      <c r="AF801" t="s">
        <v>74</v>
      </c>
      <c r="AG801">
        <v>48</v>
      </c>
      <c r="AH801">
        <v>2</v>
      </c>
      <c r="AI801">
        <v>2</v>
      </c>
      <c r="AJ801">
        <v>0</v>
      </c>
      <c r="AK801">
        <v>1</v>
      </c>
      <c r="AL801" t="s">
        <v>4587</v>
      </c>
      <c r="AM801" t="s">
        <v>4588</v>
      </c>
      <c r="AN801" t="s">
        <v>4589</v>
      </c>
      <c r="AO801" t="s">
        <v>15324</v>
      </c>
      <c r="AP801" t="s">
        <v>15325</v>
      </c>
      <c r="AQ801" t="s">
        <v>74</v>
      </c>
      <c r="AR801" t="s">
        <v>15326</v>
      </c>
      <c r="AS801" t="s">
        <v>15327</v>
      </c>
      <c r="AT801" t="s">
        <v>15328</v>
      </c>
      <c r="AU801">
        <v>2022</v>
      </c>
      <c r="AV801">
        <v>34</v>
      </c>
      <c r="AW801">
        <v>12</v>
      </c>
      <c r="AX801" t="s">
        <v>74</v>
      </c>
      <c r="AY801" t="s">
        <v>74</v>
      </c>
      <c r="AZ801" t="s">
        <v>74</v>
      </c>
      <c r="BA801" t="s">
        <v>74</v>
      </c>
      <c r="BB801">
        <v>2341</v>
      </c>
      <c r="BC801">
        <v>2349</v>
      </c>
      <c r="BD801" t="s">
        <v>74</v>
      </c>
      <c r="BE801" t="s">
        <v>15329</v>
      </c>
      <c r="BF801" t="str">
        <f>HYPERLINK("http://dx.doi.org/10.1080/08912963.2021.2017915","http://dx.doi.org/10.1080/08912963.2021.2017915")</f>
        <v>http://dx.doi.org/10.1080/08912963.2021.2017915</v>
      </c>
      <c r="BG801" t="s">
        <v>74</v>
      </c>
      <c r="BH801" t="s">
        <v>14486</v>
      </c>
      <c r="BI801">
        <v>9</v>
      </c>
      <c r="BJ801" t="s">
        <v>15330</v>
      </c>
      <c r="BK801" t="s">
        <v>103</v>
      </c>
      <c r="BL801" t="s">
        <v>15331</v>
      </c>
      <c r="BM801" t="s">
        <v>15332</v>
      </c>
      <c r="BN801" t="s">
        <v>74</v>
      </c>
      <c r="BO801" t="s">
        <v>74</v>
      </c>
      <c r="BP801" t="s">
        <v>74</v>
      </c>
      <c r="BQ801" t="s">
        <v>74</v>
      </c>
      <c r="BR801" t="s">
        <v>106</v>
      </c>
      <c r="BS801" t="s">
        <v>15333</v>
      </c>
      <c r="BT801" t="str">
        <f>HYPERLINK("https%3A%2F%2Fwww.webofscience.com%2Fwos%2Fwoscc%2Ffull-record%2FWOS:000733804000001","View Full Record in Web of Science")</f>
        <v>View Full Record in Web of Science</v>
      </c>
    </row>
    <row r="802" spans="1:72" x14ac:dyDescent="0.15">
      <c r="A802" t="s">
        <v>72</v>
      </c>
      <c r="B802" t="s">
        <v>15334</v>
      </c>
      <c r="C802" t="s">
        <v>74</v>
      </c>
      <c r="D802" t="s">
        <v>74</v>
      </c>
      <c r="E802" t="s">
        <v>74</v>
      </c>
      <c r="F802" t="s">
        <v>15335</v>
      </c>
      <c r="G802" t="s">
        <v>74</v>
      </c>
      <c r="H802" t="s">
        <v>74</v>
      </c>
      <c r="I802" t="s">
        <v>15336</v>
      </c>
      <c r="J802" t="s">
        <v>15337</v>
      </c>
      <c r="K802" t="s">
        <v>74</v>
      </c>
      <c r="L802" t="s">
        <v>74</v>
      </c>
      <c r="M802" t="s">
        <v>78</v>
      </c>
      <c r="N802" t="s">
        <v>79</v>
      </c>
      <c r="O802" t="s">
        <v>74</v>
      </c>
      <c r="P802" t="s">
        <v>74</v>
      </c>
      <c r="Q802" t="s">
        <v>74</v>
      </c>
      <c r="R802" t="s">
        <v>74</v>
      </c>
      <c r="S802" t="s">
        <v>74</v>
      </c>
      <c r="T802" t="s">
        <v>15338</v>
      </c>
      <c r="U802" t="s">
        <v>15339</v>
      </c>
      <c r="V802" t="s">
        <v>15340</v>
      </c>
      <c r="W802" t="s">
        <v>15341</v>
      </c>
      <c r="X802" t="s">
        <v>15342</v>
      </c>
      <c r="Y802" t="s">
        <v>15343</v>
      </c>
      <c r="Z802" t="s">
        <v>15344</v>
      </c>
      <c r="AA802" t="s">
        <v>74</v>
      </c>
      <c r="AB802" t="s">
        <v>74</v>
      </c>
      <c r="AC802" t="s">
        <v>74</v>
      </c>
      <c r="AD802" t="s">
        <v>74</v>
      </c>
      <c r="AE802" t="s">
        <v>74</v>
      </c>
      <c r="AF802" t="s">
        <v>74</v>
      </c>
      <c r="AG802">
        <v>47</v>
      </c>
      <c r="AH802">
        <v>3</v>
      </c>
      <c r="AI802">
        <v>3</v>
      </c>
      <c r="AJ802">
        <v>0</v>
      </c>
      <c r="AK802">
        <v>0</v>
      </c>
      <c r="AL802" t="s">
        <v>15345</v>
      </c>
      <c r="AM802" t="s">
        <v>15346</v>
      </c>
      <c r="AN802" t="s">
        <v>15347</v>
      </c>
      <c r="AO802" t="s">
        <v>15348</v>
      </c>
      <c r="AP802" t="s">
        <v>15349</v>
      </c>
      <c r="AQ802" t="s">
        <v>74</v>
      </c>
      <c r="AR802" t="s">
        <v>15350</v>
      </c>
      <c r="AS802" t="s">
        <v>15351</v>
      </c>
      <c r="AT802" t="s">
        <v>205</v>
      </c>
      <c r="AU802">
        <v>2021</v>
      </c>
      <c r="AV802">
        <v>21</v>
      </c>
      <c r="AW802">
        <v>4</v>
      </c>
      <c r="AX802" t="s">
        <v>74</v>
      </c>
      <c r="AY802" t="s">
        <v>74</v>
      </c>
      <c r="AZ802" t="s">
        <v>74</v>
      </c>
      <c r="BA802" t="s">
        <v>74</v>
      </c>
      <c r="BB802">
        <v>669</v>
      </c>
      <c r="BC802">
        <v>682</v>
      </c>
      <c r="BD802" t="s">
        <v>74</v>
      </c>
      <c r="BE802" t="s">
        <v>15352</v>
      </c>
      <c r="BF802" t="str">
        <f>HYPERLINK("http://dx.doi.org/10.1016/j.ecohyd.2021.06.004","http://dx.doi.org/10.1016/j.ecohyd.2021.06.004")</f>
        <v>http://dx.doi.org/10.1016/j.ecohyd.2021.06.004</v>
      </c>
      <c r="BG802" t="s">
        <v>74</v>
      </c>
      <c r="BH802" t="s">
        <v>14486</v>
      </c>
      <c r="BI802">
        <v>14</v>
      </c>
      <c r="BJ802" t="s">
        <v>15353</v>
      </c>
      <c r="BK802" t="s">
        <v>103</v>
      </c>
      <c r="BL802" t="s">
        <v>13152</v>
      </c>
      <c r="BM802" t="s">
        <v>15354</v>
      </c>
      <c r="BN802" t="s">
        <v>74</v>
      </c>
      <c r="BO802" t="s">
        <v>74</v>
      </c>
      <c r="BP802" t="s">
        <v>74</v>
      </c>
      <c r="BQ802" t="s">
        <v>74</v>
      </c>
      <c r="BR802" t="s">
        <v>106</v>
      </c>
      <c r="BS802" t="s">
        <v>15355</v>
      </c>
      <c r="BT802" t="str">
        <f>HYPERLINK("https%3A%2F%2Fwww.webofscience.com%2Fwos%2Fwoscc%2Ffull-record%2FWOS:000748798800010","View Full Record in Web of Science")</f>
        <v>View Full Record in Web of Science</v>
      </c>
    </row>
    <row r="803" spans="1:72" x14ac:dyDescent="0.15">
      <c r="A803" t="s">
        <v>72</v>
      </c>
      <c r="B803" t="s">
        <v>15356</v>
      </c>
      <c r="C803" t="s">
        <v>74</v>
      </c>
      <c r="D803" t="s">
        <v>74</v>
      </c>
      <c r="E803" t="s">
        <v>74</v>
      </c>
      <c r="F803" t="s">
        <v>15357</v>
      </c>
      <c r="G803" t="s">
        <v>74</v>
      </c>
      <c r="H803" t="s">
        <v>74</v>
      </c>
      <c r="I803" t="s">
        <v>15358</v>
      </c>
      <c r="J803" t="s">
        <v>1020</v>
      </c>
      <c r="K803" t="s">
        <v>74</v>
      </c>
      <c r="L803" t="s">
        <v>74</v>
      </c>
      <c r="M803" t="s">
        <v>78</v>
      </c>
      <c r="N803" t="s">
        <v>79</v>
      </c>
      <c r="O803" t="s">
        <v>74</v>
      </c>
      <c r="P803" t="s">
        <v>74</v>
      </c>
      <c r="Q803" t="s">
        <v>74</v>
      </c>
      <c r="R803" t="s">
        <v>74</v>
      </c>
      <c r="S803" t="s">
        <v>74</v>
      </c>
      <c r="T803" t="s">
        <v>15359</v>
      </c>
      <c r="U803" t="s">
        <v>15360</v>
      </c>
      <c r="V803" t="s">
        <v>15361</v>
      </c>
      <c r="W803" t="s">
        <v>15362</v>
      </c>
      <c r="X803" t="s">
        <v>14204</v>
      </c>
      <c r="Y803" t="s">
        <v>15363</v>
      </c>
      <c r="Z803" t="s">
        <v>15364</v>
      </c>
      <c r="AA803" t="s">
        <v>15365</v>
      </c>
      <c r="AB803" t="s">
        <v>15366</v>
      </c>
      <c r="AC803" t="s">
        <v>15367</v>
      </c>
      <c r="AD803" t="s">
        <v>15368</v>
      </c>
      <c r="AE803" t="s">
        <v>15369</v>
      </c>
      <c r="AF803" t="s">
        <v>74</v>
      </c>
      <c r="AG803">
        <v>69</v>
      </c>
      <c r="AH803">
        <v>0</v>
      </c>
      <c r="AI803">
        <v>0</v>
      </c>
      <c r="AJ803">
        <v>0</v>
      </c>
      <c r="AK803">
        <v>4</v>
      </c>
      <c r="AL803" t="s">
        <v>92</v>
      </c>
      <c r="AM803" t="s">
        <v>93</v>
      </c>
      <c r="AN803" t="s">
        <v>94</v>
      </c>
      <c r="AO803" t="s">
        <v>1029</v>
      </c>
      <c r="AP803" t="s">
        <v>1030</v>
      </c>
      <c r="AQ803" t="s">
        <v>74</v>
      </c>
      <c r="AR803" t="s">
        <v>1031</v>
      </c>
      <c r="AS803" t="s">
        <v>1032</v>
      </c>
      <c r="AT803" t="s">
        <v>4645</v>
      </c>
      <c r="AU803">
        <v>2022</v>
      </c>
      <c r="AV803">
        <v>113</v>
      </c>
      <c r="AW803" t="s">
        <v>74</v>
      </c>
      <c r="AX803" t="s">
        <v>74</v>
      </c>
      <c r="AY803" t="s">
        <v>74</v>
      </c>
      <c r="AZ803" t="s">
        <v>74</v>
      </c>
      <c r="BA803" t="s">
        <v>74</v>
      </c>
      <c r="BB803" t="s">
        <v>74</v>
      </c>
      <c r="BC803" t="s">
        <v>74</v>
      </c>
      <c r="BD803">
        <v>103682</v>
      </c>
      <c r="BE803" t="s">
        <v>15370</v>
      </c>
      <c r="BF803" t="str">
        <f>HYPERLINK("http://dx.doi.org/10.1016/j.jsames.2021.103682","http://dx.doi.org/10.1016/j.jsames.2021.103682")</f>
        <v>http://dx.doi.org/10.1016/j.jsames.2021.103682</v>
      </c>
      <c r="BG803" t="s">
        <v>74</v>
      </c>
      <c r="BH803" t="s">
        <v>14486</v>
      </c>
      <c r="BI803">
        <v>10</v>
      </c>
      <c r="BJ803" t="s">
        <v>151</v>
      </c>
      <c r="BK803" t="s">
        <v>103</v>
      </c>
      <c r="BL803" t="s">
        <v>152</v>
      </c>
      <c r="BM803" t="s">
        <v>15371</v>
      </c>
      <c r="BN803" t="s">
        <v>74</v>
      </c>
      <c r="BO803" t="s">
        <v>74</v>
      </c>
      <c r="BP803" t="s">
        <v>74</v>
      </c>
      <c r="BQ803" t="s">
        <v>74</v>
      </c>
      <c r="BR803" t="s">
        <v>106</v>
      </c>
      <c r="BS803" t="s">
        <v>15372</v>
      </c>
      <c r="BT803" t="str">
        <f>HYPERLINK("https%3A%2F%2Fwww.webofscience.com%2Fwos%2Fwoscc%2Ffull-record%2FWOS:000734364300003","View Full Record in Web of Science")</f>
        <v>View Full Record in Web of Science</v>
      </c>
    </row>
    <row r="804" spans="1:72" x14ac:dyDescent="0.15">
      <c r="A804" t="s">
        <v>72</v>
      </c>
      <c r="B804" t="s">
        <v>15373</v>
      </c>
      <c r="C804" t="s">
        <v>74</v>
      </c>
      <c r="D804" t="s">
        <v>74</v>
      </c>
      <c r="E804" t="s">
        <v>74</v>
      </c>
      <c r="F804" t="s">
        <v>15374</v>
      </c>
      <c r="G804" t="s">
        <v>74</v>
      </c>
      <c r="H804" t="s">
        <v>74</v>
      </c>
      <c r="I804" t="s">
        <v>15375</v>
      </c>
      <c r="J804" t="s">
        <v>1265</v>
      </c>
      <c r="K804" t="s">
        <v>74</v>
      </c>
      <c r="L804" t="s">
        <v>74</v>
      </c>
      <c r="M804" t="s">
        <v>78</v>
      </c>
      <c r="N804" t="s">
        <v>79</v>
      </c>
      <c r="O804" t="s">
        <v>74</v>
      </c>
      <c r="P804" t="s">
        <v>74</v>
      </c>
      <c r="Q804" t="s">
        <v>74</v>
      </c>
      <c r="R804" t="s">
        <v>74</v>
      </c>
      <c r="S804" t="s">
        <v>74</v>
      </c>
      <c r="T804" t="s">
        <v>15376</v>
      </c>
      <c r="U804" t="s">
        <v>15377</v>
      </c>
      <c r="V804" t="s">
        <v>15378</v>
      </c>
      <c r="W804" t="s">
        <v>15379</v>
      </c>
      <c r="X804" t="s">
        <v>15380</v>
      </c>
      <c r="Y804" t="s">
        <v>15381</v>
      </c>
      <c r="Z804" t="s">
        <v>15382</v>
      </c>
      <c r="AA804" t="s">
        <v>15383</v>
      </c>
      <c r="AB804" t="s">
        <v>15384</v>
      </c>
      <c r="AC804" t="s">
        <v>15385</v>
      </c>
      <c r="AD804" t="s">
        <v>15386</v>
      </c>
      <c r="AE804" t="s">
        <v>15387</v>
      </c>
      <c r="AF804" t="s">
        <v>74</v>
      </c>
      <c r="AG804">
        <v>71</v>
      </c>
      <c r="AH804">
        <v>19</v>
      </c>
      <c r="AI804">
        <v>20</v>
      </c>
      <c r="AJ804">
        <v>19</v>
      </c>
      <c r="AK804">
        <v>136</v>
      </c>
      <c r="AL804" t="s">
        <v>171</v>
      </c>
      <c r="AM804" t="s">
        <v>172</v>
      </c>
      <c r="AN804" t="s">
        <v>173</v>
      </c>
      <c r="AO804" t="s">
        <v>1278</v>
      </c>
      <c r="AP804" t="s">
        <v>1279</v>
      </c>
      <c r="AQ804" t="s">
        <v>74</v>
      </c>
      <c r="AR804" t="s">
        <v>1280</v>
      </c>
      <c r="AS804" t="s">
        <v>1281</v>
      </c>
      <c r="AT804" t="s">
        <v>840</v>
      </c>
      <c r="AU804">
        <v>2022</v>
      </c>
      <c r="AV804">
        <v>28</v>
      </c>
      <c r="AW804">
        <v>4</v>
      </c>
      <c r="AX804" t="s">
        <v>74</v>
      </c>
      <c r="AY804" t="s">
        <v>74</v>
      </c>
      <c r="AZ804" t="s">
        <v>74</v>
      </c>
      <c r="BA804" t="s">
        <v>74</v>
      </c>
      <c r="BB804">
        <v>1212</v>
      </c>
      <c r="BC804">
        <v>1221</v>
      </c>
      <c r="BD804" t="s">
        <v>74</v>
      </c>
      <c r="BE804" t="s">
        <v>15388</v>
      </c>
      <c r="BF804" t="str">
        <f>HYPERLINK("http://dx.doi.org/10.1111/gcb.16019","http://dx.doi.org/10.1111/gcb.16019")</f>
        <v>http://dx.doi.org/10.1111/gcb.16019</v>
      </c>
      <c r="BG804" t="s">
        <v>74</v>
      </c>
      <c r="BH804" t="s">
        <v>14486</v>
      </c>
      <c r="BI804">
        <v>10</v>
      </c>
      <c r="BJ804" t="s">
        <v>1283</v>
      </c>
      <c r="BK804" t="s">
        <v>103</v>
      </c>
      <c r="BL804" t="s">
        <v>1082</v>
      </c>
      <c r="BM804" t="s">
        <v>15389</v>
      </c>
      <c r="BN804">
        <v>34921472</v>
      </c>
      <c r="BO804" t="s">
        <v>3263</v>
      </c>
      <c r="BP804" t="s">
        <v>74</v>
      </c>
      <c r="BQ804" t="s">
        <v>74</v>
      </c>
      <c r="BR804" t="s">
        <v>106</v>
      </c>
      <c r="BS804" t="s">
        <v>15390</v>
      </c>
      <c r="BT804" t="str">
        <f>HYPERLINK("https%3A%2F%2Fwww.webofscience.com%2Fwos%2Fwoscc%2Ffull-record%2FWOS:000731293100001","View Full Record in Web of Science")</f>
        <v>View Full Record in Web of Science</v>
      </c>
    </row>
    <row r="805" spans="1:72" x14ac:dyDescent="0.15">
      <c r="A805" t="s">
        <v>72</v>
      </c>
      <c r="B805" t="s">
        <v>15391</v>
      </c>
      <c r="C805" t="s">
        <v>74</v>
      </c>
      <c r="D805" t="s">
        <v>74</v>
      </c>
      <c r="E805" t="s">
        <v>74</v>
      </c>
      <c r="F805" t="s">
        <v>15392</v>
      </c>
      <c r="G805" t="s">
        <v>74</v>
      </c>
      <c r="H805" t="s">
        <v>74</v>
      </c>
      <c r="I805" t="s">
        <v>15393</v>
      </c>
      <c r="J805" t="s">
        <v>1265</v>
      </c>
      <c r="K805" t="s">
        <v>74</v>
      </c>
      <c r="L805" t="s">
        <v>74</v>
      </c>
      <c r="M805" t="s">
        <v>78</v>
      </c>
      <c r="N805" t="s">
        <v>79</v>
      </c>
      <c r="O805" t="s">
        <v>74</v>
      </c>
      <c r="P805" t="s">
        <v>74</v>
      </c>
      <c r="Q805" t="s">
        <v>74</v>
      </c>
      <c r="R805" t="s">
        <v>74</v>
      </c>
      <c r="S805" t="s">
        <v>74</v>
      </c>
      <c r="T805" t="s">
        <v>15394</v>
      </c>
      <c r="U805" t="s">
        <v>15395</v>
      </c>
      <c r="V805" t="s">
        <v>15396</v>
      </c>
      <c r="W805" t="s">
        <v>15397</v>
      </c>
      <c r="X805" t="s">
        <v>15398</v>
      </c>
      <c r="Y805" t="s">
        <v>15399</v>
      </c>
      <c r="Z805" t="s">
        <v>15400</v>
      </c>
      <c r="AA805" t="s">
        <v>15401</v>
      </c>
      <c r="AB805" t="s">
        <v>15402</v>
      </c>
      <c r="AC805" t="s">
        <v>15403</v>
      </c>
      <c r="AD805" t="s">
        <v>15404</v>
      </c>
      <c r="AE805" t="s">
        <v>15405</v>
      </c>
      <c r="AF805" t="s">
        <v>74</v>
      </c>
      <c r="AG805">
        <v>83</v>
      </c>
      <c r="AH805">
        <v>19</v>
      </c>
      <c r="AI805">
        <v>23</v>
      </c>
      <c r="AJ805">
        <v>5</v>
      </c>
      <c r="AK805">
        <v>24</v>
      </c>
      <c r="AL805" t="s">
        <v>171</v>
      </c>
      <c r="AM805" t="s">
        <v>172</v>
      </c>
      <c r="AN805" t="s">
        <v>173</v>
      </c>
      <c r="AO805" t="s">
        <v>1278</v>
      </c>
      <c r="AP805" t="s">
        <v>1279</v>
      </c>
      <c r="AQ805" t="s">
        <v>74</v>
      </c>
      <c r="AR805" t="s">
        <v>1280</v>
      </c>
      <c r="AS805" t="s">
        <v>1281</v>
      </c>
      <c r="AT805" t="s">
        <v>840</v>
      </c>
      <c r="AU805">
        <v>2022</v>
      </c>
      <c r="AV805">
        <v>28</v>
      </c>
      <c r="AW805">
        <v>4</v>
      </c>
      <c r="AX805" t="s">
        <v>74</v>
      </c>
      <c r="AY805" t="s">
        <v>74</v>
      </c>
      <c r="AZ805" t="s">
        <v>74</v>
      </c>
      <c r="BA805" t="s">
        <v>74</v>
      </c>
      <c r="BB805">
        <v>1359</v>
      </c>
      <c r="BC805">
        <v>1375</v>
      </c>
      <c r="BD805" t="s">
        <v>74</v>
      </c>
      <c r="BE805" t="s">
        <v>15406</v>
      </c>
      <c r="BF805" t="str">
        <f>HYPERLINK("http://dx.doi.org/10.1111/gcb.16009","http://dx.doi.org/10.1111/gcb.16009")</f>
        <v>http://dx.doi.org/10.1111/gcb.16009</v>
      </c>
      <c r="BG805" t="s">
        <v>74</v>
      </c>
      <c r="BH805" t="s">
        <v>14486</v>
      </c>
      <c r="BI805">
        <v>17</v>
      </c>
      <c r="BJ805" t="s">
        <v>1283</v>
      </c>
      <c r="BK805" t="s">
        <v>103</v>
      </c>
      <c r="BL805" t="s">
        <v>1082</v>
      </c>
      <c r="BM805" t="s">
        <v>15389</v>
      </c>
      <c r="BN805">
        <v>34921477</v>
      </c>
      <c r="BO805" t="s">
        <v>5641</v>
      </c>
      <c r="BP805" t="s">
        <v>74</v>
      </c>
      <c r="BQ805" t="s">
        <v>74</v>
      </c>
      <c r="BR805" t="s">
        <v>106</v>
      </c>
      <c r="BS805" t="s">
        <v>15407</v>
      </c>
      <c r="BT805" t="str">
        <f>HYPERLINK("https%3A%2F%2Fwww.webofscience.com%2Fwos%2Fwoscc%2Ffull-record%2FWOS:000731293400001","View Full Record in Web of Science")</f>
        <v>View Full Record in Web of Science</v>
      </c>
    </row>
    <row r="806" spans="1:72" x14ac:dyDescent="0.15">
      <c r="A806" t="s">
        <v>72</v>
      </c>
      <c r="B806" t="s">
        <v>15408</v>
      </c>
      <c r="C806" t="s">
        <v>74</v>
      </c>
      <c r="D806" t="s">
        <v>74</v>
      </c>
      <c r="E806" t="s">
        <v>74</v>
      </c>
      <c r="F806" t="s">
        <v>15409</v>
      </c>
      <c r="G806" t="s">
        <v>74</v>
      </c>
      <c r="H806" t="s">
        <v>74</v>
      </c>
      <c r="I806" t="s">
        <v>15410</v>
      </c>
      <c r="J806" t="s">
        <v>15411</v>
      </c>
      <c r="K806" t="s">
        <v>74</v>
      </c>
      <c r="L806" t="s">
        <v>74</v>
      </c>
      <c r="M806" t="s">
        <v>78</v>
      </c>
      <c r="N806" t="s">
        <v>79</v>
      </c>
      <c r="O806" t="s">
        <v>74</v>
      </c>
      <c r="P806" t="s">
        <v>74</v>
      </c>
      <c r="Q806" t="s">
        <v>74</v>
      </c>
      <c r="R806" t="s">
        <v>74</v>
      </c>
      <c r="S806" t="s">
        <v>74</v>
      </c>
      <c r="T806" t="s">
        <v>15412</v>
      </c>
      <c r="U806" t="s">
        <v>15413</v>
      </c>
      <c r="V806" t="s">
        <v>15414</v>
      </c>
      <c r="W806" t="s">
        <v>15415</v>
      </c>
      <c r="X806" t="s">
        <v>15416</v>
      </c>
      <c r="Y806" t="s">
        <v>15417</v>
      </c>
      <c r="Z806" t="s">
        <v>15418</v>
      </c>
      <c r="AA806" t="s">
        <v>15419</v>
      </c>
      <c r="AB806" t="s">
        <v>15420</v>
      </c>
      <c r="AC806" t="s">
        <v>15421</v>
      </c>
      <c r="AD806" t="s">
        <v>15422</v>
      </c>
      <c r="AE806" t="s">
        <v>15423</v>
      </c>
      <c r="AF806" t="s">
        <v>74</v>
      </c>
      <c r="AG806">
        <v>82</v>
      </c>
      <c r="AH806">
        <v>5</v>
      </c>
      <c r="AI806">
        <v>5</v>
      </c>
      <c r="AJ806">
        <v>1</v>
      </c>
      <c r="AK806">
        <v>9</v>
      </c>
      <c r="AL806" t="s">
        <v>4129</v>
      </c>
      <c r="AM806" t="s">
        <v>4130</v>
      </c>
      <c r="AN806" t="s">
        <v>4131</v>
      </c>
      <c r="AO806" t="s">
        <v>15424</v>
      </c>
      <c r="AP806" t="s">
        <v>15425</v>
      </c>
      <c r="AQ806" t="s">
        <v>74</v>
      </c>
      <c r="AR806" t="s">
        <v>15426</v>
      </c>
      <c r="AS806" t="s">
        <v>15427</v>
      </c>
      <c r="AT806" t="s">
        <v>4645</v>
      </c>
      <c r="AU806">
        <v>2022</v>
      </c>
      <c r="AV806">
        <v>297</v>
      </c>
      <c r="AW806">
        <v>1</v>
      </c>
      <c r="AX806" t="s">
        <v>74</v>
      </c>
      <c r="AY806" t="s">
        <v>74</v>
      </c>
      <c r="AZ806" t="s">
        <v>74</v>
      </c>
      <c r="BA806" t="s">
        <v>74</v>
      </c>
      <c r="BB806">
        <v>183</v>
      </c>
      <c r="BC806">
        <v>198</v>
      </c>
      <c r="BD806" t="s">
        <v>74</v>
      </c>
      <c r="BE806" t="s">
        <v>15428</v>
      </c>
      <c r="BF806" t="str">
        <f>HYPERLINK("http://dx.doi.org/10.1007/s00438-021-01845-3","http://dx.doi.org/10.1007/s00438-021-01845-3")</f>
        <v>http://dx.doi.org/10.1007/s00438-021-01845-3</v>
      </c>
      <c r="BG806" t="s">
        <v>74</v>
      </c>
      <c r="BH806" t="s">
        <v>14486</v>
      </c>
      <c r="BI806">
        <v>16</v>
      </c>
      <c r="BJ806" t="s">
        <v>15429</v>
      </c>
      <c r="BK806" t="s">
        <v>103</v>
      </c>
      <c r="BL806" t="s">
        <v>15429</v>
      </c>
      <c r="BM806" t="s">
        <v>15430</v>
      </c>
      <c r="BN806">
        <v>34921614</v>
      </c>
      <c r="BO806" t="s">
        <v>1890</v>
      </c>
      <c r="BP806" t="s">
        <v>74</v>
      </c>
      <c r="BQ806" t="s">
        <v>74</v>
      </c>
      <c r="BR806" t="s">
        <v>106</v>
      </c>
      <c r="BS806" t="s">
        <v>15431</v>
      </c>
      <c r="BT806" t="str">
        <f>HYPERLINK("https%3A%2F%2Fwww.webofscience.com%2Fwos%2Fwoscc%2Ffull-record%2FWOS:000731365300001","View Full Record in Web of Science")</f>
        <v>View Full Record in Web of Science</v>
      </c>
    </row>
    <row r="807" spans="1:72" x14ac:dyDescent="0.15">
      <c r="A807" t="s">
        <v>72</v>
      </c>
      <c r="B807" t="s">
        <v>15432</v>
      </c>
      <c r="C807" t="s">
        <v>74</v>
      </c>
      <c r="D807" t="s">
        <v>74</v>
      </c>
      <c r="E807" t="s">
        <v>74</v>
      </c>
      <c r="F807" t="s">
        <v>15433</v>
      </c>
      <c r="G807" t="s">
        <v>74</v>
      </c>
      <c r="H807" t="s">
        <v>74</v>
      </c>
      <c r="I807" t="s">
        <v>15434</v>
      </c>
      <c r="J807" t="s">
        <v>1375</v>
      </c>
      <c r="K807" t="s">
        <v>74</v>
      </c>
      <c r="L807" t="s">
        <v>74</v>
      </c>
      <c r="M807" t="s">
        <v>78</v>
      </c>
      <c r="N807" t="s">
        <v>79</v>
      </c>
      <c r="O807" t="s">
        <v>74</v>
      </c>
      <c r="P807" t="s">
        <v>74</v>
      </c>
      <c r="Q807" t="s">
        <v>74</v>
      </c>
      <c r="R807" t="s">
        <v>74</v>
      </c>
      <c r="S807" t="s">
        <v>74</v>
      </c>
      <c r="T807" t="s">
        <v>15435</v>
      </c>
      <c r="U807" t="s">
        <v>15436</v>
      </c>
      <c r="V807" t="s">
        <v>15437</v>
      </c>
      <c r="W807" t="s">
        <v>15438</v>
      </c>
      <c r="X807" t="s">
        <v>2424</v>
      </c>
      <c r="Y807" t="s">
        <v>15439</v>
      </c>
      <c r="Z807" t="s">
        <v>15440</v>
      </c>
      <c r="AA807" t="s">
        <v>15441</v>
      </c>
      <c r="AB807" t="s">
        <v>15442</v>
      </c>
      <c r="AC807" t="s">
        <v>15443</v>
      </c>
      <c r="AD807" t="s">
        <v>15444</v>
      </c>
      <c r="AE807" t="s">
        <v>15445</v>
      </c>
      <c r="AF807" t="s">
        <v>74</v>
      </c>
      <c r="AG807">
        <v>66</v>
      </c>
      <c r="AH807">
        <v>0</v>
      </c>
      <c r="AI807">
        <v>0</v>
      </c>
      <c r="AJ807">
        <v>4</v>
      </c>
      <c r="AK807">
        <v>14</v>
      </c>
      <c r="AL807" t="s">
        <v>363</v>
      </c>
      <c r="AM807" t="s">
        <v>364</v>
      </c>
      <c r="AN807" t="s">
        <v>365</v>
      </c>
      <c r="AO807" t="s">
        <v>74</v>
      </c>
      <c r="AP807" t="s">
        <v>1388</v>
      </c>
      <c r="AQ807" t="s">
        <v>74</v>
      </c>
      <c r="AR807" t="s">
        <v>1389</v>
      </c>
      <c r="AS807" t="s">
        <v>1390</v>
      </c>
      <c r="AT807" t="s">
        <v>15446</v>
      </c>
      <c r="AU807">
        <v>2021</v>
      </c>
      <c r="AV807">
        <v>9</v>
      </c>
      <c r="AW807" t="s">
        <v>74</v>
      </c>
      <c r="AX807" t="s">
        <v>74</v>
      </c>
      <c r="AY807" t="s">
        <v>74</v>
      </c>
      <c r="AZ807" t="s">
        <v>74</v>
      </c>
      <c r="BA807" t="s">
        <v>74</v>
      </c>
      <c r="BB807" t="s">
        <v>74</v>
      </c>
      <c r="BC807" t="s">
        <v>74</v>
      </c>
      <c r="BD807">
        <v>711306</v>
      </c>
      <c r="BE807" t="s">
        <v>15447</v>
      </c>
      <c r="BF807" t="str">
        <f>HYPERLINK("http://dx.doi.org/10.3389/feart.2021.711306","http://dx.doi.org/10.3389/feart.2021.711306")</f>
        <v>http://dx.doi.org/10.3389/feart.2021.711306</v>
      </c>
      <c r="BG807" t="s">
        <v>74</v>
      </c>
      <c r="BH807" t="s">
        <v>74</v>
      </c>
      <c r="BI807">
        <v>17</v>
      </c>
      <c r="BJ807" t="s">
        <v>151</v>
      </c>
      <c r="BK807" t="s">
        <v>103</v>
      </c>
      <c r="BL807" t="s">
        <v>152</v>
      </c>
      <c r="BM807" t="s">
        <v>15448</v>
      </c>
      <c r="BN807" t="s">
        <v>74</v>
      </c>
      <c r="BO807" t="s">
        <v>445</v>
      </c>
      <c r="BP807" t="s">
        <v>74</v>
      </c>
      <c r="BQ807" t="s">
        <v>74</v>
      </c>
      <c r="BR807" t="s">
        <v>106</v>
      </c>
      <c r="BS807" t="s">
        <v>15449</v>
      </c>
      <c r="BT807" t="str">
        <f>HYPERLINK("https%3A%2F%2Fwww.webofscience.com%2Fwos%2Fwoscc%2Ffull-record%2FWOS:000738844100001","View Full Record in Web of Science")</f>
        <v>View Full Record in Web of Science</v>
      </c>
    </row>
    <row r="808" spans="1:72" x14ac:dyDescent="0.15">
      <c r="A808" t="s">
        <v>72</v>
      </c>
      <c r="B808" t="s">
        <v>15450</v>
      </c>
      <c r="C808" t="s">
        <v>74</v>
      </c>
      <c r="D808" t="s">
        <v>74</v>
      </c>
      <c r="E808" t="s">
        <v>74</v>
      </c>
      <c r="F808" t="s">
        <v>15451</v>
      </c>
      <c r="G808" t="s">
        <v>74</v>
      </c>
      <c r="H808" t="s">
        <v>74</v>
      </c>
      <c r="I808" t="s">
        <v>15452</v>
      </c>
      <c r="J808" t="s">
        <v>15453</v>
      </c>
      <c r="K808" t="s">
        <v>74</v>
      </c>
      <c r="L808" t="s">
        <v>74</v>
      </c>
      <c r="M808" t="s">
        <v>78</v>
      </c>
      <c r="N808" t="s">
        <v>4030</v>
      </c>
      <c r="O808" t="s">
        <v>74</v>
      </c>
      <c r="P808" t="s">
        <v>74</v>
      </c>
      <c r="Q808" t="s">
        <v>74</v>
      </c>
      <c r="R808" t="s">
        <v>74</v>
      </c>
      <c r="S808" t="s">
        <v>74</v>
      </c>
      <c r="T808" t="s">
        <v>74</v>
      </c>
      <c r="U808" t="s">
        <v>74</v>
      </c>
      <c r="V808" t="s">
        <v>74</v>
      </c>
      <c r="W808" t="s">
        <v>74</v>
      </c>
      <c r="X808" t="s">
        <v>74</v>
      </c>
      <c r="Y808" t="s">
        <v>74</v>
      </c>
      <c r="Z808" t="s">
        <v>74</v>
      </c>
      <c r="AA808" t="s">
        <v>74</v>
      </c>
      <c r="AB808" t="s">
        <v>74</v>
      </c>
      <c r="AC808" t="s">
        <v>74</v>
      </c>
      <c r="AD808" t="s">
        <v>74</v>
      </c>
      <c r="AE808" t="s">
        <v>74</v>
      </c>
      <c r="AF808" t="s">
        <v>74</v>
      </c>
      <c r="AG808">
        <v>0</v>
      </c>
      <c r="AH808">
        <v>3</v>
      </c>
      <c r="AI808">
        <v>3</v>
      </c>
      <c r="AJ808">
        <v>0</v>
      </c>
      <c r="AK808">
        <v>4</v>
      </c>
      <c r="AL808" t="s">
        <v>13632</v>
      </c>
      <c r="AM808" t="s">
        <v>606</v>
      </c>
      <c r="AN808" t="s">
        <v>13633</v>
      </c>
      <c r="AO808" t="s">
        <v>15454</v>
      </c>
      <c r="AP808" t="s">
        <v>15455</v>
      </c>
      <c r="AQ808" t="s">
        <v>74</v>
      </c>
      <c r="AR808" t="s">
        <v>15453</v>
      </c>
      <c r="AS808" t="s">
        <v>15456</v>
      </c>
      <c r="AT808" t="s">
        <v>15446</v>
      </c>
      <c r="AU808">
        <v>2021</v>
      </c>
      <c r="AV808">
        <v>374</v>
      </c>
      <c r="AW808">
        <v>6574</v>
      </c>
      <c r="AX808" t="s">
        <v>74</v>
      </c>
      <c r="AY808" t="s">
        <v>74</v>
      </c>
      <c r="AZ808" t="s">
        <v>233</v>
      </c>
      <c r="BA808" t="s">
        <v>74</v>
      </c>
      <c r="BB808">
        <v>1420</v>
      </c>
      <c r="BC808">
        <v>1421</v>
      </c>
      <c r="BD808" t="s">
        <v>74</v>
      </c>
      <c r="BE808" t="s">
        <v>74</v>
      </c>
      <c r="BF808" t="s">
        <v>74</v>
      </c>
      <c r="BG808" t="s">
        <v>74</v>
      </c>
      <c r="BH808" t="s">
        <v>74</v>
      </c>
      <c r="BI808">
        <v>2</v>
      </c>
      <c r="BJ808" t="s">
        <v>289</v>
      </c>
      <c r="BK808" t="s">
        <v>103</v>
      </c>
      <c r="BL808" t="s">
        <v>290</v>
      </c>
      <c r="BM808" t="s">
        <v>15457</v>
      </c>
      <c r="BN808">
        <v>34914505</v>
      </c>
      <c r="BO808" t="s">
        <v>74</v>
      </c>
      <c r="BP808" t="s">
        <v>74</v>
      </c>
      <c r="BQ808" t="s">
        <v>74</v>
      </c>
      <c r="BR808" t="s">
        <v>106</v>
      </c>
      <c r="BS808" t="s">
        <v>15458</v>
      </c>
      <c r="BT808" t="str">
        <f>HYPERLINK("https%3A%2F%2Fwww.webofscience.com%2Fwos%2Fwoscc%2Ffull-record%2FWOS:000733380100009","View Full Record in Web of Science")</f>
        <v>View Full Record in Web of Science</v>
      </c>
    </row>
    <row r="809" spans="1:72" x14ac:dyDescent="0.15">
      <c r="A809" t="s">
        <v>72</v>
      </c>
      <c r="B809" t="s">
        <v>15459</v>
      </c>
      <c r="C809" t="s">
        <v>74</v>
      </c>
      <c r="D809" t="s">
        <v>74</v>
      </c>
      <c r="E809" t="s">
        <v>74</v>
      </c>
      <c r="F809" t="s">
        <v>15460</v>
      </c>
      <c r="G809" t="s">
        <v>74</v>
      </c>
      <c r="H809" t="s">
        <v>74</v>
      </c>
      <c r="I809" t="s">
        <v>15461</v>
      </c>
      <c r="J809" t="s">
        <v>15462</v>
      </c>
      <c r="K809" t="s">
        <v>74</v>
      </c>
      <c r="L809" t="s">
        <v>74</v>
      </c>
      <c r="M809" t="s">
        <v>78</v>
      </c>
      <c r="N809" t="s">
        <v>79</v>
      </c>
      <c r="O809" t="s">
        <v>74</v>
      </c>
      <c r="P809" t="s">
        <v>74</v>
      </c>
      <c r="Q809" t="s">
        <v>74</v>
      </c>
      <c r="R809" t="s">
        <v>74</v>
      </c>
      <c r="S809" t="s">
        <v>74</v>
      </c>
      <c r="T809" t="s">
        <v>15463</v>
      </c>
      <c r="U809" t="s">
        <v>15464</v>
      </c>
      <c r="V809" t="s">
        <v>15465</v>
      </c>
      <c r="W809" t="s">
        <v>15466</v>
      </c>
      <c r="X809" t="s">
        <v>15467</v>
      </c>
      <c r="Y809" t="s">
        <v>15468</v>
      </c>
      <c r="Z809" t="s">
        <v>15469</v>
      </c>
      <c r="AA809" t="s">
        <v>74</v>
      </c>
      <c r="AB809" t="s">
        <v>74</v>
      </c>
      <c r="AC809" t="s">
        <v>15470</v>
      </c>
      <c r="AD809" t="s">
        <v>15471</v>
      </c>
      <c r="AE809" t="s">
        <v>15472</v>
      </c>
      <c r="AF809" t="s">
        <v>74</v>
      </c>
      <c r="AG809">
        <v>44</v>
      </c>
      <c r="AH809">
        <v>0</v>
      </c>
      <c r="AI809">
        <v>0</v>
      </c>
      <c r="AJ809">
        <v>7</v>
      </c>
      <c r="AK809">
        <v>24</v>
      </c>
      <c r="AL809" t="s">
        <v>4206</v>
      </c>
      <c r="AM809" t="s">
        <v>4207</v>
      </c>
      <c r="AN809" t="s">
        <v>15473</v>
      </c>
      <c r="AO809" t="s">
        <v>15474</v>
      </c>
      <c r="AP809" t="s">
        <v>15475</v>
      </c>
      <c r="AQ809" t="s">
        <v>74</v>
      </c>
      <c r="AR809" t="s">
        <v>15476</v>
      </c>
      <c r="AS809" t="s">
        <v>15477</v>
      </c>
      <c r="AT809" t="s">
        <v>99</v>
      </c>
      <c r="AU809">
        <v>2022</v>
      </c>
      <c r="AV809">
        <v>40</v>
      </c>
      <c r="AW809">
        <v>2</v>
      </c>
      <c r="AX809" t="s">
        <v>74</v>
      </c>
      <c r="AY809" t="s">
        <v>74</v>
      </c>
      <c r="AZ809" t="s">
        <v>74</v>
      </c>
      <c r="BA809" t="s">
        <v>74</v>
      </c>
      <c r="BB809">
        <v>485</v>
      </c>
      <c r="BC809">
        <v>495</v>
      </c>
      <c r="BD809" t="s">
        <v>74</v>
      </c>
      <c r="BE809" t="s">
        <v>15478</v>
      </c>
      <c r="BF809" t="str">
        <f>HYPERLINK("http://dx.doi.org/10.1007/s00343-021-1017-x","http://dx.doi.org/10.1007/s00343-021-1017-x")</f>
        <v>http://dx.doi.org/10.1007/s00343-021-1017-x</v>
      </c>
      <c r="BG809" t="s">
        <v>74</v>
      </c>
      <c r="BH809" t="s">
        <v>14486</v>
      </c>
      <c r="BI809">
        <v>11</v>
      </c>
      <c r="BJ809" t="s">
        <v>771</v>
      </c>
      <c r="BK809" t="s">
        <v>103</v>
      </c>
      <c r="BL809" t="s">
        <v>772</v>
      </c>
      <c r="BM809" t="s">
        <v>15479</v>
      </c>
      <c r="BN809" t="s">
        <v>74</v>
      </c>
      <c r="BO809" t="s">
        <v>74</v>
      </c>
      <c r="BP809" t="s">
        <v>74</v>
      </c>
      <c r="BQ809" t="s">
        <v>74</v>
      </c>
      <c r="BR809" t="s">
        <v>106</v>
      </c>
      <c r="BS809" t="s">
        <v>15480</v>
      </c>
      <c r="BT809" t="str">
        <f>HYPERLINK("https%3A%2F%2Fwww.webofscience.com%2Fwos%2Fwoscc%2Ffull-record%2FWOS:000731384100002","View Full Record in Web of Science")</f>
        <v>View Full Record in Web of Science</v>
      </c>
    </row>
    <row r="810" spans="1:72" x14ac:dyDescent="0.15">
      <c r="A810" t="s">
        <v>72</v>
      </c>
      <c r="B810" t="s">
        <v>15481</v>
      </c>
      <c r="C810" t="s">
        <v>74</v>
      </c>
      <c r="D810" t="s">
        <v>74</v>
      </c>
      <c r="E810" t="s">
        <v>74</v>
      </c>
      <c r="F810" t="s">
        <v>15482</v>
      </c>
      <c r="G810" t="s">
        <v>74</v>
      </c>
      <c r="H810" t="s">
        <v>74</v>
      </c>
      <c r="I810" t="s">
        <v>15483</v>
      </c>
      <c r="J810" t="s">
        <v>15484</v>
      </c>
      <c r="K810" t="s">
        <v>74</v>
      </c>
      <c r="L810" t="s">
        <v>74</v>
      </c>
      <c r="M810" t="s">
        <v>78</v>
      </c>
      <c r="N810" t="s">
        <v>779</v>
      </c>
      <c r="O810" t="s">
        <v>74</v>
      </c>
      <c r="P810" t="s">
        <v>74</v>
      </c>
      <c r="Q810" t="s">
        <v>74</v>
      </c>
      <c r="R810" t="s">
        <v>74</v>
      </c>
      <c r="S810" t="s">
        <v>74</v>
      </c>
      <c r="T810" t="s">
        <v>74</v>
      </c>
      <c r="U810" t="s">
        <v>74</v>
      </c>
      <c r="V810" t="s">
        <v>74</v>
      </c>
      <c r="W810" t="s">
        <v>15485</v>
      </c>
      <c r="X810" t="s">
        <v>15486</v>
      </c>
      <c r="Y810" t="s">
        <v>15487</v>
      </c>
      <c r="Z810" t="s">
        <v>15488</v>
      </c>
      <c r="AA810" t="s">
        <v>15489</v>
      </c>
      <c r="AB810" t="s">
        <v>15490</v>
      </c>
      <c r="AC810" t="s">
        <v>15491</v>
      </c>
      <c r="AD810" t="s">
        <v>15492</v>
      </c>
      <c r="AE810" t="s">
        <v>15493</v>
      </c>
      <c r="AF810" t="s">
        <v>74</v>
      </c>
      <c r="AG810">
        <v>9</v>
      </c>
      <c r="AH810">
        <v>1</v>
      </c>
      <c r="AI810">
        <v>1</v>
      </c>
      <c r="AJ810">
        <v>1</v>
      </c>
      <c r="AK810">
        <v>6</v>
      </c>
      <c r="AL810" t="s">
        <v>4206</v>
      </c>
      <c r="AM810" t="s">
        <v>4207</v>
      </c>
      <c r="AN810" t="s">
        <v>4208</v>
      </c>
      <c r="AO810" t="s">
        <v>15494</v>
      </c>
      <c r="AP810" t="s">
        <v>15495</v>
      </c>
      <c r="AQ810" t="s">
        <v>74</v>
      </c>
      <c r="AR810" t="s">
        <v>15496</v>
      </c>
      <c r="AS810" t="s">
        <v>15497</v>
      </c>
      <c r="AT810" t="s">
        <v>99</v>
      </c>
      <c r="AU810">
        <v>2022</v>
      </c>
      <c r="AV810">
        <v>39</v>
      </c>
      <c r="AW810">
        <v>3</v>
      </c>
      <c r="AX810" t="s">
        <v>74</v>
      </c>
      <c r="AY810" t="s">
        <v>74</v>
      </c>
      <c r="AZ810" t="s">
        <v>74</v>
      </c>
      <c r="BA810" t="s">
        <v>74</v>
      </c>
      <c r="BB810">
        <v>536</v>
      </c>
      <c r="BC810">
        <v>542</v>
      </c>
      <c r="BD810" t="s">
        <v>74</v>
      </c>
      <c r="BE810" t="s">
        <v>15498</v>
      </c>
      <c r="BF810" t="str">
        <f>HYPERLINK("http://dx.doi.org/10.1007/s00376-021-1384-4","http://dx.doi.org/10.1007/s00376-021-1384-4")</f>
        <v>http://dx.doi.org/10.1007/s00376-021-1384-4</v>
      </c>
      <c r="BG810" t="s">
        <v>74</v>
      </c>
      <c r="BH810" t="s">
        <v>14486</v>
      </c>
      <c r="BI810">
        <v>7</v>
      </c>
      <c r="BJ810" t="s">
        <v>514</v>
      </c>
      <c r="BK810" t="s">
        <v>103</v>
      </c>
      <c r="BL810" t="s">
        <v>514</v>
      </c>
      <c r="BM810" t="s">
        <v>15499</v>
      </c>
      <c r="BN810" t="s">
        <v>74</v>
      </c>
      <c r="BO810" t="s">
        <v>74</v>
      </c>
      <c r="BP810" t="s">
        <v>74</v>
      </c>
      <c r="BQ810" t="s">
        <v>74</v>
      </c>
      <c r="BR810" t="s">
        <v>106</v>
      </c>
      <c r="BS810" t="s">
        <v>15500</v>
      </c>
      <c r="BT810" t="str">
        <f>HYPERLINK("https%3A%2F%2Fwww.webofscience.com%2Fwos%2Fwoscc%2Ffull-record%2FWOS:000730875800001","View Full Record in Web of Science")</f>
        <v>View Full Record in Web of Science</v>
      </c>
    </row>
    <row r="811" spans="1:72" x14ac:dyDescent="0.15">
      <c r="A811" t="s">
        <v>72</v>
      </c>
      <c r="B811" t="s">
        <v>15501</v>
      </c>
      <c r="C811" t="s">
        <v>74</v>
      </c>
      <c r="D811" t="s">
        <v>74</v>
      </c>
      <c r="E811" t="s">
        <v>74</v>
      </c>
      <c r="F811" t="s">
        <v>15502</v>
      </c>
      <c r="G811" t="s">
        <v>74</v>
      </c>
      <c r="H811" t="s">
        <v>74</v>
      </c>
      <c r="I811" t="s">
        <v>15503</v>
      </c>
      <c r="J811" t="s">
        <v>15504</v>
      </c>
      <c r="K811" t="s">
        <v>74</v>
      </c>
      <c r="L811" t="s">
        <v>74</v>
      </c>
      <c r="M811" t="s">
        <v>78</v>
      </c>
      <c r="N811" t="s">
        <v>79</v>
      </c>
      <c r="O811" t="s">
        <v>74</v>
      </c>
      <c r="P811" t="s">
        <v>74</v>
      </c>
      <c r="Q811" t="s">
        <v>74</v>
      </c>
      <c r="R811" t="s">
        <v>74</v>
      </c>
      <c r="S811" t="s">
        <v>74</v>
      </c>
      <c r="T811" t="s">
        <v>15505</v>
      </c>
      <c r="U811" t="s">
        <v>15506</v>
      </c>
      <c r="V811" t="s">
        <v>15507</v>
      </c>
      <c r="W811" t="s">
        <v>15508</v>
      </c>
      <c r="X811" t="s">
        <v>15509</v>
      </c>
      <c r="Y811" t="s">
        <v>15510</v>
      </c>
      <c r="Z811" t="s">
        <v>15511</v>
      </c>
      <c r="AA811" t="s">
        <v>15512</v>
      </c>
      <c r="AB811" t="s">
        <v>15513</v>
      </c>
      <c r="AC811" t="s">
        <v>15514</v>
      </c>
      <c r="AD811" t="s">
        <v>15515</v>
      </c>
      <c r="AE811" t="s">
        <v>15516</v>
      </c>
      <c r="AF811" t="s">
        <v>74</v>
      </c>
      <c r="AG811">
        <v>71</v>
      </c>
      <c r="AH811">
        <v>4</v>
      </c>
      <c r="AI811">
        <v>4</v>
      </c>
      <c r="AJ811">
        <v>4</v>
      </c>
      <c r="AK811">
        <v>18</v>
      </c>
      <c r="AL811" t="s">
        <v>690</v>
      </c>
      <c r="AM811" t="s">
        <v>606</v>
      </c>
      <c r="AN811" t="s">
        <v>691</v>
      </c>
      <c r="AO811" t="s">
        <v>15517</v>
      </c>
      <c r="AP811" t="s">
        <v>74</v>
      </c>
      <c r="AQ811" t="s">
        <v>74</v>
      </c>
      <c r="AR811" t="s">
        <v>15518</v>
      </c>
      <c r="AS811" t="s">
        <v>15519</v>
      </c>
      <c r="AT811" t="s">
        <v>15520</v>
      </c>
      <c r="AU811">
        <v>2021</v>
      </c>
      <c r="AV811">
        <v>5</v>
      </c>
      <c r="AW811">
        <v>12</v>
      </c>
      <c r="AX811" t="s">
        <v>74</v>
      </c>
      <c r="AY811" t="s">
        <v>74</v>
      </c>
      <c r="AZ811" t="s">
        <v>74</v>
      </c>
      <c r="BA811" t="s">
        <v>74</v>
      </c>
      <c r="BB811">
        <v>3488</v>
      </c>
      <c r="BC811">
        <v>3498</v>
      </c>
      <c r="BD811" t="s">
        <v>74</v>
      </c>
      <c r="BE811" t="s">
        <v>15521</v>
      </c>
      <c r="BF811" t="str">
        <f>HYPERLINK("http://dx.doi.org/10.1021/acsearthspacechem.1c00314","http://dx.doi.org/10.1021/acsearthspacechem.1c00314")</f>
        <v>http://dx.doi.org/10.1021/acsearthspacechem.1c00314</v>
      </c>
      <c r="BG811" t="s">
        <v>74</v>
      </c>
      <c r="BH811" t="s">
        <v>74</v>
      </c>
      <c r="BI811">
        <v>11</v>
      </c>
      <c r="BJ811" t="s">
        <v>15522</v>
      </c>
      <c r="BK811" t="s">
        <v>103</v>
      </c>
      <c r="BL811" t="s">
        <v>15523</v>
      </c>
      <c r="BM811" t="s">
        <v>15524</v>
      </c>
      <c r="BN811" t="s">
        <v>74</v>
      </c>
      <c r="BO811" t="s">
        <v>74</v>
      </c>
      <c r="BP811" t="s">
        <v>74</v>
      </c>
      <c r="BQ811" t="s">
        <v>74</v>
      </c>
      <c r="BR811" t="s">
        <v>106</v>
      </c>
      <c r="BS811" t="s">
        <v>15525</v>
      </c>
      <c r="BT811" t="str">
        <f>HYPERLINK("https%3A%2F%2Fwww.webofscience.com%2Fwos%2Fwoscc%2Ffull-record%2FWOS:000757012400018","View Full Record in Web of Science")</f>
        <v>View Full Record in Web of Science</v>
      </c>
    </row>
    <row r="812" spans="1:72" x14ac:dyDescent="0.15">
      <c r="A812" t="s">
        <v>72</v>
      </c>
      <c r="B812" t="s">
        <v>15526</v>
      </c>
      <c r="C812" t="s">
        <v>74</v>
      </c>
      <c r="D812" t="s">
        <v>74</v>
      </c>
      <c r="E812" t="s">
        <v>74</v>
      </c>
      <c r="F812" t="s">
        <v>15527</v>
      </c>
      <c r="G812" t="s">
        <v>74</v>
      </c>
      <c r="H812" t="s">
        <v>74</v>
      </c>
      <c r="I812" t="s">
        <v>15528</v>
      </c>
      <c r="J812" t="s">
        <v>5854</v>
      </c>
      <c r="K812" t="s">
        <v>74</v>
      </c>
      <c r="L812" t="s">
        <v>74</v>
      </c>
      <c r="M812" t="s">
        <v>78</v>
      </c>
      <c r="N812" t="s">
        <v>79</v>
      </c>
      <c r="O812" t="s">
        <v>74</v>
      </c>
      <c r="P812" t="s">
        <v>74</v>
      </c>
      <c r="Q812" t="s">
        <v>74</v>
      </c>
      <c r="R812" t="s">
        <v>74</v>
      </c>
      <c r="S812" t="s">
        <v>74</v>
      </c>
      <c r="T812" t="s">
        <v>74</v>
      </c>
      <c r="U812" t="s">
        <v>15529</v>
      </c>
      <c r="V812" t="s">
        <v>15530</v>
      </c>
      <c r="W812" t="s">
        <v>15531</v>
      </c>
      <c r="X812" t="s">
        <v>15532</v>
      </c>
      <c r="Y812" t="s">
        <v>15533</v>
      </c>
      <c r="Z812" t="s">
        <v>15534</v>
      </c>
      <c r="AA812" t="s">
        <v>15535</v>
      </c>
      <c r="AB812" t="s">
        <v>15536</v>
      </c>
      <c r="AC812" t="s">
        <v>15537</v>
      </c>
      <c r="AD812" t="s">
        <v>15538</v>
      </c>
      <c r="AE812" t="s">
        <v>15539</v>
      </c>
      <c r="AF812" t="s">
        <v>74</v>
      </c>
      <c r="AG812">
        <v>163</v>
      </c>
      <c r="AH812">
        <v>90</v>
      </c>
      <c r="AI812">
        <v>91</v>
      </c>
      <c r="AJ812">
        <v>20</v>
      </c>
      <c r="AK812">
        <v>141</v>
      </c>
      <c r="AL812" t="s">
        <v>337</v>
      </c>
      <c r="AM812" t="s">
        <v>338</v>
      </c>
      <c r="AN812" t="s">
        <v>339</v>
      </c>
      <c r="AO812" t="s">
        <v>5865</v>
      </c>
      <c r="AP812" t="s">
        <v>5866</v>
      </c>
      <c r="AQ812" t="s">
        <v>74</v>
      </c>
      <c r="AR812" t="s">
        <v>5854</v>
      </c>
      <c r="AS812" t="s">
        <v>5867</v>
      </c>
      <c r="AT812" t="s">
        <v>15520</v>
      </c>
      <c r="AU812">
        <v>2021</v>
      </c>
      <c r="AV812">
        <v>600</v>
      </c>
      <c r="AW812">
        <v>7889</v>
      </c>
      <c r="AX812" t="s">
        <v>74</v>
      </c>
      <c r="AY812" t="s">
        <v>74</v>
      </c>
      <c r="AZ812" t="s">
        <v>74</v>
      </c>
      <c r="BA812" t="s">
        <v>74</v>
      </c>
      <c r="BB812">
        <v>395</v>
      </c>
      <c r="BC812">
        <v>407</v>
      </c>
      <c r="BD812" t="s">
        <v>74</v>
      </c>
      <c r="BE812" t="s">
        <v>15540</v>
      </c>
      <c r="BF812" t="str">
        <f>HYPERLINK("http://dx.doi.org/10.1038/s41586-021-03981-7","http://dx.doi.org/10.1038/s41586-021-03981-7")</f>
        <v>http://dx.doi.org/10.1038/s41586-021-03981-7</v>
      </c>
      <c r="BG812" t="s">
        <v>74</v>
      </c>
      <c r="BH812" t="s">
        <v>74</v>
      </c>
      <c r="BI812">
        <v>13</v>
      </c>
      <c r="BJ812" t="s">
        <v>289</v>
      </c>
      <c r="BK812" t="s">
        <v>103</v>
      </c>
      <c r="BL812" t="s">
        <v>290</v>
      </c>
      <c r="BM812" t="s">
        <v>15541</v>
      </c>
      <c r="BN812">
        <v>34912083</v>
      </c>
      <c r="BO812" t="s">
        <v>3307</v>
      </c>
      <c r="BP812" t="s">
        <v>74</v>
      </c>
      <c r="BQ812" t="s">
        <v>74</v>
      </c>
      <c r="BR812" t="s">
        <v>106</v>
      </c>
      <c r="BS812" t="s">
        <v>15542</v>
      </c>
      <c r="BT812" t="str">
        <f>HYPERLINK("https%3A%2F%2Fwww.webofscience.com%2Fwos%2Fwoscc%2Ffull-record%2FWOS:000730754700020","View Full Record in Web of Science")</f>
        <v>View Full Record in Web of Science</v>
      </c>
    </row>
    <row r="813" spans="1:72" x14ac:dyDescent="0.15">
      <c r="A813" t="s">
        <v>72</v>
      </c>
      <c r="B813" t="s">
        <v>15543</v>
      </c>
      <c r="C813" t="s">
        <v>74</v>
      </c>
      <c r="D813" t="s">
        <v>74</v>
      </c>
      <c r="E813" t="s">
        <v>74</v>
      </c>
      <c r="F813" t="s">
        <v>15544</v>
      </c>
      <c r="G813" t="s">
        <v>74</v>
      </c>
      <c r="H813" t="s">
        <v>74</v>
      </c>
      <c r="I813" t="s">
        <v>15545</v>
      </c>
      <c r="J813" t="s">
        <v>592</v>
      </c>
      <c r="K813" t="s">
        <v>74</v>
      </c>
      <c r="L813" t="s">
        <v>74</v>
      </c>
      <c r="M813" t="s">
        <v>78</v>
      </c>
      <c r="N813" t="s">
        <v>79</v>
      </c>
      <c r="O813" t="s">
        <v>74</v>
      </c>
      <c r="P813" t="s">
        <v>74</v>
      </c>
      <c r="Q813" t="s">
        <v>74</v>
      </c>
      <c r="R813" t="s">
        <v>74</v>
      </c>
      <c r="S813" t="s">
        <v>74</v>
      </c>
      <c r="T813" t="s">
        <v>74</v>
      </c>
      <c r="U813" t="s">
        <v>15546</v>
      </c>
      <c r="V813" t="s">
        <v>15547</v>
      </c>
      <c r="W813" t="s">
        <v>15548</v>
      </c>
      <c r="X813" t="s">
        <v>15549</v>
      </c>
      <c r="Y813" t="s">
        <v>15550</v>
      </c>
      <c r="Z813" t="s">
        <v>15551</v>
      </c>
      <c r="AA813" t="s">
        <v>74</v>
      </c>
      <c r="AB813" t="s">
        <v>15552</v>
      </c>
      <c r="AC813" t="s">
        <v>15553</v>
      </c>
      <c r="AD813" t="s">
        <v>15554</v>
      </c>
      <c r="AE813" t="s">
        <v>15555</v>
      </c>
      <c r="AF813" t="s">
        <v>74</v>
      </c>
      <c r="AG813">
        <v>96</v>
      </c>
      <c r="AH813">
        <v>6</v>
      </c>
      <c r="AI813">
        <v>6</v>
      </c>
      <c r="AJ813">
        <v>0</v>
      </c>
      <c r="AK813">
        <v>14</v>
      </c>
      <c r="AL813" t="s">
        <v>605</v>
      </c>
      <c r="AM813" t="s">
        <v>606</v>
      </c>
      <c r="AN813" t="s">
        <v>607</v>
      </c>
      <c r="AO813" t="s">
        <v>608</v>
      </c>
      <c r="AP813" t="s">
        <v>609</v>
      </c>
      <c r="AQ813" t="s">
        <v>74</v>
      </c>
      <c r="AR813" t="s">
        <v>610</v>
      </c>
      <c r="AS813" t="s">
        <v>611</v>
      </c>
      <c r="AT813" t="s">
        <v>15520</v>
      </c>
      <c r="AU813">
        <v>2021</v>
      </c>
      <c r="AV813">
        <v>126</v>
      </c>
      <c r="AW813">
        <v>23</v>
      </c>
      <c r="AX813" t="s">
        <v>74</v>
      </c>
      <c r="AY813" t="s">
        <v>74</v>
      </c>
      <c r="AZ813" t="s">
        <v>74</v>
      </c>
      <c r="BA813" t="s">
        <v>74</v>
      </c>
      <c r="BB813" t="s">
        <v>74</v>
      </c>
      <c r="BC813" t="s">
        <v>74</v>
      </c>
      <c r="BD813" t="s">
        <v>15556</v>
      </c>
      <c r="BE813" t="s">
        <v>15557</v>
      </c>
      <c r="BF813" t="str">
        <f>HYPERLINK("http://dx.doi.org/10.1029/2020JD033943","http://dx.doi.org/10.1029/2020JD033943")</f>
        <v>http://dx.doi.org/10.1029/2020JD033943</v>
      </c>
      <c r="BG813" t="s">
        <v>74</v>
      </c>
      <c r="BH813" t="s">
        <v>74</v>
      </c>
      <c r="BI813">
        <v>23</v>
      </c>
      <c r="BJ813" t="s">
        <v>514</v>
      </c>
      <c r="BK813" t="s">
        <v>103</v>
      </c>
      <c r="BL813" t="s">
        <v>514</v>
      </c>
      <c r="BM813" t="s">
        <v>15558</v>
      </c>
      <c r="BN813" t="s">
        <v>74</v>
      </c>
      <c r="BO813" t="s">
        <v>74</v>
      </c>
      <c r="BP813" t="s">
        <v>74</v>
      </c>
      <c r="BQ813" t="s">
        <v>74</v>
      </c>
      <c r="BR813" t="s">
        <v>106</v>
      </c>
      <c r="BS813" t="s">
        <v>15559</v>
      </c>
      <c r="BT813" t="str">
        <f>HYPERLINK("https%3A%2F%2Fwww.webofscience.com%2Fwos%2Fwoscc%2Ffull-record%2FWOS:000729996000023","View Full Record in Web of Science")</f>
        <v>View Full Record in Web of Science</v>
      </c>
    </row>
    <row r="814" spans="1:72" x14ac:dyDescent="0.15">
      <c r="A814" t="s">
        <v>72</v>
      </c>
      <c r="B814" t="s">
        <v>15560</v>
      </c>
      <c r="C814" t="s">
        <v>74</v>
      </c>
      <c r="D814" t="s">
        <v>74</v>
      </c>
      <c r="E814" t="s">
        <v>74</v>
      </c>
      <c r="F814" t="s">
        <v>15561</v>
      </c>
      <c r="G814" t="s">
        <v>74</v>
      </c>
      <c r="H814" t="s">
        <v>74</v>
      </c>
      <c r="I814" t="s">
        <v>15562</v>
      </c>
      <c r="J814" t="s">
        <v>592</v>
      </c>
      <c r="K814" t="s">
        <v>74</v>
      </c>
      <c r="L814" t="s">
        <v>74</v>
      </c>
      <c r="M814" t="s">
        <v>78</v>
      </c>
      <c r="N814" t="s">
        <v>79</v>
      </c>
      <c r="O814" t="s">
        <v>74</v>
      </c>
      <c r="P814" t="s">
        <v>74</v>
      </c>
      <c r="Q814" t="s">
        <v>74</v>
      </c>
      <c r="R814" t="s">
        <v>74</v>
      </c>
      <c r="S814" t="s">
        <v>74</v>
      </c>
      <c r="T814" t="s">
        <v>15563</v>
      </c>
      <c r="U814" t="s">
        <v>15564</v>
      </c>
      <c r="V814" t="s">
        <v>15565</v>
      </c>
      <c r="W814" t="s">
        <v>15566</v>
      </c>
      <c r="X814" t="s">
        <v>15567</v>
      </c>
      <c r="Y814" t="s">
        <v>15568</v>
      </c>
      <c r="Z814" t="s">
        <v>15569</v>
      </c>
      <c r="AA814" t="s">
        <v>15570</v>
      </c>
      <c r="AB814" t="s">
        <v>15571</v>
      </c>
      <c r="AC814" t="s">
        <v>15572</v>
      </c>
      <c r="AD814" t="s">
        <v>15573</v>
      </c>
      <c r="AE814" t="s">
        <v>15574</v>
      </c>
      <c r="AF814" t="s">
        <v>74</v>
      </c>
      <c r="AG814">
        <v>91</v>
      </c>
      <c r="AH814">
        <v>11</v>
      </c>
      <c r="AI814">
        <v>12</v>
      </c>
      <c r="AJ814">
        <v>1</v>
      </c>
      <c r="AK814">
        <v>14</v>
      </c>
      <c r="AL814" t="s">
        <v>605</v>
      </c>
      <c r="AM814" t="s">
        <v>606</v>
      </c>
      <c r="AN814" t="s">
        <v>607</v>
      </c>
      <c r="AO814" t="s">
        <v>608</v>
      </c>
      <c r="AP814" t="s">
        <v>609</v>
      </c>
      <c r="AQ814" t="s">
        <v>74</v>
      </c>
      <c r="AR814" t="s">
        <v>610</v>
      </c>
      <c r="AS814" t="s">
        <v>611</v>
      </c>
      <c r="AT814" t="s">
        <v>15520</v>
      </c>
      <c r="AU814">
        <v>2021</v>
      </c>
      <c r="AV814">
        <v>126</v>
      </c>
      <c r="AW814">
        <v>23</v>
      </c>
      <c r="AX814" t="s">
        <v>74</v>
      </c>
      <c r="AY814" t="s">
        <v>74</v>
      </c>
      <c r="AZ814" t="s">
        <v>74</v>
      </c>
      <c r="BA814" t="s">
        <v>74</v>
      </c>
      <c r="BB814" t="s">
        <v>74</v>
      </c>
      <c r="BC814" t="s">
        <v>74</v>
      </c>
      <c r="BD814" t="s">
        <v>15575</v>
      </c>
      <c r="BE814" t="s">
        <v>15576</v>
      </c>
      <c r="BF814" t="str">
        <f>HYPERLINK("http://dx.doi.org/10.1029/2021JD034911","http://dx.doi.org/10.1029/2021JD034911")</f>
        <v>http://dx.doi.org/10.1029/2021JD034911</v>
      </c>
      <c r="BG814" t="s">
        <v>74</v>
      </c>
      <c r="BH814" t="s">
        <v>74</v>
      </c>
      <c r="BI814">
        <v>22</v>
      </c>
      <c r="BJ814" t="s">
        <v>514</v>
      </c>
      <c r="BK814" t="s">
        <v>103</v>
      </c>
      <c r="BL814" t="s">
        <v>514</v>
      </c>
      <c r="BM814" t="s">
        <v>15558</v>
      </c>
      <c r="BN814" t="s">
        <v>74</v>
      </c>
      <c r="BO814" t="s">
        <v>5641</v>
      </c>
      <c r="BP814" t="s">
        <v>74</v>
      </c>
      <c r="BQ814" t="s">
        <v>74</v>
      </c>
      <c r="BR814" t="s">
        <v>106</v>
      </c>
      <c r="BS814" t="s">
        <v>15577</v>
      </c>
      <c r="BT814" t="str">
        <f>HYPERLINK("https%3A%2F%2Fwww.webofscience.com%2Fwos%2Fwoscc%2Ffull-record%2FWOS:000729996000008","View Full Record in Web of Science")</f>
        <v>View Full Record in Web of Science</v>
      </c>
    </row>
    <row r="815" spans="1:72" x14ac:dyDescent="0.15">
      <c r="A815" t="s">
        <v>72</v>
      </c>
      <c r="B815" t="s">
        <v>15578</v>
      </c>
      <c r="C815" t="s">
        <v>74</v>
      </c>
      <c r="D815" t="s">
        <v>74</v>
      </c>
      <c r="E815" t="s">
        <v>74</v>
      </c>
      <c r="F815" t="s">
        <v>15579</v>
      </c>
      <c r="G815" t="s">
        <v>74</v>
      </c>
      <c r="H815" t="s">
        <v>74</v>
      </c>
      <c r="I815" t="s">
        <v>15580</v>
      </c>
      <c r="J815" t="s">
        <v>592</v>
      </c>
      <c r="K815" t="s">
        <v>74</v>
      </c>
      <c r="L815" t="s">
        <v>74</v>
      </c>
      <c r="M815" t="s">
        <v>78</v>
      </c>
      <c r="N815" t="s">
        <v>79</v>
      </c>
      <c r="O815" t="s">
        <v>74</v>
      </c>
      <c r="P815" t="s">
        <v>74</v>
      </c>
      <c r="Q815" t="s">
        <v>74</v>
      </c>
      <c r="R815" t="s">
        <v>74</v>
      </c>
      <c r="S815" t="s">
        <v>74</v>
      </c>
      <c r="T815" t="s">
        <v>15581</v>
      </c>
      <c r="U815" t="s">
        <v>15582</v>
      </c>
      <c r="V815" t="s">
        <v>15583</v>
      </c>
      <c r="W815" t="s">
        <v>15584</v>
      </c>
      <c r="X815" t="s">
        <v>15585</v>
      </c>
      <c r="Y815" t="s">
        <v>15586</v>
      </c>
      <c r="Z815" t="s">
        <v>15587</v>
      </c>
      <c r="AA815" t="s">
        <v>74</v>
      </c>
      <c r="AB815" t="s">
        <v>15588</v>
      </c>
      <c r="AC815" t="s">
        <v>15589</v>
      </c>
      <c r="AD815" t="s">
        <v>15590</v>
      </c>
      <c r="AE815" t="s">
        <v>15591</v>
      </c>
      <c r="AF815" t="s">
        <v>74</v>
      </c>
      <c r="AG815">
        <v>86</v>
      </c>
      <c r="AH815">
        <v>5</v>
      </c>
      <c r="AI815">
        <v>5</v>
      </c>
      <c r="AJ815">
        <v>1</v>
      </c>
      <c r="AK815">
        <v>11</v>
      </c>
      <c r="AL815" t="s">
        <v>605</v>
      </c>
      <c r="AM815" t="s">
        <v>606</v>
      </c>
      <c r="AN815" t="s">
        <v>607</v>
      </c>
      <c r="AO815" t="s">
        <v>608</v>
      </c>
      <c r="AP815" t="s">
        <v>609</v>
      </c>
      <c r="AQ815" t="s">
        <v>74</v>
      </c>
      <c r="AR815" t="s">
        <v>610</v>
      </c>
      <c r="AS815" t="s">
        <v>611</v>
      </c>
      <c r="AT815" t="s">
        <v>15520</v>
      </c>
      <c r="AU815">
        <v>2021</v>
      </c>
      <c r="AV815">
        <v>126</v>
      </c>
      <c r="AW815">
        <v>23</v>
      </c>
      <c r="AX815" t="s">
        <v>74</v>
      </c>
      <c r="AY815" t="s">
        <v>74</v>
      </c>
      <c r="AZ815" t="s">
        <v>74</v>
      </c>
      <c r="BA815" t="s">
        <v>74</v>
      </c>
      <c r="BB815" t="s">
        <v>74</v>
      </c>
      <c r="BC815" t="s">
        <v>74</v>
      </c>
      <c r="BD815" t="s">
        <v>15592</v>
      </c>
      <c r="BE815" t="s">
        <v>15593</v>
      </c>
      <c r="BF815" t="str">
        <f>HYPERLINK("http://dx.doi.org/10.1029/2021JD035112","http://dx.doi.org/10.1029/2021JD035112")</f>
        <v>http://dx.doi.org/10.1029/2021JD035112</v>
      </c>
      <c r="BG815" t="s">
        <v>74</v>
      </c>
      <c r="BH815" t="s">
        <v>74</v>
      </c>
      <c r="BI815">
        <v>26</v>
      </c>
      <c r="BJ815" t="s">
        <v>514</v>
      </c>
      <c r="BK815" t="s">
        <v>103</v>
      </c>
      <c r="BL815" t="s">
        <v>514</v>
      </c>
      <c r="BM815" t="s">
        <v>15558</v>
      </c>
      <c r="BN815" t="s">
        <v>74</v>
      </c>
      <c r="BO815" t="s">
        <v>796</v>
      </c>
      <c r="BP815" t="s">
        <v>74</v>
      </c>
      <c r="BQ815" t="s">
        <v>74</v>
      </c>
      <c r="BR815" t="s">
        <v>106</v>
      </c>
      <c r="BS815" t="s">
        <v>15594</v>
      </c>
      <c r="BT815" t="str">
        <f>HYPERLINK("https%3A%2F%2Fwww.webofscience.com%2Fwos%2Fwoscc%2Ffull-record%2FWOS:000729996000024","View Full Record in Web of Science")</f>
        <v>View Full Record in Web of Science</v>
      </c>
    </row>
    <row r="816" spans="1:72" x14ac:dyDescent="0.15">
      <c r="A816" t="s">
        <v>72</v>
      </c>
      <c r="B816" t="s">
        <v>15595</v>
      </c>
      <c r="C816" t="s">
        <v>74</v>
      </c>
      <c r="D816" t="s">
        <v>74</v>
      </c>
      <c r="E816" t="s">
        <v>74</v>
      </c>
      <c r="F816" t="s">
        <v>15596</v>
      </c>
      <c r="G816" t="s">
        <v>74</v>
      </c>
      <c r="H816" t="s">
        <v>74</v>
      </c>
      <c r="I816" t="s">
        <v>15597</v>
      </c>
      <c r="J816" t="s">
        <v>592</v>
      </c>
      <c r="K816" t="s">
        <v>74</v>
      </c>
      <c r="L816" t="s">
        <v>74</v>
      </c>
      <c r="M816" t="s">
        <v>78</v>
      </c>
      <c r="N816" t="s">
        <v>79</v>
      </c>
      <c r="O816" t="s">
        <v>74</v>
      </c>
      <c r="P816" t="s">
        <v>74</v>
      </c>
      <c r="Q816" t="s">
        <v>74</v>
      </c>
      <c r="R816" t="s">
        <v>74</v>
      </c>
      <c r="S816" t="s">
        <v>74</v>
      </c>
      <c r="T816" t="s">
        <v>15598</v>
      </c>
      <c r="U816" t="s">
        <v>15599</v>
      </c>
      <c r="V816" t="s">
        <v>15600</v>
      </c>
      <c r="W816" t="s">
        <v>15601</v>
      </c>
      <c r="X816" t="s">
        <v>15602</v>
      </c>
      <c r="Y816" t="s">
        <v>15603</v>
      </c>
      <c r="Z816" t="s">
        <v>15604</v>
      </c>
      <c r="AA816" t="s">
        <v>15605</v>
      </c>
      <c r="AB816" t="s">
        <v>15606</v>
      </c>
      <c r="AC816" t="s">
        <v>15607</v>
      </c>
      <c r="AD816" t="s">
        <v>15608</v>
      </c>
      <c r="AE816" t="s">
        <v>15609</v>
      </c>
      <c r="AF816" t="s">
        <v>74</v>
      </c>
      <c r="AG816">
        <v>98</v>
      </c>
      <c r="AH816">
        <v>5</v>
      </c>
      <c r="AI816">
        <v>5</v>
      </c>
      <c r="AJ816">
        <v>3</v>
      </c>
      <c r="AK816">
        <v>20</v>
      </c>
      <c r="AL816" t="s">
        <v>605</v>
      </c>
      <c r="AM816" t="s">
        <v>606</v>
      </c>
      <c r="AN816" t="s">
        <v>607</v>
      </c>
      <c r="AO816" t="s">
        <v>608</v>
      </c>
      <c r="AP816" t="s">
        <v>609</v>
      </c>
      <c r="AQ816" t="s">
        <v>74</v>
      </c>
      <c r="AR816" t="s">
        <v>610</v>
      </c>
      <c r="AS816" t="s">
        <v>611</v>
      </c>
      <c r="AT816" t="s">
        <v>15520</v>
      </c>
      <c r="AU816">
        <v>2021</v>
      </c>
      <c r="AV816">
        <v>126</v>
      </c>
      <c r="AW816">
        <v>23</v>
      </c>
      <c r="AX816" t="s">
        <v>74</v>
      </c>
      <c r="AY816" t="s">
        <v>74</v>
      </c>
      <c r="AZ816" t="s">
        <v>74</v>
      </c>
      <c r="BA816" t="s">
        <v>74</v>
      </c>
      <c r="BB816" t="s">
        <v>74</v>
      </c>
      <c r="BC816" t="s">
        <v>74</v>
      </c>
      <c r="BD816" t="s">
        <v>15610</v>
      </c>
      <c r="BE816" t="s">
        <v>15611</v>
      </c>
      <c r="BF816" t="str">
        <f>HYPERLINK("http://dx.doi.org/10.1029/2021JD035397","http://dx.doi.org/10.1029/2021JD035397")</f>
        <v>http://dx.doi.org/10.1029/2021JD035397</v>
      </c>
      <c r="BG816" t="s">
        <v>74</v>
      </c>
      <c r="BH816" t="s">
        <v>74</v>
      </c>
      <c r="BI816">
        <v>15</v>
      </c>
      <c r="BJ816" t="s">
        <v>514</v>
      </c>
      <c r="BK816" t="s">
        <v>103</v>
      </c>
      <c r="BL816" t="s">
        <v>514</v>
      </c>
      <c r="BM816" t="s">
        <v>15558</v>
      </c>
      <c r="BN816" t="s">
        <v>74</v>
      </c>
      <c r="BO816" t="s">
        <v>74</v>
      </c>
      <c r="BP816" t="s">
        <v>74</v>
      </c>
      <c r="BQ816" t="s">
        <v>74</v>
      </c>
      <c r="BR816" t="s">
        <v>106</v>
      </c>
      <c r="BS816" t="s">
        <v>15612</v>
      </c>
      <c r="BT816" t="str">
        <f>HYPERLINK("https%3A%2F%2Fwww.webofscience.com%2Fwos%2Fwoscc%2Ffull-record%2FWOS:000729996000037","View Full Record in Web of Science")</f>
        <v>View Full Record in Web of Science</v>
      </c>
    </row>
    <row r="817" spans="1:72" x14ac:dyDescent="0.15">
      <c r="A817" t="s">
        <v>72</v>
      </c>
      <c r="B817" t="s">
        <v>15613</v>
      </c>
      <c r="C817" t="s">
        <v>74</v>
      </c>
      <c r="D817" t="s">
        <v>74</v>
      </c>
      <c r="E817" t="s">
        <v>74</v>
      </c>
      <c r="F817" t="s">
        <v>15614</v>
      </c>
      <c r="G817" t="s">
        <v>74</v>
      </c>
      <c r="H817" t="s">
        <v>74</v>
      </c>
      <c r="I817" t="s">
        <v>15615</v>
      </c>
      <c r="J817" t="s">
        <v>592</v>
      </c>
      <c r="K817" t="s">
        <v>74</v>
      </c>
      <c r="L817" t="s">
        <v>74</v>
      </c>
      <c r="M817" t="s">
        <v>78</v>
      </c>
      <c r="N817" t="s">
        <v>79</v>
      </c>
      <c r="O817" t="s">
        <v>74</v>
      </c>
      <c r="P817" t="s">
        <v>74</v>
      </c>
      <c r="Q817" t="s">
        <v>74</v>
      </c>
      <c r="R817" t="s">
        <v>74</v>
      </c>
      <c r="S817" t="s">
        <v>74</v>
      </c>
      <c r="T817" t="s">
        <v>15616</v>
      </c>
      <c r="U817" t="s">
        <v>15617</v>
      </c>
      <c r="V817" t="s">
        <v>15618</v>
      </c>
      <c r="W817" t="s">
        <v>15619</v>
      </c>
      <c r="X817" t="s">
        <v>4314</v>
      </c>
      <c r="Y817" t="s">
        <v>15620</v>
      </c>
      <c r="Z817" t="s">
        <v>15621</v>
      </c>
      <c r="AA817" t="s">
        <v>15622</v>
      </c>
      <c r="AB817" t="s">
        <v>15623</v>
      </c>
      <c r="AC817" t="s">
        <v>15624</v>
      </c>
      <c r="AD817" t="s">
        <v>1577</v>
      </c>
      <c r="AE817" t="s">
        <v>15625</v>
      </c>
      <c r="AF817" t="s">
        <v>74</v>
      </c>
      <c r="AG817">
        <v>71</v>
      </c>
      <c r="AH817">
        <v>4</v>
      </c>
      <c r="AI817">
        <v>4</v>
      </c>
      <c r="AJ817">
        <v>5</v>
      </c>
      <c r="AK817">
        <v>45</v>
      </c>
      <c r="AL817" t="s">
        <v>605</v>
      </c>
      <c r="AM817" t="s">
        <v>606</v>
      </c>
      <c r="AN817" t="s">
        <v>607</v>
      </c>
      <c r="AO817" t="s">
        <v>608</v>
      </c>
      <c r="AP817" t="s">
        <v>609</v>
      </c>
      <c r="AQ817" t="s">
        <v>74</v>
      </c>
      <c r="AR817" t="s">
        <v>610</v>
      </c>
      <c r="AS817" t="s">
        <v>611</v>
      </c>
      <c r="AT817" t="s">
        <v>15520</v>
      </c>
      <c r="AU817">
        <v>2021</v>
      </c>
      <c r="AV817">
        <v>126</v>
      </c>
      <c r="AW817">
        <v>23</v>
      </c>
      <c r="AX817" t="s">
        <v>74</v>
      </c>
      <c r="AY817" t="s">
        <v>74</v>
      </c>
      <c r="AZ817" t="s">
        <v>74</v>
      </c>
      <c r="BA817" t="s">
        <v>74</v>
      </c>
      <c r="BB817" t="s">
        <v>74</v>
      </c>
      <c r="BC817" t="s">
        <v>74</v>
      </c>
      <c r="BD817" t="s">
        <v>15626</v>
      </c>
      <c r="BE817" t="s">
        <v>15627</v>
      </c>
      <c r="BF817" t="str">
        <f>HYPERLINK("http://dx.doi.org/10.1029/2021JD035568","http://dx.doi.org/10.1029/2021JD035568")</f>
        <v>http://dx.doi.org/10.1029/2021JD035568</v>
      </c>
      <c r="BG817" t="s">
        <v>74</v>
      </c>
      <c r="BH817" t="s">
        <v>74</v>
      </c>
      <c r="BI817">
        <v>19</v>
      </c>
      <c r="BJ817" t="s">
        <v>514</v>
      </c>
      <c r="BK817" t="s">
        <v>103</v>
      </c>
      <c r="BL817" t="s">
        <v>514</v>
      </c>
      <c r="BM817" t="s">
        <v>15558</v>
      </c>
      <c r="BN817" t="s">
        <v>74</v>
      </c>
      <c r="BO817" t="s">
        <v>74</v>
      </c>
      <c r="BP817" t="s">
        <v>74</v>
      </c>
      <c r="BQ817" t="s">
        <v>74</v>
      </c>
      <c r="BR817" t="s">
        <v>106</v>
      </c>
      <c r="BS817" t="s">
        <v>15628</v>
      </c>
      <c r="BT817" t="str">
        <f>HYPERLINK("https%3A%2F%2Fwww.webofscience.com%2Fwos%2Fwoscc%2Ffull-record%2FWOS:000729996000009","View Full Record in Web of Science")</f>
        <v>View Full Record in Web of Science</v>
      </c>
    </row>
    <row r="818" spans="1:72" x14ac:dyDescent="0.15">
      <c r="A818" t="s">
        <v>72</v>
      </c>
      <c r="B818" t="s">
        <v>15629</v>
      </c>
      <c r="C818" t="s">
        <v>74</v>
      </c>
      <c r="D818" t="s">
        <v>74</v>
      </c>
      <c r="E818" t="s">
        <v>74</v>
      </c>
      <c r="F818" t="s">
        <v>15630</v>
      </c>
      <c r="G818" t="s">
        <v>74</v>
      </c>
      <c r="H818" t="s">
        <v>74</v>
      </c>
      <c r="I818" t="s">
        <v>15631</v>
      </c>
      <c r="J818" t="s">
        <v>592</v>
      </c>
      <c r="K818" t="s">
        <v>74</v>
      </c>
      <c r="L818" t="s">
        <v>74</v>
      </c>
      <c r="M818" t="s">
        <v>78</v>
      </c>
      <c r="N818" t="s">
        <v>79</v>
      </c>
      <c r="O818" t="s">
        <v>74</v>
      </c>
      <c r="P818" t="s">
        <v>74</v>
      </c>
      <c r="Q818" t="s">
        <v>74</v>
      </c>
      <c r="R818" t="s">
        <v>74</v>
      </c>
      <c r="S818" t="s">
        <v>74</v>
      </c>
      <c r="T818" t="s">
        <v>15632</v>
      </c>
      <c r="U818" t="s">
        <v>15633</v>
      </c>
      <c r="V818" t="s">
        <v>15634</v>
      </c>
      <c r="W818" t="s">
        <v>15635</v>
      </c>
      <c r="X818" t="s">
        <v>15636</v>
      </c>
      <c r="Y818" t="s">
        <v>15637</v>
      </c>
      <c r="Z818" t="s">
        <v>15638</v>
      </c>
      <c r="AA818" t="s">
        <v>15639</v>
      </c>
      <c r="AB818" t="s">
        <v>15640</v>
      </c>
      <c r="AC818" t="s">
        <v>15641</v>
      </c>
      <c r="AD818" t="s">
        <v>15642</v>
      </c>
      <c r="AE818" t="s">
        <v>15643</v>
      </c>
      <c r="AF818" t="s">
        <v>74</v>
      </c>
      <c r="AG818">
        <v>88</v>
      </c>
      <c r="AH818">
        <v>8</v>
      </c>
      <c r="AI818">
        <v>8</v>
      </c>
      <c r="AJ818">
        <v>1</v>
      </c>
      <c r="AK818">
        <v>10</v>
      </c>
      <c r="AL818" t="s">
        <v>605</v>
      </c>
      <c r="AM818" t="s">
        <v>606</v>
      </c>
      <c r="AN818" t="s">
        <v>607</v>
      </c>
      <c r="AO818" t="s">
        <v>608</v>
      </c>
      <c r="AP818" t="s">
        <v>609</v>
      </c>
      <c r="AQ818" t="s">
        <v>74</v>
      </c>
      <c r="AR818" t="s">
        <v>610</v>
      </c>
      <c r="AS818" t="s">
        <v>611</v>
      </c>
      <c r="AT818" t="s">
        <v>15520</v>
      </c>
      <c r="AU818">
        <v>2021</v>
      </c>
      <c r="AV818">
        <v>126</v>
      </c>
      <c r="AW818">
        <v>23</v>
      </c>
      <c r="AX818" t="s">
        <v>74</v>
      </c>
      <c r="AY818" t="s">
        <v>74</v>
      </c>
      <c r="AZ818" t="s">
        <v>74</v>
      </c>
      <c r="BA818" t="s">
        <v>74</v>
      </c>
      <c r="BB818" t="s">
        <v>74</v>
      </c>
      <c r="BC818" t="s">
        <v>74</v>
      </c>
      <c r="BD818" t="s">
        <v>15644</v>
      </c>
      <c r="BE818" t="s">
        <v>15645</v>
      </c>
      <c r="BF818" t="str">
        <f>HYPERLINK("http://dx.doi.org/10.1029/2021JD035095","http://dx.doi.org/10.1029/2021JD035095")</f>
        <v>http://dx.doi.org/10.1029/2021JD035095</v>
      </c>
      <c r="BG818" t="s">
        <v>74</v>
      </c>
      <c r="BH818" t="s">
        <v>74</v>
      </c>
      <c r="BI818">
        <v>20</v>
      </c>
      <c r="BJ818" t="s">
        <v>514</v>
      </c>
      <c r="BK818" t="s">
        <v>103</v>
      </c>
      <c r="BL818" t="s">
        <v>514</v>
      </c>
      <c r="BM818" t="s">
        <v>15558</v>
      </c>
      <c r="BN818" t="s">
        <v>74</v>
      </c>
      <c r="BO818" t="s">
        <v>3263</v>
      </c>
      <c r="BP818" t="s">
        <v>74</v>
      </c>
      <c r="BQ818" t="s">
        <v>74</v>
      </c>
      <c r="BR818" t="s">
        <v>106</v>
      </c>
      <c r="BS818" t="s">
        <v>15646</v>
      </c>
      <c r="BT818" t="str">
        <f>HYPERLINK("https%3A%2F%2Fwww.webofscience.com%2Fwos%2Fwoscc%2Ffull-record%2FWOS:000729996000014","View Full Record in Web of Science")</f>
        <v>View Full Record in Web of Science</v>
      </c>
    </row>
    <row r="819" spans="1:72" x14ac:dyDescent="0.15">
      <c r="A819" t="s">
        <v>72</v>
      </c>
      <c r="B819" t="s">
        <v>15647</v>
      </c>
      <c r="C819" t="s">
        <v>74</v>
      </c>
      <c r="D819" t="s">
        <v>74</v>
      </c>
      <c r="E819" t="s">
        <v>74</v>
      </c>
      <c r="F819" t="s">
        <v>15648</v>
      </c>
      <c r="G819" t="s">
        <v>74</v>
      </c>
      <c r="H819" t="s">
        <v>74</v>
      </c>
      <c r="I819" t="s">
        <v>15649</v>
      </c>
      <c r="J819" t="s">
        <v>186</v>
      </c>
      <c r="K819" t="s">
        <v>74</v>
      </c>
      <c r="L819" t="s">
        <v>74</v>
      </c>
      <c r="M819" t="s">
        <v>78</v>
      </c>
      <c r="N819" t="s">
        <v>79</v>
      </c>
      <c r="O819" t="s">
        <v>74</v>
      </c>
      <c r="P819" t="s">
        <v>74</v>
      </c>
      <c r="Q819" t="s">
        <v>74</v>
      </c>
      <c r="R819" t="s">
        <v>74</v>
      </c>
      <c r="S819" t="s">
        <v>74</v>
      </c>
      <c r="T819" t="s">
        <v>15650</v>
      </c>
      <c r="U819" t="s">
        <v>15651</v>
      </c>
      <c r="V819" t="s">
        <v>15652</v>
      </c>
      <c r="W819" t="s">
        <v>15653</v>
      </c>
      <c r="X819" t="s">
        <v>15654</v>
      </c>
      <c r="Y819" t="s">
        <v>15655</v>
      </c>
      <c r="Z819" t="s">
        <v>15656</v>
      </c>
      <c r="AA819" t="s">
        <v>74</v>
      </c>
      <c r="AB819" t="s">
        <v>15657</v>
      </c>
      <c r="AC819" t="s">
        <v>15658</v>
      </c>
      <c r="AD819" t="s">
        <v>15659</v>
      </c>
      <c r="AE819" t="s">
        <v>15660</v>
      </c>
      <c r="AF819" t="s">
        <v>74</v>
      </c>
      <c r="AG819">
        <v>48</v>
      </c>
      <c r="AH819">
        <v>3</v>
      </c>
      <c r="AI819">
        <v>3</v>
      </c>
      <c r="AJ819">
        <v>1</v>
      </c>
      <c r="AK819">
        <v>3</v>
      </c>
      <c r="AL819" t="s">
        <v>198</v>
      </c>
      <c r="AM819" t="s">
        <v>199</v>
      </c>
      <c r="AN819" t="s">
        <v>200</v>
      </c>
      <c r="AO819" t="s">
        <v>201</v>
      </c>
      <c r="AP819" t="s">
        <v>202</v>
      </c>
      <c r="AQ819" t="s">
        <v>74</v>
      </c>
      <c r="AR819" t="s">
        <v>203</v>
      </c>
      <c r="AS819" t="s">
        <v>204</v>
      </c>
      <c r="AT819" t="s">
        <v>4533</v>
      </c>
      <c r="AU819">
        <v>2022</v>
      </c>
      <c r="AV819">
        <v>68</v>
      </c>
      <c r="AW819">
        <v>270</v>
      </c>
      <c r="AX819" t="s">
        <v>74</v>
      </c>
      <c r="AY819" t="s">
        <v>74</v>
      </c>
      <c r="AZ819" t="s">
        <v>74</v>
      </c>
      <c r="BA819" t="s">
        <v>74</v>
      </c>
      <c r="BB819">
        <v>733</v>
      </c>
      <c r="BC819">
        <v>740</v>
      </c>
      <c r="BD819" t="s">
        <v>15661</v>
      </c>
      <c r="BE819" t="s">
        <v>15662</v>
      </c>
      <c r="BF819" t="str">
        <f>HYPERLINK("http://dx.doi.org/10.1017/jog.2021.130","http://dx.doi.org/10.1017/jog.2021.130")</f>
        <v>http://dx.doi.org/10.1017/jog.2021.130</v>
      </c>
      <c r="BG819" t="s">
        <v>74</v>
      </c>
      <c r="BH819" t="s">
        <v>14486</v>
      </c>
      <c r="BI819">
        <v>8</v>
      </c>
      <c r="BJ819" t="s">
        <v>208</v>
      </c>
      <c r="BK819" t="s">
        <v>103</v>
      </c>
      <c r="BL819" t="s">
        <v>209</v>
      </c>
      <c r="BM819" t="s">
        <v>4537</v>
      </c>
      <c r="BN819" t="s">
        <v>74</v>
      </c>
      <c r="BO819" t="s">
        <v>445</v>
      </c>
      <c r="BP819" t="s">
        <v>74</v>
      </c>
      <c r="BQ819" t="s">
        <v>74</v>
      </c>
      <c r="BR819" t="s">
        <v>106</v>
      </c>
      <c r="BS819" t="s">
        <v>15663</v>
      </c>
      <c r="BT819" t="str">
        <f>HYPERLINK("https%3A%2F%2Fwww.webofscience.com%2Fwos%2Fwoscc%2Ffull-record%2FWOS:000736129300001","View Full Record in Web of Science")</f>
        <v>View Full Record in Web of Science</v>
      </c>
    </row>
    <row r="820" spans="1:72" x14ac:dyDescent="0.15">
      <c r="A820" t="s">
        <v>72</v>
      </c>
      <c r="B820" t="s">
        <v>15664</v>
      </c>
      <c r="C820" t="s">
        <v>74</v>
      </c>
      <c r="D820" t="s">
        <v>74</v>
      </c>
      <c r="E820" t="s">
        <v>74</v>
      </c>
      <c r="F820" t="s">
        <v>15665</v>
      </c>
      <c r="G820" t="s">
        <v>74</v>
      </c>
      <c r="H820" t="s">
        <v>74</v>
      </c>
      <c r="I820" t="s">
        <v>15666</v>
      </c>
      <c r="J820" t="s">
        <v>15667</v>
      </c>
      <c r="K820" t="s">
        <v>74</v>
      </c>
      <c r="L820" t="s">
        <v>74</v>
      </c>
      <c r="M820" t="s">
        <v>78</v>
      </c>
      <c r="N820" t="s">
        <v>79</v>
      </c>
      <c r="O820" t="s">
        <v>74</v>
      </c>
      <c r="P820" t="s">
        <v>74</v>
      </c>
      <c r="Q820" t="s">
        <v>74</v>
      </c>
      <c r="R820" t="s">
        <v>74</v>
      </c>
      <c r="S820" t="s">
        <v>74</v>
      </c>
      <c r="T820" t="s">
        <v>15668</v>
      </c>
      <c r="U820" t="s">
        <v>15669</v>
      </c>
      <c r="V820" t="s">
        <v>15670</v>
      </c>
      <c r="W820" t="s">
        <v>15671</v>
      </c>
      <c r="X820" t="s">
        <v>15672</v>
      </c>
      <c r="Y820" t="s">
        <v>15673</v>
      </c>
      <c r="Z820" t="s">
        <v>15674</v>
      </c>
      <c r="AA820" t="s">
        <v>15675</v>
      </c>
      <c r="AB820" t="s">
        <v>15676</v>
      </c>
      <c r="AC820" t="s">
        <v>15677</v>
      </c>
      <c r="AD820" t="s">
        <v>15678</v>
      </c>
      <c r="AE820" t="s">
        <v>15679</v>
      </c>
      <c r="AF820" t="s">
        <v>74</v>
      </c>
      <c r="AG820">
        <v>63</v>
      </c>
      <c r="AH820">
        <v>16</v>
      </c>
      <c r="AI820">
        <v>16</v>
      </c>
      <c r="AJ820">
        <v>3</v>
      </c>
      <c r="AK820">
        <v>24</v>
      </c>
      <c r="AL820" t="s">
        <v>1074</v>
      </c>
      <c r="AM820" t="s">
        <v>1098</v>
      </c>
      <c r="AN820" t="s">
        <v>1099</v>
      </c>
      <c r="AO820" t="s">
        <v>15680</v>
      </c>
      <c r="AP820" t="s">
        <v>15681</v>
      </c>
      <c r="AQ820" t="s">
        <v>74</v>
      </c>
      <c r="AR820" t="s">
        <v>15667</v>
      </c>
      <c r="AS820" t="s">
        <v>15682</v>
      </c>
      <c r="AT820" t="s">
        <v>840</v>
      </c>
      <c r="AU820">
        <v>2022</v>
      </c>
      <c r="AV820">
        <v>51</v>
      </c>
      <c r="AW820">
        <v>2</v>
      </c>
      <c r="AX820" t="s">
        <v>74</v>
      </c>
      <c r="AY820" t="s">
        <v>74</v>
      </c>
      <c r="AZ820" t="s">
        <v>233</v>
      </c>
      <c r="BA820" t="s">
        <v>74</v>
      </c>
      <c r="BB820">
        <v>423</v>
      </c>
      <c r="BC820">
        <v>438</v>
      </c>
      <c r="BD820" t="s">
        <v>74</v>
      </c>
      <c r="BE820" t="s">
        <v>15683</v>
      </c>
      <c r="BF820" t="str">
        <f>HYPERLINK("http://dx.doi.org/10.1007/s13280-021-01665-0","http://dx.doi.org/10.1007/s13280-021-01665-0")</f>
        <v>http://dx.doi.org/10.1007/s13280-021-01665-0</v>
      </c>
      <c r="BG820" t="s">
        <v>74</v>
      </c>
      <c r="BH820" t="s">
        <v>14486</v>
      </c>
      <c r="BI820">
        <v>16</v>
      </c>
      <c r="BJ820" t="s">
        <v>6937</v>
      </c>
      <c r="BK820" t="s">
        <v>103</v>
      </c>
      <c r="BL820" t="s">
        <v>6938</v>
      </c>
      <c r="BM820" t="s">
        <v>15684</v>
      </c>
      <c r="BN820">
        <v>34914031</v>
      </c>
      <c r="BO820" t="s">
        <v>1745</v>
      </c>
      <c r="BP820" t="s">
        <v>74</v>
      </c>
      <c r="BQ820" t="s">
        <v>74</v>
      </c>
      <c r="BR820" t="s">
        <v>106</v>
      </c>
      <c r="BS820" t="s">
        <v>15685</v>
      </c>
      <c r="BT820" t="str">
        <f>HYPERLINK("https%3A%2F%2Fwww.webofscience.com%2Fwos%2Fwoscc%2Ffull-record%2FWOS:000730895100001","View Full Record in Web of Science")</f>
        <v>View Full Record in Web of Science</v>
      </c>
    </row>
    <row r="821" spans="1:72" x14ac:dyDescent="0.15">
      <c r="A821" t="s">
        <v>72</v>
      </c>
      <c r="B821" t="s">
        <v>15686</v>
      </c>
      <c r="C821" t="s">
        <v>74</v>
      </c>
      <c r="D821" t="s">
        <v>74</v>
      </c>
      <c r="E821" t="s">
        <v>74</v>
      </c>
      <c r="F821" t="s">
        <v>15687</v>
      </c>
      <c r="G821" t="s">
        <v>74</v>
      </c>
      <c r="H821" t="s">
        <v>74</v>
      </c>
      <c r="I821" t="s">
        <v>15688</v>
      </c>
      <c r="J821" t="s">
        <v>1682</v>
      </c>
      <c r="K821" t="s">
        <v>74</v>
      </c>
      <c r="L821" t="s">
        <v>74</v>
      </c>
      <c r="M821" t="s">
        <v>78</v>
      </c>
      <c r="N821" t="s">
        <v>79</v>
      </c>
      <c r="O821" t="s">
        <v>74</v>
      </c>
      <c r="P821" t="s">
        <v>74</v>
      </c>
      <c r="Q821" t="s">
        <v>74</v>
      </c>
      <c r="R821" t="s">
        <v>74</v>
      </c>
      <c r="S821" t="s">
        <v>74</v>
      </c>
      <c r="T821" t="s">
        <v>15689</v>
      </c>
      <c r="U821" t="s">
        <v>15690</v>
      </c>
      <c r="V821" t="s">
        <v>15691</v>
      </c>
      <c r="W821" t="s">
        <v>15692</v>
      </c>
      <c r="X821" t="s">
        <v>15693</v>
      </c>
      <c r="Y821" t="s">
        <v>15694</v>
      </c>
      <c r="Z821" t="s">
        <v>15695</v>
      </c>
      <c r="AA821" t="s">
        <v>15696</v>
      </c>
      <c r="AB821" t="s">
        <v>15697</v>
      </c>
      <c r="AC821" t="s">
        <v>15698</v>
      </c>
      <c r="AD821" t="s">
        <v>15699</v>
      </c>
      <c r="AE821" t="s">
        <v>15700</v>
      </c>
      <c r="AF821" t="s">
        <v>74</v>
      </c>
      <c r="AG821">
        <v>92</v>
      </c>
      <c r="AH821">
        <v>2</v>
      </c>
      <c r="AI821">
        <v>2</v>
      </c>
      <c r="AJ821">
        <v>0</v>
      </c>
      <c r="AK821">
        <v>19</v>
      </c>
      <c r="AL821" t="s">
        <v>198</v>
      </c>
      <c r="AM821" t="s">
        <v>506</v>
      </c>
      <c r="AN821" t="s">
        <v>1695</v>
      </c>
      <c r="AO821" t="s">
        <v>1696</v>
      </c>
      <c r="AP821" t="s">
        <v>1697</v>
      </c>
      <c r="AQ821" t="s">
        <v>74</v>
      </c>
      <c r="AR821" t="s">
        <v>1698</v>
      </c>
      <c r="AS821" t="s">
        <v>1699</v>
      </c>
      <c r="AT821" t="s">
        <v>537</v>
      </c>
      <c r="AU821">
        <v>2022</v>
      </c>
      <c r="AV821">
        <v>34</v>
      </c>
      <c r="AW821">
        <v>2</v>
      </c>
      <c r="AX821" t="s">
        <v>74</v>
      </c>
      <c r="AY821" t="s">
        <v>74</v>
      </c>
      <c r="AZ821" t="s">
        <v>74</v>
      </c>
      <c r="BA821" t="s">
        <v>74</v>
      </c>
      <c r="BB821">
        <v>120</v>
      </c>
      <c r="BC821">
        <v>136</v>
      </c>
      <c r="BD821" t="s">
        <v>15701</v>
      </c>
      <c r="BE821" t="s">
        <v>15702</v>
      </c>
      <c r="BF821" t="str">
        <f>HYPERLINK("http://dx.doi.org/10.1017/S0954102021000572","http://dx.doi.org/10.1017/S0954102021000572")</f>
        <v>http://dx.doi.org/10.1017/S0954102021000572</v>
      </c>
      <c r="BG821" t="s">
        <v>74</v>
      </c>
      <c r="BH821" t="s">
        <v>14486</v>
      </c>
      <c r="BI821">
        <v>17</v>
      </c>
      <c r="BJ821" t="s">
        <v>1702</v>
      </c>
      <c r="BK821" t="s">
        <v>103</v>
      </c>
      <c r="BL821" t="s">
        <v>1703</v>
      </c>
      <c r="BM821" t="s">
        <v>2451</v>
      </c>
      <c r="BN821" t="s">
        <v>74</v>
      </c>
      <c r="BO821" t="s">
        <v>74</v>
      </c>
      <c r="BP821" t="s">
        <v>74</v>
      </c>
      <c r="BQ821" t="s">
        <v>74</v>
      </c>
      <c r="BR821" t="s">
        <v>106</v>
      </c>
      <c r="BS821" t="s">
        <v>15703</v>
      </c>
      <c r="BT821" t="str">
        <f>HYPERLINK("https%3A%2F%2Fwww.webofscience.com%2Fwos%2Fwoscc%2Ffull-record%2FWOS:000730851600001","View Full Record in Web of Science")</f>
        <v>View Full Record in Web of Science</v>
      </c>
    </row>
    <row r="822" spans="1:72" x14ac:dyDescent="0.15">
      <c r="A822" t="s">
        <v>72</v>
      </c>
      <c r="B822" t="s">
        <v>15704</v>
      </c>
      <c r="C822" t="s">
        <v>74</v>
      </c>
      <c r="D822" t="s">
        <v>74</v>
      </c>
      <c r="E822" t="s">
        <v>74</v>
      </c>
      <c r="F822" t="s">
        <v>15705</v>
      </c>
      <c r="G822" t="s">
        <v>74</v>
      </c>
      <c r="H822" t="s">
        <v>15706</v>
      </c>
      <c r="I822" t="s">
        <v>15707</v>
      </c>
      <c r="J822" t="s">
        <v>5854</v>
      </c>
      <c r="K822" t="s">
        <v>74</v>
      </c>
      <c r="L822" t="s">
        <v>74</v>
      </c>
      <c r="M822" t="s">
        <v>78</v>
      </c>
      <c r="N822" t="s">
        <v>79</v>
      </c>
      <c r="O822" t="s">
        <v>74</v>
      </c>
      <c r="P822" t="s">
        <v>74</v>
      </c>
      <c r="Q822" t="s">
        <v>74</v>
      </c>
      <c r="R822" t="s">
        <v>74</v>
      </c>
      <c r="S822" t="s">
        <v>74</v>
      </c>
      <c r="T822" t="s">
        <v>74</v>
      </c>
      <c r="U822" t="s">
        <v>15708</v>
      </c>
      <c r="V822" t="s">
        <v>15709</v>
      </c>
      <c r="W822" t="s">
        <v>15710</v>
      </c>
      <c r="X822" t="s">
        <v>15711</v>
      </c>
      <c r="Y822" t="s">
        <v>15712</v>
      </c>
      <c r="Z822" t="s">
        <v>15713</v>
      </c>
      <c r="AA822" t="s">
        <v>15714</v>
      </c>
      <c r="AB822" t="s">
        <v>15715</v>
      </c>
      <c r="AC822" t="s">
        <v>15716</v>
      </c>
      <c r="AD822" t="s">
        <v>15717</v>
      </c>
      <c r="AE822" t="s">
        <v>15718</v>
      </c>
      <c r="AF822" t="s">
        <v>74</v>
      </c>
      <c r="AG822">
        <v>197</v>
      </c>
      <c r="AH822">
        <v>17</v>
      </c>
      <c r="AI822">
        <v>18</v>
      </c>
      <c r="AJ822">
        <v>5</v>
      </c>
      <c r="AK822">
        <v>37</v>
      </c>
      <c r="AL822" t="s">
        <v>337</v>
      </c>
      <c r="AM822" t="s">
        <v>338</v>
      </c>
      <c r="AN822" t="s">
        <v>339</v>
      </c>
      <c r="AO822" t="s">
        <v>5865</v>
      </c>
      <c r="AP822" t="s">
        <v>5866</v>
      </c>
      <c r="AQ822" t="s">
        <v>74</v>
      </c>
      <c r="AR822" t="s">
        <v>5854</v>
      </c>
      <c r="AS822" t="s">
        <v>5867</v>
      </c>
      <c r="AT822" t="s">
        <v>15520</v>
      </c>
      <c r="AU822">
        <v>2021</v>
      </c>
      <c r="AV822">
        <v>600</v>
      </c>
      <c r="AW822">
        <v>7889</v>
      </c>
      <c r="AX822" t="s">
        <v>74</v>
      </c>
      <c r="AY822" t="s">
        <v>74</v>
      </c>
      <c r="AZ822" t="s">
        <v>74</v>
      </c>
      <c r="BA822" t="s">
        <v>74</v>
      </c>
      <c r="BB822">
        <v>450</v>
      </c>
      <c r="BC822">
        <v>455</v>
      </c>
      <c r="BD822" t="s">
        <v>74</v>
      </c>
      <c r="BE822" t="s">
        <v>15719</v>
      </c>
      <c r="BF822" t="str">
        <f>HYPERLINK("http://dx.doi.org/10.1038/s41586-021-04148-0","http://dx.doi.org/10.1038/s41586-021-04148-0")</f>
        <v>http://dx.doi.org/10.1038/s41586-021-04148-0</v>
      </c>
      <c r="BG822" t="s">
        <v>74</v>
      </c>
      <c r="BH822" t="s">
        <v>74</v>
      </c>
      <c r="BI822">
        <v>6</v>
      </c>
      <c r="BJ822" t="s">
        <v>289</v>
      </c>
      <c r="BK822" t="s">
        <v>103</v>
      </c>
      <c r="BL822" t="s">
        <v>290</v>
      </c>
      <c r="BM822" t="s">
        <v>15541</v>
      </c>
      <c r="BN822">
        <v>34912089</v>
      </c>
      <c r="BO822" t="s">
        <v>4932</v>
      </c>
      <c r="BP822" t="s">
        <v>74</v>
      </c>
      <c r="BQ822" t="s">
        <v>74</v>
      </c>
      <c r="BR822" t="s">
        <v>106</v>
      </c>
      <c r="BS822" t="s">
        <v>15720</v>
      </c>
      <c r="BT822" t="str">
        <f>HYPERLINK("https%3A%2F%2Fwww.webofscience.com%2Fwos%2Fwoscc%2Ffull-record%2FWOS:000730754700028","View Full Record in Web of Science")</f>
        <v>View Full Record in Web of Science</v>
      </c>
    </row>
    <row r="823" spans="1:72" x14ac:dyDescent="0.15">
      <c r="A823" t="s">
        <v>72</v>
      </c>
      <c r="B823" t="s">
        <v>15721</v>
      </c>
      <c r="C823" t="s">
        <v>74</v>
      </c>
      <c r="D823" t="s">
        <v>74</v>
      </c>
      <c r="E823" t="s">
        <v>74</v>
      </c>
      <c r="F823" t="s">
        <v>15722</v>
      </c>
      <c r="G823" t="s">
        <v>74</v>
      </c>
      <c r="H823" t="s">
        <v>74</v>
      </c>
      <c r="I823" t="s">
        <v>15723</v>
      </c>
      <c r="J823" t="s">
        <v>620</v>
      </c>
      <c r="K823" t="s">
        <v>74</v>
      </c>
      <c r="L823" t="s">
        <v>74</v>
      </c>
      <c r="M823" t="s">
        <v>78</v>
      </c>
      <c r="N823" t="s">
        <v>79</v>
      </c>
      <c r="O823" t="s">
        <v>74</v>
      </c>
      <c r="P823" t="s">
        <v>74</v>
      </c>
      <c r="Q823" t="s">
        <v>74</v>
      </c>
      <c r="R823" t="s">
        <v>74</v>
      </c>
      <c r="S823" t="s">
        <v>74</v>
      </c>
      <c r="T823" t="s">
        <v>15724</v>
      </c>
      <c r="U823" t="s">
        <v>15725</v>
      </c>
      <c r="V823" t="s">
        <v>15726</v>
      </c>
      <c r="W823" t="s">
        <v>15727</v>
      </c>
      <c r="X823" t="s">
        <v>15728</v>
      </c>
      <c r="Y823" t="s">
        <v>15729</v>
      </c>
      <c r="Z823" t="s">
        <v>15730</v>
      </c>
      <c r="AA823" t="s">
        <v>15731</v>
      </c>
      <c r="AB823" t="s">
        <v>15732</v>
      </c>
      <c r="AC823" t="s">
        <v>15733</v>
      </c>
      <c r="AD823" t="s">
        <v>4338</v>
      </c>
      <c r="AE823" t="s">
        <v>15734</v>
      </c>
      <c r="AF823" t="s">
        <v>74</v>
      </c>
      <c r="AG823">
        <v>63</v>
      </c>
      <c r="AH823">
        <v>5</v>
      </c>
      <c r="AI823">
        <v>5</v>
      </c>
      <c r="AJ823">
        <v>2</v>
      </c>
      <c r="AK823">
        <v>14</v>
      </c>
      <c r="AL823" t="s">
        <v>605</v>
      </c>
      <c r="AM823" t="s">
        <v>606</v>
      </c>
      <c r="AN823" t="s">
        <v>607</v>
      </c>
      <c r="AO823" t="s">
        <v>633</v>
      </c>
      <c r="AP823" t="s">
        <v>634</v>
      </c>
      <c r="AQ823" t="s">
        <v>74</v>
      </c>
      <c r="AR823" t="s">
        <v>635</v>
      </c>
      <c r="AS823" t="s">
        <v>636</v>
      </c>
      <c r="AT823" t="s">
        <v>15520</v>
      </c>
      <c r="AU823">
        <v>2021</v>
      </c>
      <c r="AV823">
        <v>48</v>
      </c>
      <c r="AW823">
        <v>23</v>
      </c>
      <c r="AX823" t="s">
        <v>74</v>
      </c>
      <c r="AY823" t="s">
        <v>74</v>
      </c>
      <c r="AZ823" t="s">
        <v>74</v>
      </c>
      <c r="BA823" t="s">
        <v>74</v>
      </c>
      <c r="BB823" t="s">
        <v>74</v>
      </c>
      <c r="BC823" t="s">
        <v>74</v>
      </c>
      <c r="BD823" t="s">
        <v>15735</v>
      </c>
      <c r="BE823" t="s">
        <v>15736</v>
      </c>
      <c r="BF823" t="str">
        <f>HYPERLINK("http://dx.doi.org/10.1029/2021GL095295","http://dx.doi.org/10.1029/2021GL095295")</f>
        <v>http://dx.doi.org/10.1029/2021GL095295</v>
      </c>
      <c r="BG823" t="s">
        <v>74</v>
      </c>
      <c r="BH823" t="s">
        <v>74</v>
      </c>
      <c r="BI823">
        <v>11</v>
      </c>
      <c r="BJ823" t="s">
        <v>151</v>
      </c>
      <c r="BK823" t="s">
        <v>103</v>
      </c>
      <c r="BL823" t="s">
        <v>152</v>
      </c>
      <c r="BM823" t="s">
        <v>15737</v>
      </c>
      <c r="BN823" t="s">
        <v>74</v>
      </c>
      <c r="BO823" t="s">
        <v>74</v>
      </c>
      <c r="BP823" t="s">
        <v>74</v>
      </c>
      <c r="BQ823" t="s">
        <v>74</v>
      </c>
      <c r="BR823" t="s">
        <v>106</v>
      </c>
      <c r="BS823" t="s">
        <v>15738</v>
      </c>
      <c r="BT823" t="str">
        <f>HYPERLINK("https%3A%2F%2Fwww.webofscience.com%2Fwos%2Fwoscc%2Ffull-record%2FWOS:000730019700036","View Full Record in Web of Science")</f>
        <v>View Full Record in Web of Science</v>
      </c>
    </row>
    <row r="824" spans="1:72" x14ac:dyDescent="0.15">
      <c r="A824" t="s">
        <v>72</v>
      </c>
      <c r="B824" t="s">
        <v>15739</v>
      </c>
      <c r="C824" t="s">
        <v>74</v>
      </c>
      <c r="D824" t="s">
        <v>74</v>
      </c>
      <c r="E824" t="s">
        <v>74</v>
      </c>
      <c r="F824" t="s">
        <v>15740</v>
      </c>
      <c r="G824" t="s">
        <v>74</v>
      </c>
      <c r="H824" t="s">
        <v>74</v>
      </c>
      <c r="I824" t="s">
        <v>15741</v>
      </c>
      <c r="J824" t="s">
        <v>620</v>
      </c>
      <c r="K824" t="s">
        <v>74</v>
      </c>
      <c r="L824" t="s">
        <v>74</v>
      </c>
      <c r="M824" t="s">
        <v>78</v>
      </c>
      <c r="N824" t="s">
        <v>79</v>
      </c>
      <c r="O824" t="s">
        <v>74</v>
      </c>
      <c r="P824" t="s">
        <v>74</v>
      </c>
      <c r="Q824" t="s">
        <v>74</v>
      </c>
      <c r="R824" t="s">
        <v>74</v>
      </c>
      <c r="S824" t="s">
        <v>74</v>
      </c>
      <c r="T824" t="s">
        <v>15742</v>
      </c>
      <c r="U824" t="s">
        <v>15743</v>
      </c>
      <c r="V824" t="s">
        <v>15744</v>
      </c>
      <c r="W824" t="s">
        <v>15745</v>
      </c>
      <c r="X824" t="s">
        <v>15746</v>
      </c>
      <c r="Y824" t="s">
        <v>15747</v>
      </c>
      <c r="Z824" t="s">
        <v>15748</v>
      </c>
      <c r="AA824" t="s">
        <v>15749</v>
      </c>
      <c r="AB824" t="s">
        <v>15750</v>
      </c>
      <c r="AC824" t="s">
        <v>15751</v>
      </c>
      <c r="AD824" t="s">
        <v>15752</v>
      </c>
      <c r="AE824" t="s">
        <v>15753</v>
      </c>
      <c r="AF824" t="s">
        <v>74</v>
      </c>
      <c r="AG824">
        <v>66</v>
      </c>
      <c r="AH824">
        <v>8</v>
      </c>
      <c r="AI824">
        <v>9</v>
      </c>
      <c r="AJ824">
        <v>0</v>
      </c>
      <c r="AK824">
        <v>4</v>
      </c>
      <c r="AL824" t="s">
        <v>605</v>
      </c>
      <c r="AM824" t="s">
        <v>606</v>
      </c>
      <c r="AN824" t="s">
        <v>607</v>
      </c>
      <c r="AO824" t="s">
        <v>633</v>
      </c>
      <c r="AP824" t="s">
        <v>634</v>
      </c>
      <c r="AQ824" t="s">
        <v>74</v>
      </c>
      <c r="AR824" t="s">
        <v>635</v>
      </c>
      <c r="AS824" t="s">
        <v>636</v>
      </c>
      <c r="AT824" t="s">
        <v>15520</v>
      </c>
      <c r="AU824">
        <v>2021</v>
      </c>
      <c r="AV824">
        <v>48</v>
      </c>
      <c r="AW824">
        <v>23</v>
      </c>
      <c r="AX824" t="s">
        <v>74</v>
      </c>
      <c r="AY824" t="s">
        <v>74</v>
      </c>
      <c r="AZ824" t="s">
        <v>74</v>
      </c>
      <c r="BA824" t="s">
        <v>74</v>
      </c>
      <c r="BB824" t="s">
        <v>74</v>
      </c>
      <c r="BC824" t="s">
        <v>74</v>
      </c>
      <c r="BD824" t="s">
        <v>15754</v>
      </c>
      <c r="BE824" t="s">
        <v>15755</v>
      </c>
      <c r="BF824" t="str">
        <f>HYPERLINK("http://dx.doi.org/10.1029/2021GL095933","http://dx.doi.org/10.1029/2021GL095933")</f>
        <v>http://dx.doi.org/10.1029/2021GL095933</v>
      </c>
      <c r="BG824" t="s">
        <v>74</v>
      </c>
      <c r="BH824" t="s">
        <v>74</v>
      </c>
      <c r="BI824">
        <v>10</v>
      </c>
      <c r="BJ824" t="s">
        <v>151</v>
      </c>
      <c r="BK824" t="s">
        <v>103</v>
      </c>
      <c r="BL824" t="s">
        <v>152</v>
      </c>
      <c r="BM824" t="s">
        <v>15737</v>
      </c>
      <c r="BN824" t="s">
        <v>74</v>
      </c>
      <c r="BO824" t="s">
        <v>3307</v>
      </c>
      <c r="BP824" t="s">
        <v>74</v>
      </c>
      <c r="BQ824" t="s">
        <v>74</v>
      </c>
      <c r="BR824" t="s">
        <v>106</v>
      </c>
      <c r="BS824" t="s">
        <v>15756</v>
      </c>
      <c r="BT824" t="str">
        <f>HYPERLINK("https%3A%2F%2Fwww.webofscience.com%2Fwos%2Fwoscc%2Ffull-record%2FWOS:000730019700017","View Full Record in Web of Science")</f>
        <v>View Full Record in Web of Science</v>
      </c>
    </row>
    <row r="825" spans="1:72" x14ac:dyDescent="0.15">
      <c r="A825" t="s">
        <v>72</v>
      </c>
      <c r="B825" t="s">
        <v>15757</v>
      </c>
      <c r="C825" t="s">
        <v>74</v>
      </c>
      <c r="D825" t="s">
        <v>74</v>
      </c>
      <c r="E825" t="s">
        <v>74</v>
      </c>
      <c r="F825" t="s">
        <v>15758</v>
      </c>
      <c r="G825" t="s">
        <v>74</v>
      </c>
      <c r="H825" t="s">
        <v>74</v>
      </c>
      <c r="I825" t="s">
        <v>15759</v>
      </c>
      <c r="J825" t="s">
        <v>620</v>
      </c>
      <c r="K825" t="s">
        <v>74</v>
      </c>
      <c r="L825" t="s">
        <v>74</v>
      </c>
      <c r="M825" t="s">
        <v>78</v>
      </c>
      <c r="N825" t="s">
        <v>79</v>
      </c>
      <c r="O825" t="s">
        <v>74</v>
      </c>
      <c r="P825" t="s">
        <v>74</v>
      </c>
      <c r="Q825" t="s">
        <v>74</v>
      </c>
      <c r="R825" t="s">
        <v>74</v>
      </c>
      <c r="S825" t="s">
        <v>74</v>
      </c>
      <c r="T825" t="s">
        <v>15760</v>
      </c>
      <c r="U825" t="s">
        <v>15761</v>
      </c>
      <c r="V825" t="s">
        <v>15762</v>
      </c>
      <c r="W825" t="s">
        <v>15763</v>
      </c>
      <c r="X825" t="s">
        <v>15764</v>
      </c>
      <c r="Y825" t="s">
        <v>15765</v>
      </c>
      <c r="Z825" t="s">
        <v>15766</v>
      </c>
      <c r="AA825" t="s">
        <v>15767</v>
      </c>
      <c r="AB825" t="s">
        <v>15768</v>
      </c>
      <c r="AC825" t="s">
        <v>15769</v>
      </c>
      <c r="AD825" t="s">
        <v>15770</v>
      </c>
      <c r="AE825" t="s">
        <v>15771</v>
      </c>
      <c r="AF825" t="s">
        <v>74</v>
      </c>
      <c r="AG825">
        <v>78</v>
      </c>
      <c r="AH825">
        <v>8</v>
      </c>
      <c r="AI825">
        <v>10</v>
      </c>
      <c r="AJ825">
        <v>4</v>
      </c>
      <c r="AK825">
        <v>27</v>
      </c>
      <c r="AL825" t="s">
        <v>605</v>
      </c>
      <c r="AM825" t="s">
        <v>606</v>
      </c>
      <c r="AN825" t="s">
        <v>607</v>
      </c>
      <c r="AO825" t="s">
        <v>633</v>
      </c>
      <c r="AP825" t="s">
        <v>634</v>
      </c>
      <c r="AQ825" t="s">
        <v>74</v>
      </c>
      <c r="AR825" t="s">
        <v>635</v>
      </c>
      <c r="AS825" t="s">
        <v>636</v>
      </c>
      <c r="AT825" t="s">
        <v>15520</v>
      </c>
      <c r="AU825">
        <v>2021</v>
      </c>
      <c r="AV825">
        <v>48</v>
      </c>
      <c r="AW825">
        <v>23</v>
      </c>
      <c r="AX825" t="s">
        <v>74</v>
      </c>
      <c r="AY825" t="s">
        <v>74</v>
      </c>
      <c r="AZ825" t="s">
        <v>74</v>
      </c>
      <c r="BA825" t="s">
        <v>74</v>
      </c>
      <c r="BB825" t="s">
        <v>74</v>
      </c>
      <c r="BC825" t="s">
        <v>74</v>
      </c>
      <c r="BD825" t="s">
        <v>15772</v>
      </c>
      <c r="BE825" t="s">
        <v>15773</v>
      </c>
      <c r="BF825" t="str">
        <f>HYPERLINK("http://dx.doi.org/10.1029/2021GL095141","http://dx.doi.org/10.1029/2021GL095141")</f>
        <v>http://dx.doi.org/10.1029/2021GL095141</v>
      </c>
      <c r="BG825" t="s">
        <v>74</v>
      </c>
      <c r="BH825" t="s">
        <v>74</v>
      </c>
      <c r="BI825">
        <v>11</v>
      </c>
      <c r="BJ825" t="s">
        <v>151</v>
      </c>
      <c r="BK825" t="s">
        <v>103</v>
      </c>
      <c r="BL825" t="s">
        <v>152</v>
      </c>
      <c r="BM825" t="s">
        <v>15737</v>
      </c>
      <c r="BN825" t="s">
        <v>74</v>
      </c>
      <c r="BO825" t="s">
        <v>640</v>
      </c>
      <c r="BP825" t="s">
        <v>74</v>
      </c>
      <c r="BQ825" t="s">
        <v>74</v>
      </c>
      <c r="BR825" t="s">
        <v>106</v>
      </c>
      <c r="BS825" t="s">
        <v>15774</v>
      </c>
      <c r="BT825" t="str">
        <f>HYPERLINK("https%3A%2F%2Fwww.webofscience.com%2Fwos%2Fwoscc%2Ffull-record%2FWOS:000730019700050","View Full Record in Web of Science")</f>
        <v>View Full Record in Web of Science</v>
      </c>
    </row>
    <row r="826" spans="1:72" x14ac:dyDescent="0.15">
      <c r="A826" t="s">
        <v>72</v>
      </c>
      <c r="B826" t="s">
        <v>15775</v>
      </c>
      <c r="C826" t="s">
        <v>74</v>
      </c>
      <c r="D826" t="s">
        <v>74</v>
      </c>
      <c r="E826" t="s">
        <v>74</v>
      </c>
      <c r="F826" t="s">
        <v>15776</v>
      </c>
      <c r="G826" t="s">
        <v>74</v>
      </c>
      <c r="H826" t="s">
        <v>74</v>
      </c>
      <c r="I826" t="s">
        <v>15777</v>
      </c>
      <c r="J826" t="s">
        <v>592</v>
      </c>
      <c r="K826" t="s">
        <v>74</v>
      </c>
      <c r="L826" t="s">
        <v>74</v>
      </c>
      <c r="M826" t="s">
        <v>78</v>
      </c>
      <c r="N826" t="s">
        <v>79</v>
      </c>
      <c r="O826" t="s">
        <v>74</v>
      </c>
      <c r="P826" t="s">
        <v>74</v>
      </c>
      <c r="Q826" t="s">
        <v>74</v>
      </c>
      <c r="R826" t="s">
        <v>74</v>
      </c>
      <c r="S826" t="s">
        <v>74</v>
      </c>
      <c r="T826" t="s">
        <v>15778</v>
      </c>
      <c r="U826" t="s">
        <v>15779</v>
      </c>
      <c r="V826" t="s">
        <v>15780</v>
      </c>
      <c r="W826" t="s">
        <v>15781</v>
      </c>
      <c r="X826" t="s">
        <v>15782</v>
      </c>
      <c r="Y826" t="s">
        <v>15783</v>
      </c>
      <c r="Z826" t="s">
        <v>15784</v>
      </c>
      <c r="AA826" t="s">
        <v>15785</v>
      </c>
      <c r="AB826" t="s">
        <v>15786</v>
      </c>
      <c r="AC826" t="s">
        <v>15787</v>
      </c>
      <c r="AD826" t="s">
        <v>15788</v>
      </c>
      <c r="AE826" t="s">
        <v>15789</v>
      </c>
      <c r="AF826" t="s">
        <v>74</v>
      </c>
      <c r="AG826">
        <v>93</v>
      </c>
      <c r="AH826">
        <v>0</v>
      </c>
      <c r="AI826">
        <v>0</v>
      </c>
      <c r="AJ826">
        <v>0</v>
      </c>
      <c r="AK826">
        <v>9</v>
      </c>
      <c r="AL826" t="s">
        <v>605</v>
      </c>
      <c r="AM826" t="s">
        <v>606</v>
      </c>
      <c r="AN826" t="s">
        <v>607</v>
      </c>
      <c r="AO826" t="s">
        <v>608</v>
      </c>
      <c r="AP826" t="s">
        <v>609</v>
      </c>
      <c r="AQ826" t="s">
        <v>74</v>
      </c>
      <c r="AR826" t="s">
        <v>610</v>
      </c>
      <c r="AS826" t="s">
        <v>611</v>
      </c>
      <c r="AT826" t="s">
        <v>15520</v>
      </c>
      <c r="AU826">
        <v>2021</v>
      </c>
      <c r="AV826">
        <v>126</v>
      </c>
      <c r="AW826">
        <v>23</v>
      </c>
      <c r="AX826" t="s">
        <v>74</v>
      </c>
      <c r="AY826" t="s">
        <v>74</v>
      </c>
      <c r="AZ826" t="s">
        <v>74</v>
      </c>
      <c r="BA826" t="s">
        <v>74</v>
      </c>
      <c r="BB826" t="s">
        <v>74</v>
      </c>
      <c r="BC826" t="s">
        <v>74</v>
      </c>
      <c r="BD826" t="s">
        <v>15790</v>
      </c>
      <c r="BE826" t="s">
        <v>15791</v>
      </c>
      <c r="BF826" t="str">
        <f>HYPERLINK("http://dx.doi.org/10.1029/2021JD035025","http://dx.doi.org/10.1029/2021JD035025")</f>
        <v>http://dx.doi.org/10.1029/2021JD035025</v>
      </c>
      <c r="BG826" t="s">
        <v>74</v>
      </c>
      <c r="BH826" t="s">
        <v>74</v>
      </c>
      <c r="BI826">
        <v>24</v>
      </c>
      <c r="BJ826" t="s">
        <v>514</v>
      </c>
      <c r="BK826" t="s">
        <v>103</v>
      </c>
      <c r="BL826" t="s">
        <v>514</v>
      </c>
      <c r="BM826" t="s">
        <v>15792</v>
      </c>
      <c r="BN826" t="s">
        <v>74</v>
      </c>
      <c r="BO826" t="s">
        <v>1762</v>
      </c>
      <c r="BP826" t="s">
        <v>74</v>
      </c>
      <c r="BQ826" t="s">
        <v>74</v>
      </c>
      <c r="BR826" t="s">
        <v>106</v>
      </c>
      <c r="BS826" t="s">
        <v>15793</v>
      </c>
      <c r="BT826" t="str">
        <f>HYPERLINK("https%3A%2F%2Fwww.webofscience.com%2Fwos%2Fwoscc%2Ffull-record%2FWOS:000730000500001","View Full Record in Web of Science")</f>
        <v>View Full Record in Web of Science</v>
      </c>
    </row>
    <row r="827" spans="1:72" x14ac:dyDescent="0.15">
      <c r="A827" t="s">
        <v>72</v>
      </c>
      <c r="B827" t="s">
        <v>15794</v>
      </c>
      <c r="C827" t="s">
        <v>74</v>
      </c>
      <c r="D827" t="s">
        <v>74</v>
      </c>
      <c r="E827" t="s">
        <v>74</v>
      </c>
      <c r="F827" t="s">
        <v>15795</v>
      </c>
      <c r="G827" t="s">
        <v>74</v>
      </c>
      <c r="H827" t="s">
        <v>74</v>
      </c>
      <c r="I827" t="s">
        <v>15796</v>
      </c>
      <c r="J827" t="s">
        <v>4683</v>
      </c>
      <c r="K827" t="s">
        <v>74</v>
      </c>
      <c r="L827" t="s">
        <v>74</v>
      </c>
      <c r="M827" t="s">
        <v>78</v>
      </c>
      <c r="N827" t="s">
        <v>79</v>
      </c>
      <c r="O827" t="s">
        <v>74</v>
      </c>
      <c r="P827" t="s">
        <v>74</v>
      </c>
      <c r="Q827" t="s">
        <v>74</v>
      </c>
      <c r="R827" t="s">
        <v>74</v>
      </c>
      <c r="S827" t="s">
        <v>74</v>
      </c>
      <c r="T827" t="s">
        <v>15797</v>
      </c>
      <c r="U827" t="s">
        <v>15798</v>
      </c>
      <c r="V827" t="s">
        <v>15799</v>
      </c>
      <c r="W827" t="s">
        <v>15800</v>
      </c>
      <c r="X827" t="s">
        <v>15801</v>
      </c>
      <c r="Y827" t="s">
        <v>15802</v>
      </c>
      <c r="Z827" t="s">
        <v>15803</v>
      </c>
      <c r="AA827" t="s">
        <v>15804</v>
      </c>
      <c r="AB827" t="s">
        <v>15805</v>
      </c>
      <c r="AC827" t="s">
        <v>15806</v>
      </c>
      <c r="AD827" t="s">
        <v>15807</v>
      </c>
      <c r="AE827" t="s">
        <v>15808</v>
      </c>
      <c r="AF827" t="s">
        <v>74</v>
      </c>
      <c r="AG827">
        <v>79</v>
      </c>
      <c r="AH827">
        <v>1</v>
      </c>
      <c r="AI827">
        <v>1</v>
      </c>
      <c r="AJ827">
        <v>2</v>
      </c>
      <c r="AK827">
        <v>17</v>
      </c>
      <c r="AL827" t="s">
        <v>310</v>
      </c>
      <c r="AM827" t="s">
        <v>311</v>
      </c>
      <c r="AN827" t="s">
        <v>312</v>
      </c>
      <c r="AO827" t="s">
        <v>4696</v>
      </c>
      <c r="AP827" t="s">
        <v>4697</v>
      </c>
      <c r="AQ827" t="s">
        <v>74</v>
      </c>
      <c r="AR827" t="s">
        <v>4698</v>
      </c>
      <c r="AS827" t="s">
        <v>4699</v>
      </c>
      <c r="AT827" t="s">
        <v>583</v>
      </c>
      <c r="AU827">
        <v>2022</v>
      </c>
      <c r="AV827">
        <v>810</v>
      </c>
      <c r="AW827" t="s">
        <v>74</v>
      </c>
      <c r="AX827" t="s">
        <v>74</v>
      </c>
      <c r="AY827" t="s">
        <v>74</v>
      </c>
      <c r="AZ827" t="s">
        <v>74</v>
      </c>
      <c r="BA827" t="s">
        <v>74</v>
      </c>
      <c r="BB827" t="s">
        <v>74</v>
      </c>
      <c r="BC827" t="s">
        <v>74</v>
      </c>
      <c r="BD827">
        <v>152252</v>
      </c>
      <c r="BE827" t="s">
        <v>15809</v>
      </c>
      <c r="BF827" t="str">
        <f>HYPERLINK("http://dx.doi.org/10.1016/j.scitotenv.2021.152252","http://dx.doi.org/10.1016/j.scitotenv.2021.152252")</f>
        <v>http://dx.doi.org/10.1016/j.scitotenv.2021.152252</v>
      </c>
      <c r="BG827" t="s">
        <v>74</v>
      </c>
      <c r="BH827" t="s">
        <v>14486</v>
      </c>
      <c r="BI827">
        <v>12</v>
      </c>
      <c r="BJ827" t="s">
        <v>1560</v>
      </c>
      <c r="BK827" t="s">
        <v>103</v>
      </c>
      <c r="BL827" t="s">
        <v>1561</v>
      </c>
      <c r="BM827" t="s">
        <v>15810</v>
      </c>
      <c r="BN827">
        <v>34896493</v>
      </c>
      <c r="BO827" t="s">
        <v>3263</v>
      </c>
      <c r="BP827" t="s">
        <v>74</v>
      </c>
      <c r="BQ827" t="s">
        <v>74</v>
      </c>
      <c r="BR827" t="s">
        <v>106</v>
      </c>
      <c r="BS827" t="s">
        <v>15811</v>
      </c>
      <c r="BT827" t="str">
        <f>HYPERLINK("https%3A%2F%2Fwww.webofscience.com%2Fwos%2Fwoscc%2Ffull-record%2FWOS:000740225200011","View Full Record in Web of Science")</f>
        <v>View Full Record in Web of Science</v>
      </c>
    </row>
    <row r="828" spans="1:72" x14ac:dyDescent="0.15">
      <c r="A828" t="s">
        <v>72</v>
      </c>
      <c r="B828" t="s">
        <v>15812</v>
      </c>
      <c r="C828" t="s">
        <v>74</v>
      </c>
      <c r="D828" t="s">
        <v>74</v>
      </c>
      <c r="E828" t="s">
        <v>74</v>
      </c>
      <c r="F828" t="s">
        <v>15813</v>
      </c>
      <c r="G828" t="s">
        <v>74</v>
      </c>
      <c r="H828" t="s">
        <v>74</v>
      </c>
      <c r="I828" t="s">
        <v>15814</v>
      </c>
      <c r="J828" t="s">
        <v>15815</v>
      </c>
      <c r="K828" t="s">
        <v>74</v>
      </c>
      <c r="L828" t="s">
        <v>74</v>
      </c>
      <c r="M828" t="s">
        <v>78</v>
      </c>
      <c r="N828" t="s">
        <v>79</v>
      </c>
      <c r="O828" t="s">
        <v>74</v>
      </c>
      <c r="P828" t="s">
        <v>74</v>
      </c>
      <c r="Q828" t="s">
        <v>74</v>
      </c>
      <c r="R828" t="s">
        <v>74</v>
      </c>
      <c r="S828" t="s">
        <v>74</v>
      </c>
      <c r="T828" t="s">
        <v>15816</v>
      </c>
      <c r="U828" t="s">
        <v>15817</v>
      </c>
      <c r="V828" t="s">
        <v>15818</v>
      </c>
      <c r="W828" t="s">
        <v>15819</v>
      </c>
      <c r="X828" t="s">
        <v>15820</v>
      </c>
      <c r="Y828" t="s">
        <v>15821</v>
      </c>
      <c r="Z828" t="s">
        <v>15822</v>
      </c>
      <c r="AA828" t="s">
        <v>15823</v>
      </c>
      <c r="AB828" t="s">
        <v>74</v>
      </c>
      <c r="AC828" t="s">
        <v>15824</v>
      </c>
      <c r="AD828" t="s">
        <v>15825</v>
      </c>
      <c r="AE828" t="s">
        <v>15826</v>
      </c>
      <c r="AF828" t="s">
        <v>74</v>
      </c>
      <c r="AG828">
        <v>66</v>
      </c>
      <c r="AH828">
        <v>1</v>
      </c>
      <c r="AI828">
        <v>1</v>
      </c>
      <c r="AJ828">
        <v>0</v>
      </c>
      <c r="AK828">
        <v>10</v>
      </c>
      <c r="AL828" t="s">
        <v>363</v>
      </c>
      <c r="AM828" t="s">
        <v>364</v>
      </c>
      <c r="AN828" t="s">
        <v>365</v>
      </c>
      <c r="AO828" t="s">
        <v>74</v>
      </c>
      <c r="AP828" t="s">
        <v>15827</v>
      </c>
      <c r="AQ828" t="s">
        <v>74</v>
      </c>
      <c r="AR828" t="s">
        <v>15828</v>
      </c>
      <c r="AS828" t="s">
        <v>15829</v>
      </c>
      <c r="AT828" t="s">
        <v>15830</v>
      </c>
      <c r="AU828">
        <v>2021</v>
      </c>
      <c r="AV828">
        <v>12</v>
      </c>
      <c r="AW828" t="s">
        <v>74</v>
      </c>
      <c r="AX828" t="s">
        <v>74</v>
      </c>
      <c r="AY828" t="s">
        <v>74</v>
      </c>
      <c r="AZ828" t="s">
        <v>74</v>
      </c>
      <c r="BA828" t="s">
        <v>74</v>
      </c>
      <c r="BB828" t="s">
        <v>74</v>
      </c>
      <c r="BC828" t="s">
        <v>74</v>
      </c>
      <c r="BD828">
        <v>740806</v>
      </c>
      <c r="BE828" t="s">
        <v>15831</v>
      </c>
      <c r="BF828" t="str">
        <f>HYPERLINK("http://dx.doi.org/10.3389/fphys.2021.740806","http://dx.doi.org/10.3389/fphys.2021.740806")</f>
        <v>http://dx.doi.org/10.3389/fphys.2021.740806</v>
      </c>
      <c r="BG828" t="s">
        <v>74</v>
      </c>
      <c r="BH828" t="s">
        <v>74</v>
      </c>
      <c r="BI828">
        <v>12</v>
      </c>
      <c r="BJ828" t="s">
        <v>15832</v>
      </c>
      <c r="BK828" t="s">
        <v>103</v>
      </c>
      <c r="BL828" t="s">
        <v>15832</v>
      </c>
      <c r="BM828" t="s">
        <v>15833</v>
      </c>
      <c r="BN828">
        <v>34975517</v>
      </c>
      <c r="BO828" t="s">
        <v>211</v>
      </c>
      <c r="BP828" t="s">
        <v>74</v>
      </c>
      <c r="BQ828" t="s">
        <v>74</v>
      </c>
      <c r="BR828" t="s">
        <v>106</v>
      </c>
      <c r="BS828" t="s">
        <v>15834</v>
      </c>
      <c r="BT828" t="str">
        <f>HYPERLINK("https%3A%2F%2Fwww.webofscience.com%2Fwos%2Fwoscc%2Ffull-record%2FWOS:000738676900001","View Full Record in Web of Science")</f>
        <v>View Full Record in Web of Science</v>
      </c>
    </row>
    <row r="829" spans="1:72" x14ac:dyDescent="0.15">
      <c r="A829" t="s">
        <v>72</v>
      </c>
      <c r="B829" t="s">
        <v>15835</v>
      </c>
      <c r="C829" t="s">
        <v>74</v>
      </c>
      <c r="D829" t="s">
        <v>74</v>
      </c>
      <c r="E829" t="s">
        <v>74</v>
      </c>
      <c r="F829" t="s">
        <v>15836</v>
      </c>
      <c r="G829" t="s">
        <v>74</v>
      </c>
      <c r="H829" t="s">
        <v>74</v>
      </c>
      <c r="I829" t="s">
        <v>15837</v>
      </c>
      <c r="J829" t="s">
        <v>15838</v>
      </c>
      <c r="K829" t="s">
        <v>74</v>
      </c>
      <c r="L829" t="s">
        <v>74</v>
      </c>
      <c r="M829" t="s">
        <v>78</v>
      </c>
      <c r="N829" t="s">
        <v>1113</v>
      </c>
      <c r="O829" t="s">
        <v>74</v>
      </c>
      <c r="P829" t="s">
        <v>74</v>
      </c>
      <c r="Q829" t="s">
        <v>74</v>
      </c>
      <c r="R829" t="s">
        <v>74</v>
      </c>
      <c r="S829" t="s">
        <v>74</v>
      </c>
      <c r="T829" t="s">
        <v>15839</v>
      </c>
      <c r="U829" t="s">
        <v>15840</v>
      </c>
      <c r="V829" t="s">
        <v>15841</v>
      </c>
      <c r="W829" t="s">
        <v>15842</v>
      </c>
      <c r="X829" t="s">
        <v>15843</v>
      </c>
      <c r="Y829" t="s">
        <v>15844</v>
      </c>
      <c r="Z829" t="s">
        <v>15845</v>
      </c>
      <c r="AA829" t="s">
        <v>15846</v>
      </c>
      <c r="AB829" t="s">
        <v>15847</v>
      </c>
      <c r="AC829" t="s">
        <v>15848</v>
      </c>
      <c r="AD829" t="s">
        <v>15849</v>
      </c>
      <c r="AE829" t="s">
        <v>15850</v>
      </c>
      <c r="AF829" t="s">
        <v>74</v>
      </c>
      <c r="AG829">
        <v>231</v>
      </c>
      <c r="AH829">
        <v>15</v>
      </c>
      <c r="AI829">
        <v>16</v>
      </c>
      <c r="AJ829">
        <v>8</v>
      </c>
      <c r="AK829">
        <v>52</v>
      </c>
      <c r="AL829" t="s">
        <v>3182</v>
      </c>
      <c r="AM829" t="s">
        <v>3183</v>
      </c>
      <c r="AN829" t="s">
        <v>3184</v>
      </c>
      <c r="AO829" t="s">
        <v>15851</v>
      </c>
      <c r="AP829" t="s">
        <v>15852</v>
      </c>
      <c r="AQ829" t="s">
        <v>74</v>
      </c>
      <c r="AR829" t="s">
        <v>15853</v>
      </c>
      <c r="AS829" t="s">
        <v>15854</v>
      </c>
      <c r="AT829" t="s">
        <v>4645</v>
      </c>
      <c r="AU829">
        <v>2022</v>
      </c>
      <c r="AV829">
        <v>268</v>
      </c>
      <c r="AW829" t="s">
        <v>74</v>
      </c>
      <c r="AX829" t="s">
        <v>74</v>
      </c>
      <c r="AY829" t="s">
        <v>74</v>
      </c>
      <c r="AZ829" t="s">
        <v>74</v>
      </c>
      <c r="BA829" t="s">
        <v>74</v>
      </c>
      <c r="BB829" t="s">
        <v>74</v>
      </c>
      <c r="BC829" t="s">
        <v>74</v>
      </c>
      <c r="BD829">
        <v>153557</v>
      </c>
      <c r="BE829" t="s">
        <v>15855</v>
      </c>
      <c r="BF829" t="str">
        <f>HYPERLINK("http://dx.doi.org/10.1016/j.jplph.2021.153557","http://dx.doi.org/10.1016/j.jplph.2021.153557")</f>
        <v>http://dx.doi.org/10.1016/j.jplph.2021.153557</v>
      </c>
      <c r="BG829" t="s">
        <v>74</v>
      </c>
      <c r="BH829" t="s">
        <v>14486</v>
      </c>
      <c r="BI829">
        <v>21</v>
      </c>
      <c r="BJ829" t="s">
        <v>1473</v>
      </c>
      <c r="BK829" t="s">
        <v>103</v>
      </c>
      <c r="BL829" t="s">
        <v>1473</v>
      </c>
      <c r="BM829" t="s">
        <v>15856</v>
      </c>
      <c r="BN829">
        <v>34922115</v>
      </c>
      <c r="BO829" t="s">
        <v>796</v>
      </c>
      <c r="BP829" t="s">
        <v>74</v>
      </c>
      <c r="BQ829" t="s">
        <v>74</v>
      </c>
      <c r="BR829" t="s">
        <v>106</v>
      </c>
      <c r="BS829" t="s">
        <v>15857</v>
      </c>
      <c r="BT829" t="str">
        <f>HYPERLINK("https%3A%2F%2Fwww.webofscience.com%2Fwos%2Fwoscc%2Ffull-record%2FWOS:000736855800007","View Full Record in Web of Science")</f>
        <v>View Full Record in Web of Science</v>
      </c>
    </row>
    <row r="830" spans="1:72" x14ac:dyDescent="0.15">
      <c r="A830" t="s">
        <v>72</v>
      </c>
      <c r="B830" t="s">
        <v>15858</v>
      </c>
      <c r="C830" t="s">
        <v>74</v>
      </c>
      <c r="D830" t="s">
        <v>74</v>
      </c>
      <c r="E830" t="s">
        <v>74</v>
      </c>
      <c r="F830" t="s">
        <v>15859</v>
      </c>
      <c r="G830" t="s">
        <v>74</v>
      </c>
      <c r="H830" t="s">
        <v>74</v>
      </c>
      <c r="I830" t="s">
        <v>15860</v>
      </c>
      <c r="J830" t="s">
        <v>6812</v>
      </c>
      <c r="K830" t="s">
        <v>74</v>
      </c>
      <c r="L830" t="s">
        <v>74</v>
      </c>
      <c r="M830" t="s">
        <v>78</v>
      </c>
      <c r="N830" t="s">
        <v>779</v>
      </c>
      <c r="O830" t="s">
        <v>74</v>
      </c>
      <c r="P830" t="s">
        <v>74</v>
      </c>
      <c r="Q830" t="s">
        <v>74</v>
      </c>
      <c r="R830" t="s">
        <v>74</v>
      </c>
      <c r="S830" t="s">
        <v>74</v>
      </c>
      <c r="T830" t="s">
        <v>74</v>
      </c>
      <c r="U830" t="s">
        <v>74</v>
      </c>
      <c r="V830" t="s">
        <v>15861</v>
      </c>
      <c r="W830" t="s">
        <v>15862</v>
      </c>
      <c r="X830" t="s">
        <v>15863</v>
      </c>
      <c r="Y830" t="s">
        <v>15864</v>
      </c>
      <c r="Z830" t="s">
        <v>15865</v>
      </c>
      <c r="AA830" t="s">
        <v>15866</v>
      </c>
      <c r="AB830" t="s">
        <v>15867</v>
      </c>
      <c r="AC830" t="s">
        <v>74</v>
      </c>
      <c r="AD830" t="s">
        <v>74</v>
      </c>
      <c r="AE830" t="s">
        <v>74</v>
      </c>
      <c r="AF830" t="s">
        <v>74</v>
      </c>
      <c r="AG830">
        <v>15</v>
      </c>
      <c r="AH830">
        <v>5</v>
      </c>
      <c r="AI830">
        <v>5</v>
      </c>
      <c r="AJ830">
        <v>4</v>
      </c>
      <c r="AK830">
        <v>13</v>
      </c>
      <c r="AL830" t="s">
        <v>6824</v>
      </c>
      <c r="AM830" t="s">
        <v>199</v>
      </c>
      <c r="AN830" t="s">
        <v>6825</v>
      </c>
      <c r="AO830" t="s">
        <v>6826</v>
      </c>
      <c r="AP830" t="s">
        <v>6827</v>
      </c>
      <c r="AQ830" t="s">
        <v>74</v>
      </c>
      <c r="AR830" t="s">
        <v>6828</v>
      </c>
      <c r="AS830" t="s">
        <v>6829</v>
      </c>
      <c r="AT830" t="s">
        <v>4645</v>
      </c>
      <c r="AU830">
        <v>2022</v>
      </c>
      <c r="AV830">
        <v>37</v>
      </c>
      <c r="AW830">
        <v>1</v>
      </c>
      <c r="AX830" t="s">
        <v>74</v>
      </c>
      <c r="AY830" t="s">
        <v>74</v>
      </c>
      <c r="AZ830" t="s">
        <v>74</v>
      </c>
      <c r="BA830" t="s">
        <v>74</v>
      </c>
      <c r="BB830">
        <v>5</v>
      </c>
      <c r="BC830">
        <v>9</v>
      </c>
      <c r="BD830" t="s">
        <v>74</v>
      </c>
      <c r="BE830" t="s">
        <v>15868</v>
      </c>
      <c r="BF830" t="str">
        <f>HYPERLINK("http://dx.doi.org/10.1016/j.tree.2021.10.002","http://dx.doi.org/10.1016/j.tree.2021.10.002")</f>
        <v>http://dx.doi.org/10.1016/j.tree.2021.10.002</v>
      </c>
      <c r="BG830" t="s">
        <v>74</v>
      </c>
      <c r="BH830" t="s">
        <v>14486</v>
      </c>
      <c r="BI830">
        <v>5</v>
      </c>
      <c r="BJ830" t="s">
        <v>6831</v>
      </c>
      <c r="BK830" t="s">
        <v>103</v>
      </c>
      <c r="BL830" t="s">
        <v>6832</v>
      </c>
      <c r="BM830" t="s">
        <v>15869</v>
      </c>
      <c r="BN830">
        <v>34809999</v>
      </c>
      <c r="BO830" t="s">
        <v>74</v>
      </c>
      <c r="BP830" t="s">
        <v>74</v>
      </c>
      <c r="BQ830" t="s">
        <v>74</v>
      </c>
      <c r="BR830" t="s">
        <v>106</v>
      </c>
      <c r="BS830" t="s">
        <v>15870</v>
      </c>
      <c r="BT830" t="str">
        <f>HYPERLINK("https%3A%2F%2Fwww.webofscience.com%2Fwos%2Fwoscc%2Ffull-record%2FWOS:000732522300002","View Full Record in Web of Science")</f>
        <v>View Full Record in Web of Science</v>
      </c>
    </row>
    <row r="831" spans="1:72" x14ac:dyDescent="0.15">
      <c r="A831" t="s">
        <v>72</v>
      </c>
      <c r="B831" t="s">
        <v>15871</v>
      </c>
      <c r="C831" t="s">
        <v>74</v>
      </c>
      <c r="D831" t="s">
        <v>74</v>
      </c>
      <c r="E831" t="s">
        <v>74</v>
      </c>
      <c r="F831" t="s">
        <v>15872</v>
      </c>
      <c r="G831" t="s">
        <v>74</v>
      </c>
      <c r="H831" t="s">
        <v>74</v>
      </c>
      <c r="I831" t="s">
        <v>15873</v>
      </c>
      <c r="J831" t="s">
        <v>6812</v>
      </c>
      <c r="K831" t="s">
        <v>74</v>
      </c>
      <c r="L831" t="s">
        <v>74</v>
      </c>
      <c r="M831" t="s">
        <v>78</v>
      </c>
      <c r="N831" t="s">
        <v>1113</v>
      </c>
      <c r="O831" t="s">
        <v>74</v>
      </c>
      <c r="P831" t="s">
        <v>74</v>
      </c>
      <c r="Q831" t="s">
        <v>74</v>
      </c>
      <c r="R831" t="s">
        <v>74</v>
      </c>
      <c r="S831" t="s">
        <v>74</v>
      </c>
      <c r="T831" t="s">
        <v>74</v>
      </c>
      <c r="U831" t="s">
        <v>15874</v>
      </c>
      <c r="V831" t="s">
        <v>15875</v>
      </c>
      <c r="W831" t="s">
        <v>15876</v>
      </c>
      <c r="X831" t="s">
        <v>15877</v>
      </c>
      <c r="Y831" t="s">
        <v>15878</v>
      </c>
      <c r="Z831" t="s">
        <v>15879</v>
      </c>
      <c r="AA831" t="s">
        <v>15880</v>
      </c>
      <c r="AB831" t="s">
        <v>15881</v>
      </c>
      <c r="AC831" t="s">
        <v>15882</v>
      </c>
      <c r="AD831" t="s">
        <v>15883</v>
      </c>
      <c r="AE831" t="s">
        <v>15884</v>
      </c>
      <c r="AF831" t="s">
        <v>74</v>
      </c>
      <c r="AG831">
        <v>62</v>
      </c>
      <c r="AH831">
        <v>33</v>
      </c>
      <c r="AI831">
        <v>34</v>
      </c>
      <c r="AJ831">
        <v>8</v>
      </c>
      <c r="AK831">
        <v>93</v>
      </c>
      <c r="AL831" t="s">
        <v>6824</v>
      </c>
      <c r="AM831" t="s">
        <v>199</v>
      </c>
      <c r="AN831" t="s">
        <v>6825</v>
      </c>
      <c r="AO831" t="s">
        <v>6826</v>
      </c>
      <c r="AP831" t="s">
        <v>6827</v>
      </c>
      <c r="AQ831" t="s">
        <v>74</v>
      </c>
      <c r="AR831" t="s">
        <v>6828</v>
      </c>
      <c r="AS831" t="s">
        <v>6829</v>
      </c>
      <c r="AT831" t="s">
        <v>4645</v>
      </c>
      <c r="AU831">
        <v>2022</v>
      </c>
      <c r="AV831">
        <v>37</v>
      </c>
      <c r="AW831">
        <v>1</v>
      </c>
      <c r="AX831" t="s">
        <v>74</v>
      </c>
      <c r="AY831" t="s">
        <v>74</v>
      </c>
      <c r="AZ831" t="s">
        <v>74</v>
      </c>
      <c r="BA831" t="s">
        <v>74</v>
      </c>
      <c r="BB831">
        <v>95</v>
      </c>
      <c r="BC831">
        <v>104</v>
      </c>
      <c r="BD831" t="s">
        <v>74</v>
      </c>
      <c r="BE831" t="s">
        <v>15885</v>
      </c>
      <c r="BF831" t="str">
        <f>HYPERLINK("http://dx.doi.org/10.1016/j.tree.2021.10.014","http://dx.doi.org/10.1016/j.tree.2021.10.014")</f>
        <v>http://dx.doi.org/10.1016/j.tree.2021.10.014</v>
      </c>
      <c r="BG831" t="s">
        <v>74</v>
      </c>
      <c r="BH831" t="s">
        <v>14486</v>
      </c>
      <c r="BI831">
        <v>10</v>
      </c>
      <c r="BJ831" t="s">
        <v>6831</v>
      </c>
      <c r="BK831" t="s">
        <v>103</v>
      </c>
      <c r="BL831" t="s">
        <v>6832</v>
      </c>
      <c r="BM831" t="s">
        <v>15869</v>
      </c>
      <c r="BN831">
        <v>34809998</v>
      </c>
      <c r="BO831" t="s">
        <v>796</v>
      </c>
      <c r="BP831" t="s">
        <v>74</v>
      </c>
      <c r="BQ831" t="s">
        <v>74</v>
      </c>
      <c r="BR831" t="s">
        <v>106</v>
      </c>
      <c r="BS831" t="s">
        <v>15886</v>
      </c>
      <c r="BT831" t="str">
        <f>HYPERLINK("https%3A%2F%2Fwww.webofscience.com%2Fwos%2Fwoscc%2Ffull-record%2FWOS:000732522300014","View Full Record in Web of Science")</f>
        <v>View Full Record in Web of Science</v>
      </c>
    </row>
    <row r="832" spans="1:72" x14ac:dyDescent="0.15">
      <c r="A832" t="s">
        <v>72</v>
      </c>
      <c r="B832" t="s">
        <v>15887</v>
      </c>
      <c r="C832" t="s">
        <v>74</v>
      </c>
      <c r="D832" t="s">
        <v>74</v>
      </c>
      <c r="E832" t="s">
        <v>74</v>
      </c>
      <c r="F832" t="s">
        <v>15888</v>
      </c>
      <c r="G832" t="s">
        <v>74</v>
      </c>
      <c r="H832" t="s">
        <v>74</v>
      </c>
      <c r="I832" t="s">
        <v>15889</v>
      </c>
      <c r="J832" t="s">
        <v>400</v>
      </c>
      <c r="K832" t="s">
        <v>74</v>
      </c>
      <c r="L832" t="s">
        <v>74</v>
      </c>
      <c r="M832" t="s">
        <v>78</v>
      </c>
      <c r="N832" t="s">
        <v>79</v>
      </c>
      <c r="O832" t="s">
        <v>74</v>
      </c>
      <c r="P832" t="s">
        <v>74</v>
      </c>
      <c r="Q832" t="s">
        <v>74</v>
      </c>
      <c r="R832" t="s">
        <v>74</v>
      </c>
      <c r="S832" t="s">
        <v>74</v>
      </c>
      <c r="T832" t="s">
        <v>74</v>
      </c>
      <c r="U832" t="s">
        <v>15890</v>
      </c>
      <c r="V832" t="s">
        <v>15891</v>
      </c>
      <c r="W832" t="s">
        <v>15892</v>
      </c>
      <c r="X832" t="s">
        <v>15893</v>
      </c>
      <c r="Y832" t="s">
        <v>15894</v>
      </c>
      <c r="Z832" t="s">
        <v>15895</v>
      </c>
      <c r="AA832" t="s">
        <v>15896</v>
      </c>
      <c r="AB832" t="s">
        <v>15897</v>
      </c>
      <c r="AC832" t="s">
        <v>15898</v>
      </c>
      <c r="AD832" t="s">
        <v>15899</v>
      </c>
      <c r="AE832" t="s">
        <v>15900</v>
      </c>
      <c r="AF832" t="s">
        <v>74</v>
      </c>
      <c r="AG832">
        <v>108</v>
      </c>
      <c r="AH832">
        <v>4</v>
      </c>
      <c r="AI832">
        <v>4</v>
      </c>
      <c r="AJ832">
        <v>2</v>
      </c>
      <c r="AK832">
        <v>12</v>
      </c>
      <c r="AL832" t="s">
        <v>120</v>
      </c>
      <c r="AM832" t="s">
        <v>121</v>
      </c>
      <c r="AN832" t="s">
        <v>122</v>
      </c>
      <c r="AO832" t="s">
        <v>412</v>
      </c>
      <c r="AP832" t="s">
        <v>413</v>
      </c>
      <c r="AQ832" t="s">
        <v>74</v>
      </c>
      <c r="AR832" t="s">
        <v>400</v>
      </c>
      <c r="AS832" t="s">
        <v>414</v>
      </c>
      <c r="AT832" t="s">
        <v>15830</v>
      </c>
      <c r="AU832">
        <v>2021</v>
      </c>
      <c r="AV832">
        <v>18</v>
      </c>
      <c r="AW832">
        <v>24</v>
      </c>
      <c r="AX832" t="s">
        <v>74</v>
      </c>
      <c r="AY832" t="s">
        <v>74</v>
      </c>
      <c r="AZ832" t="s">
        <v>74</v>
      </c>
      <c r="BA832" t="s">
        <v>74</v>
      </c>
      <c r="BB832">
        <v>6435</v>
      </c>
      <c r="BC832">
        <v>6453</v>
      </c>
      <c r="BD832" t="s">
        <v>74</v>
      </c>
      <c r="BE832" t="s">
        <v>15901</v>
      </c>
      <c r="BF832" t="str">
        <f>HYPERLINK("http://dx.doi.org/10.5194/bg-18-6435-2021","http://dx.doi.org/10.5194/bg-18-6435-2021")</f>
        <v>http://dx.doi.org/10.5194/bg-18-6435-2021</v>
      </c>
      <c r="BG832" t="s">
        <v>74</v>
      </c>
      <c r="BH832" t="s">
        <v>74</v>
      </c>
      <c r="BI832">
        <v>19</v>
      </c>
      <c r="BJ832" t="s">
        <v>416</v>
      </c>
      <c r="BK832" t="s">
        <v>103</v>
      </c>
      <c r="BL832" t="s">
        <v>417</v>
      </c>
      <c r="BM832" t="s">
        <v>15902</v>
      </c>
      <c r="BN832" t="s">
        <v>74</v>
      </c>
      <c r="BO832" t="s">
        <v>132</v>
      </c>
      <c r="BP832" t="s">
        <v>74</v>
      </c>
      <c r="BQ832" t="s">
        <v>74</v>
      </c>
      <c r="BR832" t="s">
        <v>106</v>
      </c>
      <c r="BS832" t="s">
        <v>15903</v>
      </c>
      <c r="BT832" t="str">
        <f>HYPERLINK("https%3A%2F%2Fwww.webofscience.com%2Fwos%2Fwoscc%2Ffull-record%2FWOS:000730622300001","View Full Record in Web of Science")</f>
        <v>View Full Record in Web of Science</v>
      </c>
    </row>
    <row r="833" spans="1:72" x14ac:dyDescent="0.15">
      <c r="A833" t="s">
        <v>72</v>
      </c>
      <c r="B833" t="s">
        <v>15904</v>
      </c>
      <c r="C833" t="s">
        <v>74</v>
      </c>
      <c r="D833" t="s">
        <v>74</v>
      </c>
      <c r="E833" t="s">
        <v>74</v>
      </c>
      <c r="F833" t="s">
        <v>15905</v>
      </c>
      <c r="G833" t="s">
        <v>74</v>
      </c>
      <c r="H833" t="s">
        <v>74</v>
      </c>
      <c r="I833" t="s">
        <v>15906</v>
      </c>
      <c r="J833" t="s">
        <v>15907</v>
      </c>
      <c r="K833" t="s">
        <v>74</v>
      </c>
      <c r="L833" t="s">
        <v>74</v>
      </c>
      <c r="M833" t="s">
        <v>78</v>
      </c>
      <c r="N833" t="s">
        <v>1113</v>
      </c>
      <c r="O833" t="s">
        <v>74</v>
      </c>
      <c r="P833" t="s">
        <v>74</v>
      </c>
      <c r="Q833" t="s">
        <v>74</v>
      </c>
      <c r="R833" t="s">
        <v>74</v>
      </c>
      <c r="S833" t="s">
        <v>74</v>
      </c>
      <c r="T833" t="s">
        <v>15908</v>
      </c>
      <c r="U833" t="s">
        <v>15909</v>
      </c>
      <c r="V833" t="s">
        <v>15910</v>
      </c>
      <c r="W833" t="s">
        <v>15911</v>
      </c>
      <c r="X833" t="s">
        <v>15912</v>
      </c>
      <c r="Y833" t="s">
        <v>15913</v>
      </c>
      <c r="Z833" t="s">
        <v>15914</v>
      </c>
      <c r="AA833" t="s">
        <v>15915</v>
      </c>
      <c r="AB833" t="s">
        <v>15916</v>
      </c>
      <c r="AC833" t="s">
        <v>15917</v>
      </c>
      <c r="AD833" t="s">
        <v>74</v>
      </c>
      <c r="AE833" t="s">
        <v>15918</v>
      </c>
      <c r="AF833" t="s">
        <v>74</v>
      </c>
      <c r="AG833">
        <v>161</v>
      </c>
      <c r="AH833">
        <v>37</v>
      </c>
      <c r="AI833">
        <v>40</v>
      </c>
      <c r="AJ833">
        <v>26</v>
      </c>
      <c r="AK833">
        <v>167</v>
      </c>
      <c r="AL833" t="s">
        <v>171</v>
      </c>
      <c r="AM833" t="s">
        <v>172</v>
      </c>
      <c r="AN833" t="s">
        <v>173</v>
      </c>
      <c r="AO833" t="s">
        <v>15919</v>
      </c>
      <c r="AP833" t="s">
        <v>15920</v>
      </c>
      <c r="AQ833" t="s">
        <v>74</v>
      </c>
      <c r="AR833" t="s">
        <v>15907</v>
      </c>
      <c r="AS833" t="s">
        <v>15921</v>
      </c>
      <c r="AT833" t="s">
        <v>4645</v>
      </c>
      <c r="AU833">
        <v>2022</v>
      </c>
      <c r="AV833">
        <v>2022</v>
      </c>
      <c r="AW833">
        <v>1</v>
      </c>
      <c r="AX833" t="s">
        <v>74</v>
      </c>
      <c r="AY833" t="s">
        <v>74</v>
      </c>
      <c r="AZ833" t="s">
        <v>74</v>
      </c>
      <c r="BA833" t="s">
        <v>74</v>
      </c>
      <c r="BB833" t="s">
        <v>74</v>
      </c>
      <c r="BC833" t="s">
        <v>74</v>
      </c>
      <c r="BD833" t="s">
        <v>74</v>
      </c>
      <c r="BE833" t="s">
        <v>15922</v>
      </c>
      <c r="BF833" t="str">
        <f>HYPERLINK("http://dx.doi.org/10.1111/ecog.05694","http://dx.doi.org/10.1111/ecog.05694")</f>
        <v>http://dx.doi.org/10.1111/ecog.05694</v>
      </c>
      <c r="BG833" t="s">
        <v>74</v>
      </c>
      <c r="BH833" t="s">
        <v>14486</v>
      </c>
      <c r="BI833">
        <v>18</v>
      </c>
      <c r="BJ833" t="s">
        <v>1081</v>
      </c>
      <c r="BK833" t="s">
        <v>103</v>
      </c>
      <c r="BL833" t="s">
        <v>1082</v>
      </c>
      <c r="BM833" t="s">
        <v>15923</v>
      </c>
      <c r="BN833" t="s">
        <v>74</v>
      </c>
      <c r="BO833" t="s">
        <v>2468</v>
      </c>
      <c r="BP833" t="s">
        <v>74</v>
      </c>
      <c r="BQ833" t="s">
        <v>74</v>
      </c>
      <c r="BR833" t="s">
        <v>106</v>
      </c>
      <c r="BS833" t="s">
        <v>15924</v>
      </c>
      <c r="BT833" t="str">
        <f>HYPERLINK("https%3A%2F%2Fwww.webofscience.com%2Fwos%2Fwoscc%2Ffull-record%2FWOS:000730509300001","View Full Record in Web of Science")</f>
        <v>View Full Record in Web of Science</v>
      </c>
    </row>
    <row r="834" spans="1:72" x14ac:dyDescent="0.15">
      <c r="A834" t="s">
        <v>72</v>
      </c>
      <c r="B834" t="s">
        <v>15925</v>
      </c>
      <c r="C834" t="s">
        <v>74</v>
      </c>
      <c r="D834" t="s">
        <v>74</v>
      </c>
      <c r="E834" t="s">
        <v>74</v>
      </c>
      <c r="F834" t="s">
        <v>15926</v>
      </c>
      <c r="G834" t="s">
        <v>74</v>
      </c>
      <c r="H834" t="s">
        <v>74</v>
      </c>
      <c r="I834" t="s">
        <v>15927</v>
      </c>
      <c r="J834" t="s">
        <v>544</v>
      </c>
      <c r="K834" t="s">
        <v>74</v>
      </c>
      <c r="L834" t="s">
        <v>74</v>
      </c>
      <c r="M834" t="s">
        <v>78</v>
      </c>
      <c r="N834" t="s">
        <v>79</v>
      </c>
      <c r="O834" t="s">
        <v>74</v>
      </c>
      <c r="P834" t="s">
        <v>74</v>
      </c>
      <c r="Q834" t="s">
        <v>74</v>
      </c>
      <c r="R834" t="s">
        <v>74</v>
      </c>
      <c r="S834" t="s">
        <v>74</v>
      </c>
      <c r="T834" t="s">
        <v>15928</v>
      </c>
      <c r="U834" t="s">
        <v>15929</v>
      </c>
      <c r="V834" t="s">
        <v>15930</v>
      </c>
      <c r="W834" t="s">
        <v>15931</v>
      </c>
      <c r="X834" t="s">
        <v>15932</v>
      </c>
      <c r="Y834" t="s">
        <v>15933</v>
      </c>
      <c r="Z834" t="s">
        <v>15934</v>
      </c>
      <c r="AA834" t="s">
        <v>15935</v>
      </c>
      <c r="AB834" t="s">
        <v>74</v>
      </c>
      <c r="AC834" t="s">
        <v>15936</v>
      </c>
      <c r="AD834" t="s">
        <v>15937</v>
      </c>
      <c r="AE834" t="s">
        <v>15938</v>
      </c>
      <c r="AF834" t="s">
        <v>74</v>
      </c>
      <c r="AG834">
        <v>33</v>
      </c>
      <c r="AH834">
        <v>27</v>
      </c>
      <c r="AI834">
        <v>27</v>
      </c>
      <c r="AJ834">
        <v>13</v>
      </c>
      <c r="AK834">
        <v>91</v>
      </c>
      <c r="AL834" t="s">
        <v>310</v>
      </c>
      <c r="AM834" t="s">
        <v>311</v>
      </c>
      <c r="AN834" t="s">
        <v>312</v>
      </c>
      <c r="AO834" t="s">
        <v>555</v>
      </c>
      <c r="AP834" t="s">
        <v>556</v>
      </c>
      <c r="AQ834" t="s">
        <v>74</v>
      </c>
      <c r="AR834" t="s">
        <v>557</v>
      </c>
      <c r="AS834" t="s">
        <v>558</v>
      </c>
      <c r="AT834" t="s">
        <v>15830</v>
      </c>
      <c r="AU834">
        <v>2021</v>
      </c>
      <c r="AV834">
        <v>104</v>
      </c>
      <c r="AW834" t="s">
        <v>74</v>
      </c>
      <c r="AX834" t="s">
        <v>74</v>
      </c>
      <c r="AY834" t="s">
        <v>74</v>
      </c>
      <c r="AZ834" t="s">
        <v>74</v>
      </c>
      <c r="BA834" t="s">
        <v>74</v>
      </c>
      <c r="BB834" t="s">
        <v>74</v>
      </c>
      <c r="BC834" t="s">
        <v>74</v>
      </c>
      <c r="BD834">
        <v>102538</v>
      </c>
      <c r="BE834" t="s">
        <v>15939</v>
      </c>
      <c r="BF834" t="str">
        <f>HYPERLINK("http://dx.doi.org/10.1016/j.jag.2021.102538","http://dx.doi.org/10.1016/j.jag.2021.102538")</f>
        <v>http://dx.doi.org/10.1016/j.jag.2021.102538</v>
      </c>
      <c r="BG834" t="s">
        <v>74</v>
      </c>
      <c r="BH834" t="s">
        <v>74</v>
      </c>
      <c r="BI834">
        <v>12</v>
      </c>
      <c r="BJ834" t="s">
        <v>560</v>
      </c>
      <c r="BK834" t="s">
        <v>103</v>
      </c>
      <c r="BL834" t="s">
        <v>560</v>
      </c>
      <c r="BM834" t="s">
        <v>15940</v>
      </c>
      <c r="BN834" t="s">
        <v>74</v>
      </c>
      <c r="BO834" t="s">
        <v>445</v>
      </c>
      <c r="BP834" t="s">
        <v>74</v>
      </c>
      <c r="BQ834" t="s">
        <v>74</v>
      </c>
      <c r="BR834" t="s">
        <v>106</v>
      </c>
      <c r="BS834" t="s">
        <v>15941</v>
      </c>
      <c r="BT834" t="str">
        <f>HYPERLINK("https%3A%2F%2Fwww.webofscience.com%2Fwos%2Fwoscc%2Ffull-record%2FWOS:000701677000002","View Full Record in Web of Science")</f>
        <v>View Full Record in Web of Science</v>
      </c>
    </row>
    <row r="835" spans="1:72" x14ac:dyDescent="0.15">
      <c r="A835" t="s">
        <v>72</v>
      </c>
      <c r="B835" t="s">
        <v>15942</v>
      </c>
      <c r="C835" t="s">
        <v>74</v>
      </c>
      <c r="D835" t="s">
        <v>74</v>
      </c>
      <c r="E835" t="s">
        <v>74</v>
      </c>
      <c r="F835" t="s">
        <v>15943</v>
      </c>
      <c r="G835" t="s">
        <v>74</v>
      </c>
      <c r="H835" t="s">
        <v>74</v>
      </c>
      <c r="I835" t="s">
        <v>15944</v>
      </c>
      <c r="J835" t="s">
        <v>4683</v>
      </c>
      <c r="K835" t="s">
        <v>74</v>
      </c>
      <c r="L835" t="s">
        <v>74</v>
      </c>
      <c r="M835" t="s">
        <v>78</v>
      </c>
      <c r="N835" t="s">
        <v>79</v>
      </c>
      <c r="O835" t="s">
        <v>74</v>
      </c>
      <c r="P835" t="s">
        <v>74</v>
      </c>
      <c r="Q835" t="s">
        <v>74</v>
      </c>
      <c r="R835" t="s">
        <v>74</v>
      </c>
      <c r="S835" t="s">
        <v>74</v>
      </c>
      <c r="T835" t="s">
        <v>15945</v>
      </c>
      <c r="U835" t="s">
        <v>15946</v>
      </c>
      <c r="V835" t="s">
        <v>15947</v>
      </c>
      <c r="W835" t="s">
        <v>15948</v>
      </c>
      <c r="X835" t="s">
        <v>15949</v>
      </c>
      <c r="Y835" t="s">
        <v>15950</v>
      </c>
      <c r="Z835" t="s">
        <v>15951</v>
      </c>
      <c r="AA835" t="s">
        <v>15952</v>
      </c>
      <c r="AB835" t="s">
        <v>15953</v>
      </c>
      <c r="AC835" t="s">
        <v>15954</v>
      </c>
      <c r="AD835" t="s">
        <v>15955</v>
      </c>
      <c r="AE835" t="s">
        <v>15956</v>
      </c>
      <c r="AF835" t="s">
        <v>74</v>
      </c>
      <c r="AG835">
        <v>102</v>
      </c>
      <c r="AH835">
        <v>15</v>
      </c>
      <c r="AI835">
        <v>15</v>
      </c>
      <c r="AJ835">
        <v>11</v>
      </c>
      <c r="AK835">
        <v>42</v>
      </c>
      <c r="AL835" t="s">
        <v>310</v>
      </c>
      <c r="AM835" t="s">
        <v>311</v>
      </c>
      <c r="AN835" t="s">
        <v>312</v>
      </c>
      <c r="AO835" t="s">
        <v>4696</v>
      </c>
      <c r="AP835" t="s">
        <v>4697</v>
      </c>
      <c r="AQ835" t="s">
        <v>74</v>
      </c>
      <c r="AR835" t="s">
        <v>4698</v>
      </c>
      <c r="AS835" t="s">
        <v>4699</v>
      </c>
      <c r="AT835" t="s">
        <v>583</v>
      </c>
      <c r="AU835">
        <v>2022</v>
      </c>
      <c r="AV835">
        <v>810</v>
      </c>
      <c r="AW835" t="s">
        <v>74</v>
      </c>
      <c r="AX835" t="s">
        <v>74</v>
      </c>
      <c r="AY835" t="s">
        <v>74</v>
      </c>
      <c r="AZ835" t="s">
        <v>74</v>
      </c>
      <c r="BA835" t="s">
        <v>74</v>
      </c>
      <c r="BB835" t="s">
        <v>74</v>
      </c>
      <c r="BC835" t="s">
        <v>74</v>
      </c>
      <c r="BD835">
        <v>152003</v>
      </c>
      <c r="BE835" t="s">
        <v>15957</v>
      </c>
      <c r="BF835" t="str">
        <f>HYPERLINK("http://dx.doi.org/10.1016/j.scitotenv.2021.152003","http://dx.doi.org/10.1016/j.scitotenv.2021.152003")</f>
        <v>http://dx.doi.org/10.1016/j.scitotenv.2021.152003</v>
      </c>
      <c r="BG835" t="s">
        <v>74</v>
      </c>
      <c r="BH835" t="s">
        <v>14486</v>
      </c>
      <c r="BI835">
        <v>17</v>
      </c>
      <c r="BJ835" t="s">
        <v>1560</v>
      </c>
      <c r="BK835" t="s">
        <v>103</v>
      </c>
      <c r="BL835" t="s">
        <v>1561</v>
      </c>
      <c r="BM835" t="s">
        <v>15958</v>
      </c>
      <c r="BN835">
        <v>34856283</v>
      </c>
      <c r="BO835" t="s">
        <v>74</v>
      </c>
      <c r="BP835" t="s">
        <v>74</v>
      </c>
      <c r="BQ835" t="s">
        <v>74</v>
      </c>
      <c r="BR835" t="s">
        <v>106</v>
      </c>
      <c r="BS835" t="s">
        <v>15959</v>
      </c>
      <c r="BT835" t="str">
        <f>HYPERLINK("https%3A%2F%2Fwww.webofscience.com%2Fwos%2Fwoscc%2Ffull-record%2FWOS:000740223500004","View Full Record in Web of Science")</f>
        <v>View Full Record in Web of Science</v>
      </c>
    </row>
    <row r="836" spans="1:72" x14ac:dyDescent="0.15">
      <c r="A836" t="s">
        <v>72</v>
      </c>
      <c r="B836" t="s">
        <v>15960</v>
      </c>
      <c r="C836" t="s">
        <v>74</v>
      </c>
      <c r="D836" t="s">
        <v>74</v>
      </c>
      <c r="E836" t="s">
        <v>74</v>
      </c>
      <c r="F836" t="s">
        <v>15961</v>
      </c>
      <c r="G836" t="s">
        <v>74</v>
      </c>
      <c r="H836" t="s">
        <v>74</v>
      </c>
      <c r="I836" t="s">
        <v>15962</v>
      </c>
      <c r="J836" t="s">
        <v>15963</v>
      </c>
      <c r="K836" t="s">
        <v>74</v>
      </c>
      <c r="L836" t="s">
        <v>74</v>
      </c>
      <c r="M836" t="s">
        <v>78</v>
      </c>
      <c r="N836" t="s">
        <v>79</v>
      </c>
      <c r="O836" t="s">
        <v>74</v>
      </c>
      <c r="P836" t="s">
        <v>74</v>
      </c>
      <c r="Q836" t="s">
        <v>74</v>
      </c>
      <c r="R836" t="s">
        <v>74</v>
      </c>
      <c r="S836" t="s">
        <v>74</v>
      </c>
      <c r="T836" t="s">
        <v>15964</v>
      </c>
      <c r="U836" t="s">
        <v>15965</v>
      </c>
      <c r="V836" t="s">
        <v>15966</v>
      </c>
      <c r="W836" t="s">
        <v>15967</v>
      </c>
      <c r="X836" t="s">
        <v>2966</v>
      </c>
      <c r="Y836" t="s">
        <v>2967</v>
      </c>
      <c r="Z836" t="s">
        <v>2968</v>
      </c>
      <c r="AA836" t="s">
        <v>15968</v>
      </c>
      <c r="AB836" t="s">
        <v>15969</v>
      </c>
      <c r="AC836" t="s">
        <v>74</v>
      </c>
      <c r="AD836" t="s">
        <v>74</v>
      </c>
      <c r="AE836" t="s">
        <v>74</v>
      </c>
      <c r="AF836" t="s">
        <v>74</v>
      </c>
      <c r="AG836">
        <v>91</v>
      </c>
      <c r="AH836">
        <v>12</v>
      </c>
      <c r="AI836">
        <v>12</v>
      </c>
      <c r="AJ836">
        <v>4</v>
      </c>
      <c r="AK836">
        <v>36</v>
      </c>
      <c r="AL836" t="s">
        <v>9619</v>
      </c>
      <c r="AM836" t="s">
        <v>9620</v>
      </c>
      <c r="AN836" t="s">
        <v>9621</v>
      </c>
      <c r="AO836" t="s">
        <v>74</v>
      </c>
      <c r="AP836" t="s">
        <v>15970</v>
      </c>
      <c r="AQ836" t="s">
        <v>74</v>
      </c>
      <c r="AR836" t="s">
        <v>15971</v>
      </c>
      <c r="AS836" t="s">
        <v>15972</v>
      </c>
      <c r="AT836" t="s">
        <v>74</v>
      </c>
      <c r="AU836">
        <v>2021</v>
      </c>
      <c r="AV836">
        <v>71</v>
      </c>
      <c r="AW836">
        <v>3</v>
      </c>
      <c r="AX836" t="s">
        <v>74</v>
      </c>
      <c r="AY836" t="s">
        <v>74</v>
      </c>
      <c r="AZ836" t="s">
        <v>74</v>
      </c>
      <c r="BA836" t="s">
        <v>74</v>
      </c>
      <c r="BB836">
        <v>284</v>
      </c>
      <c r="BC836">
        <v>302</v>
      </c>
      <c r="BD836" t="s">
        <v>74</v>
      </c>
      <c r="BE836" t="s">
        <v>15973</v>
      </c>
      <c r="BF836" t="str">
        <f>HYPERLINK("http://dx.doi.org/10.1071/ES21014","http://dx.doi.org/10.1071/ES21014")</f>
        <v>http://dx.doi.org/10.1071/ES21014</v>
      </c>
      <c r="BG836" t="s">
        <v>74</v>
      </c>
      <c r="BH836" t="s">
        <v>14486</v>
      </c>
      <c r="BI836">
        <v>19</v>
      </c>
      <c r="BJ836" t="s">
        <v>6342</v>
      </c>
      <c r="BK836" t="s">
        <v>103</v>
      </c>
      <c r="BL836" t="s">
        <v>6342</v>
      </c>
      <c r="BM836" t="s">
        <v>15974</v>
      </c>
      <c r="BN836" t="s">
        <v>74</v>
      </c>
      <c r="BO836" t="s">
        <v>5849</v>
      </c>
      <c r="BP836" t="s">
        <v>74</v>
      </c>
      <c r="BQ836" t="s">
        <v>74</v>
      </c>
      <c r="BR836" t="s">
        <v>106</v>
      </c>
      <c r="BS836" t="s">
        <v>15975</v>
      </c>
      <c r="BT836" t="str">
        <f>HYPERLINK("https%3A%2F%2Fwww.webofscience.com%2Fwos%2Fwoscc%2Ffull-record%2FWOS:000729749400001","View Full Record in Web of Science")</f>
        <v>View Full Record in Web of Science</v>
      </c>
    </row>
    <row r="837" spans="1:72" x14ac:dyDescent="0.15">
      <c r="A837" t="s">
        <v>72</v>
      </c>
      <c r="B837" t="s">
        <v>15976</v>
      </c>
      <c r="C837" t="s">
        <v>74</v>
      </c>
      <c r="D837" t="s">
        <v>74</v>
      </c>
      <c r="E837" t="s">
        <v>74</v>
      </c>
      <c r="F837" t="s">
        <v>15977</v>
      </c>
      <c r="G837" t="s">
        <v>74</v>
      </c>
      <c r="H837" t="s">
        <v>74</v>
      </c>
      <c r="I837" t="s">
        <v>15978</v>
      </c>
      <c r="J837" t="s">
        <v>2305</v>
      </c>
      <c r="K837" t="s">
        <v>74</v>
      </c>
      <c r="L837" t="s">
        <v>74</v>
      </c>
      <c r="M837" t="s">
        <v>78</v>
      </c>
      <c r="N837" t="s">
        <v>79</v>
      </c>
      <c r="O837" t="s">
        <v>74</v>
      </c>
      <c r="P837" t="s">
        <v>74</v>
      </c>
      <c r="Q837" t="s">
        <v>74</v>
      </c>
      <c r="R837" t="s">
        <v>74</v>
      </c>
      <c r="S837" t="s">
        <v>74</v>
      </c>
      <c r="T837" t="s">
        <v>74</v>
      </c>
      <c r="U837" t="s">
        <v>15979</v>
      </c>
      <c r="V837" t="s">
        <v>15980</v>
      </c>
      <c r="W837" t="s">
        <v>15981</v>
      </c>
      <c r="X837" t="s">
        <v>15982</v>
      </c>
      <c r="Y837" t="s">
        <v>15983</v>
      </c>
      <c r="Z837" t="s">
        <v>15984</v>
      </c>
      <c r="AA837" t="s">
        <v>15985</v>
      </c>
      <c r="AB837" t="s">
        <v>15986</v>
      </c>
      <c r="AC837" t="s">
        <v>15987</v>
      </c>
      <c r="AD837" t="s">
        <v>15988</v>
      </c>
      <c r="AE837" t="s">
        <v>15989</v>
      </c>
      <c r="AF837" t="s">
        <v>74</v>
      </c>
      <c r="AG837">
        <v>68</v>
      </c>
      <c r="AH837">
        <v>23</v>
      </c>
      <c r="AI837">
        <v>23</v>
      </c>
      <c r="AJ837">
        <v>33</v>
      </c>
      <c r="AK837">
        <v>119</v>
      </c>
      <c r="AL837" t="s">
        <v>337</v>
      </c>
      <c r="AM837" t="s">
        <v>338</v>
      </c>
      <c r="AN837" t="s">
        <v>339</v>
      </c>
      <c r="AO837" t="s">
        <v>74</v>
      </c>
      <c r="AP837" t="s">
        <v>2316</v>
      </c>
      <c r="AQ837" t="s">
        <v>74</v>
      </c>
      <c r="AR837" t="s">
        <v>2317</v>
      </c>
      <c r="AS837" t="s">
        <v>2318</v>
      </c>
      <c r="AT837" t="s">
        <v>15990</v>
      </c>
      <c r="AU837">
        <v>2021</v>
      </c>
      <c r="AV837">
        <v>12</v>
      </c>
      <c r="AW837">
        <v>1</v>
      </c>
      <c r="AX837" t="s">
        <v>74</v>
      </c>
      <c r="AY837" t="s">
        <v>74</v>
      </c>
      <c r="AZ837" t="s">
        <v>74</v>
      </c>
      <c r="BA837" t="s">
        <v>74</v>
      </c>
      <c r="BB837" t="s">
        <v>74</v>
      </c>
      <c r="BC837" t="s">
        <v>74</v>
      </c>
      <c r="BD837">
        <v>7279</v>
      </c>
      <c r="BE837" t="s">
        <v>15991</v>
      </c>
      <c r="BF837" t="str">
        <f>HYPERLINK("http://dx.doi.org/10.1038/s41467-021-27592-y","http://dx.doi.org/10.1038/s41467-021-27592-y")</f>
        <v>http://dx.doi.org/10.1038/s41467-021-27592-y</v>
      </c>
      <c r="BG837" t="s">
        <v>74</v>
      </c>
      <c r="BH837" t="s">
        <v>74</v>
      </c>
      <c r="BI837">
        <v>9</v>
      </c>
      <c r="BJ837" t="s">
        <v>289</v>
      </c>
      <c r="BK837" t="s">
        <v>103</v>
      </c>
      <c r="BL837" t="s">
        <v>290</v>
      </c>
      <c r="BM837" t="s">
        <v>15992</v>
      </c>
      <c r="BN837">
        <v>34907196</v>
      </c>
      <c r="BO837" t="s">
        <v>292</v>
      </c>
      <c r="BP837" t="s">
        <v>74</v>
      </c>
      <c r="BQ837" t="s">
        <v>74</v>
      </c>
      <c r="BR837" t="s">
        <v>106</v>
      </c>
      <c r="BS837" t="s">
        <v>15993</v>
      </c>
      <c r="BT837" t="str">
        <f>HYPERLINK("https%3A%2F%2Fwww.webofscience.com%2Fwos%2Fwoscc%2Ffull-record%2FWOS:000730391400017","View Full Record in Web of Science")</f>
        <v>View Full Record in Web of Science</v>
      </c>
    </row>
    <row r="838" spans="1:72" x14ac:dyDescent="0.15">
      <c r="A838" t="s">
        <v>72</v>
      </c>
      <c r="B838" t="s">
        <v>15994</v>
      </c>
      <c r="C838" t="s">
        <v>74</v>
      </c>
      <c r="D838" t="s">
        <v>74</v>
      </c>
      <c r="E838" t="s">
        <v>74</v>
      </c>
      <c r="F838" t="s">
        <v>15995</v>
      </c>
      <c r="G838" t="s">
        <v>74</v>
      </c>
      <c r="H838" t="s">
        <v>74</v>
      </c>
      <c r="I838" t="s">
        <v>15996</v>
      </c>
      <c r="J838" t="s">
        <v>1635</v>
      </c>
      <c r="K838" t="s">
        <v>74</v>
      </c>
      <c r="L838" t="s">
        <v>74</v>
      </c>
      <c r="M838" t="s">
        <v>78</v>
      </c>
      <c r="N838" t="s">
        <v>1434</v>
      </c>
      <c r="O838" t="s">
        <v>74</v>
      </c>
      <c r="P838" t="s">
        <v>74</v>
      </c>
      <c r="Q838" t="s">
        <v>74</v>
      </c>
      <c r="R838" t="s">
        <v>74</v>
      </c>
      <c r="S838" t="s">
        <v>74</v>
      </c>
      <c r="T838" t="s">
        <v>74</v>
      </c>
      <c r="U838" t="s">
        <v>15997</v>
      </c>
      <c r="V838" t="s">
        <v>15998</v>
      </c>
      <c r="W838" t="s">
        <v>15999</v>
      </c>
      <c r="X838" t="s">
        <v>16000</v>
      </c>
      <c r="Y838" t="s">
        <v>16001</v>
      </c>
      <c r="Z838" t="s">
        <v>16002</v>
      </c>
      <c r="AA838" t="s">
        <v>74</v>
      </c>
      <c r="AB838" t="s">
        <v>16003</v>
      </c>
      <c r="AC838" t="s">
        <v>16004</v>
      </c>
      <c r="AD838" t="s">
        <v>8039</v>
      </c>
      <c r="AE838" t="s">
        <v>16005</v>
      </c>
      <c r="AF838" t="s">
        <v>74</v>
      </c>
      <c r="AG838">
        <v>38</v>
      </c>
      <c r="AH838">
        <v>3</v>
      </c>
      <c r="AI838">
        <v>3</v>
      </c>
      <c r="AJ838">
        <v>2</v>
      </c>
      <c r="AK838">
        <v>7</v>
      </c>
      <c r="AL838" t="s">
        <v>120</v>
      </c>
      <c r="AM838" t="s">
        <v>121</v>
      </c>
      <c r="AN838" t="s">
        <v>122</v>
      </c>
      <c r="AO838" t="s">
        <v>1646</v>
      </c>
      <c r="AP838" t="s">
        <v>1647</v>
      </c>
      <c r="AQ838" t="s">
        <v>74</v>
      </c>
      <c r="AR838" t="s">
        <v>1648</v>
      </c>
      <c r="AS838" t="s">
        <v>1649</v>
      </c>
      <c r="AT838" t="s">
        <v>15990</v>
      </c>
      <c r="AU838">
        <v>2021</v>
      </c>
      <c r="AV838">
        <v>13</v>
      </c>
      <c r="AW838">
        <v>12</v>
      </c>
      <c r="AX838" t="s">
        <v>74</v>
      </c>
      <c r="AY838" t="s">
        <v>74</v>
      </c>
      <c r="AZ838" t="s">
        <v>74</v>
      </c>
      <c r="BA838" t="s">
        <v>74</v>
      </c>
      <c r="BB838">
        <v>5803</v>
      </c>
      <c r="BC838">
        <v>5817</v>
      </c>
      <c r="BD838" t="s">
        <v>74</v>
      </c>
      <c r="BE838" t="s">
        <v>16006</v>
      </c>
      <c r="BF838" t="str">
        <f>HYPERLINK("http://dx.doi.org/10.5194/essd-13-5803-2021","http://dx.doi.org/10.5194/essd-13-5803-2021")</f>
        <v>http://dx.doi.org/10.5194/essd-13-5803-2021</v>
      </c>
      <c r="BG838" t="s">
        <v>74</v>
      </c>
      <c r="BH838" t="s">
        <v>74</v>
      </c>
      <c r="BI838">
        <v>15</v>
      </c>
      <c r="BJ838" t="s">
        <v>1201</v>
      </c>
      <c r="BK838" t="s">
        <v>103</v>
      </c>
      <c r="BL838" t="s">
        <v>1202</v>
      </c>
      <c r="BM838" t="s">
        <v>16007</v>
      </c>
      <c r="BN838" t="s">
        <v>74</v>
      </c>
      <c r="BO838" t="s">
        <v>132</v>
      </c>
      <c r="BP838" t="s">
        <v>74</v>
      </c>
      <c r="BQ838" t="s">
        <v>74</v>
      </c>
      <c r="BR838" t="s">
        <v>106</v>
      </c>
      <c r="BS838" t="s">
        <v>16008</v>
      </c>
      <c r="BT838" t="str">
        <f>HYPERLINK("https%3A%2F%2Fwww.webofscience.com%2Fwos%2Fwoscc%2Ffull-record%2FWOS:000730613800001","View Full Record in Web of Science")</f>
        <v>View Full Record in Web of Science</v>
      </c>
    </row>
    <row r="839" spans="1:72" x14ac:dyDescent="0.15">
      <c r="A839" t="s">
        <v>72</v>
      </c>
      <c r="B839" t="s">
        <v>16009</v>
      </c>
      <c r="C839" t="s">
        <v>74</v>
      </c>
      <c r="D839" t="s">
        <v>74</v>
      </c>
      <c r="E839" t="s">
        <v>74</v>
      </c>
      <c r="F839" t="s">
        <v>16010</v>
      </c>
      <c r="G839" t="s">
        <v>74</v>
      </c>
      <c r="H839" t="s">
        <v>74</v>
      </c>
      <c r="I839" t="s">
        <v>16011</v>
      </c>
      <c r="J839" t="s">
        <v>1455</v>
      </c>
      <c r="K839" t="s">
        <v>74</v>
      </c>
      <c r="L839" t="s">
        <v>74</v>
      </c>
      <c r="M839" t="s">
        <v>78</v>
      </c>
      <c r="N839" t="s">
        <v>79</v>
      </c>
      <c r="O839" t="s">
        <v>74</v>
      </c>
      <c r="P839" t="s">
        <v>74</v>
      </c>
      <c r="Q839" t="s">
        <v>74</v>
      </c>
      <c r="R839" t="s">
        <v>74</v>
      </c>
      <c r="S839" t="s">
        <v>74</v>
      </c>
      <c r="T839" t="s">
        <v>16012</v>
      </c>
      <c r="U839" t="s">
        <v>16013</v>
      </c>
      <c r="V839" t="s">
        <v>16014</v>
      </c>
      <c r="W839" t="s">
        <v>16015</v>
      </c>
      <c r="X839" t="s">
        <v>16016</v>
      </c>
      <c r="Y839" t="s">
        <v>16017</v>
      </c>
      <c r="Z839" t="s">
        <v>16018</v>
      </c>
      <c r="AA839" t="s">
        <v>16019</v>
      </c>
      <c r="AB839" t="s">
        <v>16020</v>
      </c>
      <c r="AC839" t="s">
        <v>16021</v>
      </c>
      <c r="AD839" t="s">
        <v>16022</v>
      </c>
      <c r="AE839" t="s">
        <v>16023</v>
      </c>
      <c r="AF839" t="s">
        <v>74</v>
      </c>
      <c r="AG839">
        <v>40</v>
      </c>
      <c r="AH839">
        <v>27</v>
      </c>
      <c r="AI839">
        <v>27</v>
      </c>
      <c r="AJ839">
        <v>3</v>
      </c>
      <c r="AK839">
        <v>12</v>
      </c>
      <c r="AL839" t="s">
        <v>171</v>
      </c>
      <c r="AM839" t="s">
        <v>172</v>
      </c>
      <c r="AN839" t="s">
        <v>173</v>
      </c>
      <c r="AO839" t="s">
        <v>1468</v>
      </c>
      <c r="AP839" t="s">
        <v>1469</v>
      </c>
      <c r="AQ839" t="s">
        <v>74</v>
      </c>
      <c r="AR839" t="s">
        <v>1470</v>
      </c>
      <c r="AS839" t="s">
        <v>1471</v>
      </c>
      <c r="AT839" t="s">
        <v>840</v>
      </c>
      <c r="AU839">
        <v>2022</v>
      </c>
      <c r="AV839">
        <v>233</v>
      </c>
      <c r="AW839">
        <v>4</v>
      </c>
      <c r="AX839" t="s">
        <v>74</v>
      </c>
      <c r="AY839" t="s">
        <v>74</v>
      </c>
      <c r="AZ839" t="s">
        <v>74</v>
      </c>
      <c r="BA839" t="s">
        <v>74</v>
      </c>
      <c r="BB839">
        <v>1657</v>
      </c>
      <c r="BC839">
        <v>1666</v>
      </c>
      <c r="BD839" t="s">
        <v>74</v>
      </c>
      <c r="BE839" t="s">
        <v>16024</v>
      </c>
      <c r="BF839" t="str">
        <f>HYPERLINK("http://dx.doi.org/10.1111/nph.17885","http://dx.doi.org/10.1111/nph.17885")</f>
        <v>http://dx.doi.org/10.1111/nph.17885</v>
      </c>
      <c r="BG839" t="s">
        <v>74</v>
      </c>
      <c r="BH839" t="s">
        <v>14486</v>
      </c>
      <c r="BI839">
        <v>10</v>
      </c>
      <c r="BJ839" t="s">
        <v>1473</v>
      </c>
      <c r="BK839" t="s">
        <v>103</v>
      </c>
      <c r="BL839" t="s">
        <v>1473</v>
      </c>
      <c r="BM839" t="s">
        <v>7483</v>
      </c>
      <c r="BN839">
        <v>34843111</v>
      </c>
      <c r="BO839" t="s">
        <v>749</v>
      </c>
      <c r="BP839" t="s">
        <v>74</v>
      </c>
      <c r="BQ839" t="s">
        <v>74</v>
      </c>
      <c r="BR839" t="s">
        <v>106</v>
      </c>
      <c r="BS839" t="s">
        <v>16025</v>
      </c>
      <c r="BT839" t="str">
        <f>HYPERLINK("https%3A%2F%2Fwww.webofscience.com%2Fwos%2Fwoscc%2Ffull-record%2FWOS:000729770300001","View Full Record in Web of Science")</f>
        <v>View Full Record in Web of Science</v>
      </c>
    </row>
    <row r="840" spans="1:72" x14ac:dyDescent="0.15">
      <c r="A840" t="s">
        <v>72</v>
      </c>
      <c r="B840" t="s">
        <v>16026</v>
      </c>
      <c r="C840" t="s">
        <v>74</v>
      </c>
      <c r="D840" t="s">
        <v>74</v>
      </c>
      <c r="E840" t="s">
        <v>74</v>
      </c>
      <c r="F840" t="s">
        <v>16027</v>
      </c>
      <c r="G840" t="s">
        <v>74</v>
      </c>
      <c r="H840" t="s">
        <v>74</v>
      </c>
      <c r="I840" t="s">
        <v>16028</v>
      </c>
      <c r="J840" t="s">
        <v>351</v>
      </c>
      <c r="K840" t="s">
        <v>74</v>
      </c>
      <c r="L840" t="s">
        <v>74</v>
      </c>
      <c r="M840" t="s">
        <v>78</v>
      </c>
      <c r="N840" t="s">
        <v>79</v>
      </c>
      <c r="O840" t="s">
        <v>74</v>
      </c>
      <c r="P840" t="s">
        <v>74</v>
      </c>
      <c r="Q840" t="s">
        <v>74</v>
      </c>
      <c r="R840" t="s">
        <v>74</v>
      </c>
      <c r="S840" t="s">
        <v>74</v>
      </c>
      <c r="T840" t="s">
        <v>16029</v>
      </c>
      <c r="U840" t="s">
        <v>16030</v>
      </c>
      <c r="V840" t="s">
        <v>16031</v>
      </c>
      <c r="W840" t="s">
        <v>16032</v>
      </c>
      <c r="X840" t="s">
        <v>16033</v>
      </c>
      <c r="Y840" t="s">
        <v>16034</v>
      </c>
      <c r="Z840" t="s">
        <v>74</v>
      </c>
      <c r="AA840" t="s">
        <v>16035</v>
      </c>
      <c r="AB840" t="s">
        <v>16036</v>
      </c>
      <c r="AC840" t="s">
        <v>16037</v>
      </c>
      <c r="AD840" t="s">
        <v>16038</v>
      </c>
      <c r="AE840" t="s">
        <v>16039</v>
      </c>
      <c r="AF840" t="s">
        <v>74</v>
      </c>
      <c r="AG840">
        <v>59</v>
      </c>
      <c r="AH840">
        <v>1</v>
      </c>
      <c r="AI840">
        <v>1</v>
      </c>
      <c r="AJ840">
        <v>0</v>
      </c>
      <c r="AK840">
        <v>5</v>
      </c>
      <c r="AL840" t="s">
        <v>363</v>
      </c>
      <c r="AM840" t="s">
        <v>364</v>
      </c>
      <c r="AN840" t="s">
        <v>365</v>
      </c>
      <c r="AO840" t="s">
        <v>74</v>
      </c>
      <c r="AP840" t="s">
        <v>366</v>
      </c>
      <c r="AQ840" t="s">
        <v>74</v>
      </c>
      <c r="AR840" t="s">
        <v>367</v>
      </c>
      <c r="AS840" t="s">
        <v>368</v>
      </c>
      <c r="AT840" t="s">
        <v>16040</v>
      </c>
      <c r="AU840">
        <v>2021</v>
      </c>
      <c r="AV840">
        <v>8</v>
      </c>
      <c r="AW840" t="s">
        <v>74</v>
      </c>
      <c r="AX840" t="s">
        <v>74</v>
      </c>
      <c r="AY840" t="s">
        <v>74</v>
      </c>
      <c r="AZ840" t="s">
        <v>74</v>
      </c>
      <c r="BA840" t="s">
        <v>74</v>
      </c>
      <c r="BB840" t="s">
        <v>74</v>
      </c>
      <c r="BC840" t="s">
        <v>74</v>
      </c>
      <c r="BD840">
        <v>782512</v>
      </c>
      <c r="BE840" t="s">
        <v>16041</v>
      </c>
      <c r="BF840" t="str">
        <f>HYPERLINK("http://dx.doi.org/10.3389/fmars.2021.782512","http://dx.doi.org/10.3389/fmars.2021.782512")</f>
        <v>http://dx.doi.org/10.3389/fmars.2021.782512</v>
      </c>
      <c r="BG840" t="s">
        <v>74</v>
      </c>
      <c r="BH840" t="s">
        <v>74</v>
      </c>
      <c r="BI840">
        <v>11</v>
      </c>
      <c r="BJ840" t="s">
        <v>102</v>
      </c>
      <c r="BK840" t="s">
        <v>103</v>
      </c>
      <c r="BL840" t="s">
        <v>104</v>
      </c>
      <c r="BM840" t="s">
        <v>16042</v>
      </c>
      <c r="BN840" t="s">
        <v>74</v>
      </c>
      <c r="BO840" t="s">
        <v>2007</v>
      </c>
      <c r="BP840" t="s">
        <v>74</v>
      </c>
      <c r="BQ840" t="s">
        <v>74</v>
      </c>
      <c r="BR840" t="s">
        <v>106</v>
      </c>
      <c r="BS840" t="s">
        <v>16043</v>
      </c>
      <c r="BT840" t="str">
        <f>HYPERLINK("https%3A%2F%2Fwww.webofscience.com%2Fwos%2Fwoscc%2Ffull-record%2FWOS:000742699300001","View Full Record in Web of Science")</f>
        <v>View Full Record in Web of Science</v>
      </c>
    </row>
    <row r="841" spans="1:72" x14ac:dyDescent="0.15">
      <c r="A841" t="s">
        <v>72</v>
      </c>
      <c r="B841" t="s">
        <v>16044</v>
      </c>
      <c r="C841" t="s">
        <v>74</v>
      </c>
      <c r="D841" t="s">
        <v>74</v>
      </c>
      <c r="E841" t="s">
        <v>74</v>
      </c>
      <c r="F841" t="s">
        <v>16045</v>
      </c>
      <c r="G841" t="s">
        <v>74</v>
      </c>
      <c r="H841" t="s">
        <v>74</v>
      </c>
      <c r="I841" t="s">
        <v>16046</v>
      </c>
      <c r="J841" t="s">
        <v>1137</v>
      </c>
      <c r="K841" t="s">
        <v>74</v>
      </c>
      <c r="L841" t="s">
        <v>74</v>
      </c>
      <c r="M841" t="s">
        <v>78</v>
      </c>
      <c r="N841" t="s">
        <v>79</v>
      </c>
      <c r="O841" t="s">
        <v>74</v>
      </c>
      <c r="P841" t="s">
        <v>74</v>
      </c>
      <c r="Q841" t="s">
        <v>74</v>
      </c>
      <c r="R841" t="s">
        <v>74</v>
      </c>
      <c r="S841" t="s">
        <v>74</v>
      </c>
      <c r="T841" t="s">
        <v>16047</v>
      </c>
      <c r="U841" t="s">
        <v>16048</v>
      </c>
      <c r="V841" t="s">
        <v>16049</v>
      </c>
      <c r="W841" t="s">
        <v>16050</v>
      </c>
      <c r="X841" t="s">
        <v>16051</v>
      </c>
      <c r="Y841" t="s">
        <v>16052</v>
      </c>
      <c r="Z841" t="s">
        <v>16053</v>
      </c>
      <c r="AA841" t="s">
        <v>74</v>
      </c>
      <c r="AB841" t="s">
        <v>16054</v>
      </c>
      <c r="AC841" t="s">
        <v>16055</v>
      </c>
      <c r="AD841" t="s">
        <v>8039</v>
      </c>
      <c r="AE841" t="s">
        <v>16056</v>
      </c>
      <c r="AF841" t="s">
        <v>74</v>
      </c>
      <c r="AG841">
        <v>74</v>
      </c>
      <c r="AH841">
        <v>9</v>
      </c>
      <c r="AI841">
        <v>9</v>
      </c>
      <c r="AJ841">
        <v>4</v>
      </c>
      <c r="AK841">
        <v>21</v>
      </c>
      <c r="AL841" t="s">
        <v>92</v>
      </c>
      <c r="AM841" t="s">
        <v>93</v>
      </c>
      <c r="AN841" t="s">
        <v>94</v>
      </c>
      <c r="AO841" t="s">
        <v>1149</v>
      </c>
      <c r="AP841" t="s">
        <v>1150</v>
      </c>
      <c r="AQ841" t="s">
        <v>74</v>
      </c>
      <c r="AR841" t="s">
        <v>1151</v>
      </c>
      <c r="AS841" t="s">
        <v>1152</v>
      </c>
      <c r="AT841" t="s">
        <v>6272</v>
      </c>
      <c r="AU841">
        <v>2022</v>
      </c>
      <c r="AV841">
        <v>276</v>
      </c>
      <c r="AW841" t="s">
        <v>74</v>
      </c>
      <c r="AX841" t="s">
        <v>74</v>
      </c>
      <c r="AY841" t="s">
        <v>74</v>
      </c>
      <c r="AZ841" t="s">
        <v>74</v>
      </c>
      <c r="BA841" t="s">
        <v>74</v>
      </c>
      <c r="BB841" t="s">
        <v>74</v>
      </c>
      <c r="BC841" t="s">
        <v>74</v>
      </c>
      <c r="BD841">
        <v>107317</v>
      </c>
      <c r="BE841" t="s">
        <v>16057</v>
      </c>
      <c r="BF841" t="str">
        <f>HYPERLINK("http://dx.doi.org/10.1016/j.quascirev.2021.107317","http://dx.doi.org/10.1016/j.quascirev.2021.107317")</f>
        <v>http://dx.doi.org/10.1016/j.quascirev.2021.107317</v>
      </c>
      <c r="BG841" t="s">
        <v>74</v>
      </c>
      <c r="BH841" t="s">
        <v>14486</v>
      </c>
      <c r="BI841">
        <v>14</v>
      </c>
      <c r="BJ841" t="s">
        <v>208</v>
      </c>
      <c r="BK841" t="s">
        <v>103</v>
      </c>
      <c r="BL841" t="s">
        <v>209</v>
      </c>
      <c r="BM841" t="s">
        <v>16058</v>
      </c>
      <c r="BN841" t="s">
        <v>74</v>
      </c>
      <c r="BO841" t="s">
        <v>264</v>
      </c>
      <c r="BP841" t="s">
        <v>74</v>
      </c>
      <c r="BQ841" t="s">
        <v>74</v>
      </c>
      <c r="BR841" t="s">
        <v>106</v>
      </c>
      <c r="BS841" t="s">
        <v>16059</v>
      </c>
      <c r="BT841" t="str">
        <f>HYPERLINK("https%3A%2F%2Fwww.webofscience.com%2Fwos%2Fwoscc%2Ffull-record%2FWOS:000731929600015","View Full Record in Web of Science")</f>
        <v>View Full Record in Web of Science</v>
      </c>
    </row>
    <row r="842" spans="1:72" x14ac:dyDescent="0.15">
      <c r="A842" t="s">
        <v>72</v>
      </c>
      <c r="B842" t="s">
        <v>16060</v>
      </c>
      <c r="C842" t="s">
        <v>74</v>
      </c>
      <c r="D842" t="s">
        <v>74</v>
      </c>
      <c r="E842" t="s">
        <v>74</v>
      </c>
      <c r="F842" t="s">
        <v>16061</v>
      </c>
      <c r="G842" t="s">
        <v>74</v>
      </c>
      <c r="H842" t="s">
        <v>74</v>
      </c>
      <c r="I842" t="s">
        <v>16062</v>
      </c>
      <c r="J842" t="s">
        <v>16063</v>
      </c>
      <c r="K842" t="s">
        <v>74</v>
      </c>
      <c r="L842" t="s">
        <v>74</v>
      </c>
      <c r="M842" t="s">
        <v>78</v>
      </c>
      <c r="N842" t="s">
        <v>79</v>
      </c>
      <c r="O842" t="s">
        <v>74</v>
      </c>
      <c r="P842" t="s">
        <v>74</v>
      </c>
      <c r="Q842" t="s">
        <v>74</v>
      </c>
      <c r="R842" t="s">
        <v>74</v>
      </c>
      <c r="S842" t="s">
        <v>74</v>
      </c>
      <c r="T842" t="s">
        <v>16064</v>
      </c>
      <c r="U842" t="s">
        <v>16065</v>
      </c>
      <c r="V842" t="s">
        <v>16066</v>
      </c>
      <c r="W842" t="s">
        <v>16067</v>
      </c>
      <c r="X842" t="s">
        <v>16068</v>
      </c>
      <c r="Y842" t="s">
        <v>16069</v>
      </c>
      <c r="Z842" t="s">
        <v>16070</v>
      </c>
      <c r="AA842" t="s">
        <v>16071</v>
      </c>
      <c r="AB842" t="s">
        <v>16072</v>
      </c>
      <c r="AC842" t="s">
        <v>16073</v>
      </c>
      <c r="AD842" t="s">
        <v>16073</v>
      </c>
      <c r="AE842" t="s">
        <v>16074</v>
      </c>
      <c r="AF842" t="s">
        <v>74</v>
      </c>
      <c r="AG842">
        <v>44</v>
      </c>
      <c r="AH842">
        <v>11</v>
      </c>
      <c r="AI842">
        <v>12</v>
      </c>
      <c r="AJ842">
        <v>3</v>
      </c>
      <c r="AK842">
        <v>10</v>
      </c>
      <c r="AL842" t="s">
        <v>310</v>
      </c>
      <c r="AM842" t="s">
        <v>311</v>
      </c>
      <c r="AN842" t="s">
        <v>312</v>
      </c>
      <c r="AO842" t="s">
        <v>16075</v>
      </c>
      <c r="AP842" t="s">
        <v>74</v>
      </c>
      <c r="AQ842" t="s">
        <v>74</v>
      </c>
      <c r="AR842" t="s">
        <v>16076</v>
      </c>
      <c r="AS842" t="s">
        <v>16077</v>
      </c>
      <c r="AT842" t="s">
        <v>99</v>
      </c>
      <c r="AU842">
        <v>2022</v>
      </c>
      <c r="AV842">
        <v>32</v>
      </c>
      <c r="AW842" t="s">
        <v>74</v>
      </c>
      <c r="AX842" t="s">
        <v>74</v>
      </c>
      <c r="AY842" t="s">
        <v>74</v>
      </c>
      <c r="AZ842" t="s">
        <v>74</v>
      </c>
      <c r="BA842" t="s">
        <v>74</v>
      </c>
      <c r="BB842" t="s">
        <v>74</v>
      </c>
      <c r="BC842" t="s">
        <v>74</v>
      </c>
      <c r="BD842">
        <v>100598</v>
      </c>
      <c r="BE842" t="s">
        <v>16078</v>
      </c>
      <c r="BF842" t="str">
        <f>HYPERLINK("http://dx.doi.org/10.1016/j.gfs.2021.100598","http://dx.doi.org/10.1016/j.gfs.2021.100598")</f>
        <v>http://dx.doi.org/10.1016/j.gfs.2021.100598</v>
      </c>
      <c r="BG842" t="s">
        <v>74</v>
      </c>
      <c r="BH842" t="s">
        <v>14486</v>
      </c>
      <c r="BI842">
        <v>7</v>
      </c>
      <c r="BJ842" t="s">
        <v>235</v>
      </c>
      <c r="BK842" t="s">
        <v>1034</v>
      </c>
      <c r="BL842" t="s">
        <v>235</v>
      </c>
      <c r="BM842" t="s">
        <v>16079</v>
      </c>
      <c r="BN842" t="s">
        <v>74</v>
      </c>
      <c r="BO842" t="s">
        <v>487</v>
      </c>
      <c r="BP842" t="s">
        <v>74</v>
      </c>
      <c r="BQ842" t="s">
        <v>74</v>
      </c>
      <c r="BR842" t="s">
        <v>106</v>
      </c>
      <c r="BS842" t="s">
        <v>16080</v>
      </c>
      <c r="BT842" t="str">
        <f>HYPERLINK("https%3A%2F%2Fwww.webofscience.com%2Fwos%2Fwoscc%2Ffull-record%2FWOS:000734863100001","View Full Record in Web of Science")</f>
        <v>View Full Record in Web of Science</v>
      </c>
    </row>
    <row r="843" spans="1:72" x14ac:dyDescent="0.15">
      <c r="A843" t="s">
        <v>72</v>
      </c>
      <c r="B843" t="s">
        <v>16081</v>
      </c>
      <c r="C843" t="s">
        <v>74</v>
      </c>
      <c r="D843" t="s">
        <v>74</v>
      </c>
      <c r="E843" t="s">
        <v>74</v>
      </c>
      <c r="F843" t="s">
        <v>16082</v>
      </c>
      <c r="G843" t="s">
        <v>74</v>
      </c>
      <c r="H843" t="s">
        <v>74</v>
      </c>
      <c r="I843" t="s">
        <v>16083</v>
      </c>
      <c r="J843" t="s">
        <v>16084</v>
      </c>
      <c r="K843" t="s">
        <v>74</v>
      </c>
      <c r="L843" t="s">
        <v>74</v>
      </c>
      <c r="M843" t="s">
        <v>78</v>
      </c>
      <c r="N843" t="s">
        <v>79</v>
      </c>
      <c r="O843" t="s">
        <v>74</v>
      </c>
      <c r="P843" t="s">
        <v>74</v>
      </c>
      <c r="Q843" t="s">
        <v>74</v>
      </c>
      <c r="R843" t="s">
        <v>74</v>
      </c>
      <c r="S843" t="s">
        <v>74</v>
      </c>
      <c r="T843" t="s">
        <v>16085</v>
      </c>
      <c r="U843" t="s">
        <v>16086</v>
      </c>
      <c r="V843" t="s">
        <v>16087</v>
      </c>
      <c r="W843" t="s">
        <v>16088</v>
      </c>
      <c r="X843" t="s">
        <v>16089</v>
      </c>
      <c r="Y843" t="s">
        <v>16090</v>
      </c>
      <c r="Z843" t="s">
        <v>16091</v>
      </c>
      <c r="AA843" t="s">
        <v>16092</v>
      </c>
      <c r="AB843" t="s">
        <v>16093</v>
      </c>
      <c r="AC843" t="s">
        <v>16094</v>
      </c>
      <c r="AD843" t="s">
        <v>74</v>
      </c>
      <c r="AE843" t="s">
        <v>16095</v>
      </c>
      <c r="AF843" t="s">
        <v>74</v>
      </c>
      <c r="AG843">
        <v>32</v>
      </c>
      <c r="AH843">
        <v>1</v>
      </c>
      <c r="AI843">
        <v>1</v>
      </c>
      <c r="AJ843">
        <v>1</v>
      </c>
      <c r="AK843">
        <v>2</v>
      </c>
      <c r="AL843" t="s">
        <v>92</v>
      </c>
      <c r="AM843" t="s">
        <v>93</v>
      </c>
      <c r="AN843" t="s">
        <v>94</v>
      </c>
      <c r="AO843" t="s">
        <v>16096</v>
      </c>
      <c r="AP843" t="s">
        <v>16097</v>
      </c>
      <c r="AQ843" t="s">
        <v>74</v>
      </c>
      <c r="AR843" t="s">
        <v>16098</v>
      </c>
      <c r="AS843" t="s">
        <v>16099</v>
      </c>
      <c r="AT843" t="s">
        <v>840</v>
      </c>
      <c r="AU843">
        <v>2022</v>
      </c>
      <c r="AV843">
        <v>278</v>
      </c>
      <c r="AW843" t="s">
        <v>74</v>
      </c>
      <c r="AX843" t="s">
        <v>74</v>
      </c>
      <c r="AY843" t="s">
        <v>74</v>
      </c>
      <c r="AZ843" t="s">
        <v>74</v>
      </c>
      <c r="BA843" t="s">
        <v>74</v>
      </c>
      <c r="BB843" t="s">
        <v>74</v>
      </c>
      <c r="BC843" t="s">
        <v>74</v>
      </c>
      <c r="BD843">
        <v>108028</v>
      </c>
      <c r="BE843" t="s">
        <v>16100</v>
      </c>
      <c r="BF843" t="str">
        <f>HYPERLINK("http://dx.doi.org/10.1016/j.jqsrt.2021.108028","http://dx.doi.org/10.1016/j.jqsrt.2021.108028")</f>
        <v>http://dx.doi.org/10.1016/j.jqsrt.2021.108028</v>
      </c>
      <c r="BG843" t="s">
        <v>74</v>
      </c>
      <c r="BH843" t="s">
        <v>14486</v>
      </c>
      <c r="BI843">
        <v>6</v>
      </c>
      <c r="BJ843" t="s">
        <v>16101</v>
      </c>
      <c r="BK843" t="s">
        <v>103</v>
      </c>
      <c r="BL843" t="s">
        <v>16101</v>
      </c>
      <c r="BM843" t="s">
        <v>16102</v>
      </c>
      <c r="BN843" t="s">
        <v>74</v>
      </c>
      <c r="BO843" t="s">
        <v>74</v>
      </c>
      <c r="BP843" t="s">
        <v>74</v>
      </c>
      <c r="BQ843" t="s">
        <v>74</v>
      </c>
      <c r="BR843" t="s">
        <v>106</v>
      </c>
      <c r="BS843" t="s">
        <v>16103</v>
      </c>
      <c r="BT843" t="str">
        <f>HYPERLINK("https%3A%2F%2Fwww.webofscience.com%2Fwos%2Fwoscc%2Ffull-record%2FWOS:000734860200003","View Full Record in Web of Science")</f>
        <v>View Full Record in Web of Science</v>
      </c>
    </row>
    <row r="844" spans="1:72" x14ac:dyDescent="0.15">
      <c r="A844" t="s">
        <v>72</v>
      </c>
      <c r="B844" t="s">
        <v>16104</v>
      </c>
      <c r="C844" t="s">
        <v>74</v>
      </c>
      <c r="D844" t="s">
        <v>74</v>
      </c>
      <c r="E844" t="s">
        <v>74</v>
      </c>
      <c r="F844" t="s">
        <v>16105</v>
      </c>
      <c r="G844" t="s">
        <v>74</v>
      </c>
      <c r="H844" t="s">
        <v>74</v>
      </c>
      <c r="I844" t="s">
        <v>16106</v>
      </c>
      <c r="J844" t="s">
        <v>16107</v>
      </c>
      <c r="K844" t="s">
        <v>74</v>
      </c>
      <c r="L844" t="s">
        <v>74</v>
      </c>
      <c r="M844" t="s">
        <v>78</v>
      </c>
      <c r="N844" t="s">
        <v>79</v>
      </c>
      <c r="O844" t="s">
        <v>74</v>
      </c>
      <c r="P844" t="s">
        <v>74</v>
      </c>
      <c r="Q844" t="s">
        <v>74</v>
      </c>
      <c r="R844" t="s">
        <v>74</v>
      </c>
      <c r="S844" t="s">
        <v>74</v>
      </c>
      <c r="T844" t="s">
        <v>16108</v>
      </c>
      <c r="U844" t="s">
        <v>16109</v>
      </c>
      <c r="V844" t="s">
        <v>16110</v>
      </c>
      <c r="W844" t="s">
        <v>16111</v>
      </c>
      <c r="X844" t="s">
        <v>16112</v>
      </c>
      <c r="Y844" t="s">
        <v>16113</v>
      </c>
      <c r="Z844" t="s">
        <v>16114</v>
      </c>
      <c r="AA844" t="s">
        <v>16115</v>
      </c>
      <c r="AB844" t="s">
        <v>16116</v>
      </c>
      <c r="AC844" t="s">
        <v>74</v>
      </c>
      <c r="AD844" t="s">
        <v>74</v>
      </c>
      <c r="AE844" t="s">
        <v>74</v>
      </c>
      <c r="AF844" t="s">
        <v>74</v>
      </c>
      <c r="AG844">
        <v>113</v>
      </c>
      <c r="AH844">
        <v>0</v>
      </c>
      <c r="AI844">
        <v>0</v>
      </c>
      <c r="AJ844">
        <v>0</v>
      </c>
      <c r="AK844">
        <v>8</v>
      </c>
      <c r="AL844" t="s">
        <v>92</v>
      </c>
      <c r="AM844" t="s">
        <v>93</v>
      </c>
      <c r="AN844" t="s">
        <v>94</v>
      </c>
      <c r="AO844" t="s">
        <v>16117</v>
      </c>
      <c r="AP844" t="s">
        <v>16118</v>
      </c>
      <c r="AQ844" t="s">
        <v>74</v>
      </c>
      <c r="AR844" t="s">
        <v>16119</v>
      </c>
      <c r="AS844" t="s">
        <v>16120</v>
      </c>
      <c r="AT844" t="s">
        <v>6272</v>
      </c>
      <c r="AU844">
        <v>2022</v>
      </c>
      <c r="AV844">
        <v>289</v>
      </c>
      <c r="AW844" t="s">
        <v>74</v>
      </c>
      <c r="AX844" t="s">
        <v>74</v>
      </c>
      <c r="AY844" t="s">
        <v>74</v>
      </c>
      <c r="AZ844" t="s">
        <v>74</v>
      </c>
      <c r="BA844" t="s">
        <v>74</v>
      </c>
      <c r="BB844" t="s">
        <v>74</v>
      </c>
      <c r="BC844" t="s">
        <v>74</v>
      </c>
      <c r="BD844">
        <v>120222</v>
      </c>
      <c r="BE844" t="s">
        <v>16121</v>
      </c>
      <c r="BF844" t="str">
        <f>HYPERLINK("http://dx.doi.org/10.1016/j.lfs.2021.120222","http://dx.doi.org/10.1016/j.lfs.2021.120222")</f>
        <v>http://dx.doi.org/10.1016/j.lfs.2021.120222</v>
      </c>
      <c r="BG844" t="s">
        <v>74</v>
      </c>
      <c r="BH844" t="s">
        <v>14486</v>
      </c>
      <c r="BI844">
        <v>11</v>
      </c>
      <c r="BJ844" t="s">
        <v>16122</v>
      </c>
      <c r="BK844" t="s">
        <v>103</v>
      </c>
      <c r="BL844" t="s">
        <v>16123</v>
      </c>
      <c r="BM844" t="s">
        <v>16124</v>
      </c>
      <c r="BN844">
        <v>34902436</v>
      </c>
      <c r="BO844" t="s">
        <v>74</v>
      </c>
      <c r="BP844" t="s">
        <v>74</v>
      </c>
      <c r="BQ844" t="s">
        <v>74</v>
      </c>
      <c r="BR844" t="s">
        <v>106</v>
      </c>
      <c r="BS844" t="s">
        <v>16125</v>
      </c>
      <c r="BT844" t="str">
        <f>HYPERLINK("https%3A%2F%2Fwww.webofscience.com%2Fwos%2Fwoscc%2Ffull-record%2FWOS:000732816300005","View Full Record in Web of Science")</f>
        <v>View Full Record in Web of Science</v>
      </c>
    </row>
    <row r="845" spans="1:72" x14ac:dyDescent="0.15">
      <c r="A845" t="s">
        <v>72</v>
      </c>
      <c r="B845" t="s">
        <v>16126</v>
      </c>
      <c r="C845" t="s">
        <v>74</v>
      </c>
      <c r="D845" t="s">
        <v>74</v>
      </c>
      <c r="E845" t="s">
        <v>74</v>
      </c>
      <c r="F845" t="s">
        <v>16127</v>
      </c>
      <c r="G845" t="s">
        <v>74</v>
      </c>
      <c r="H845" t="s">
        <v>74</v>
      </c>
      <c r="I845" t="s">
        <v>16128</v>
      </c>
      <c r="J845" t="s">
        <v>1397</v>
      </c>
      <c r="K845" t="s">
        <v>74</v>
      </c>
      <c r="L845" t="s">
        <v>74</v>
      </c>
      <c r="M845" t="s">
        <v>78</v>
      </c>
      <c r="N845" t="s">
        <v>79</v>
      </c>
      <c r="O845" t="s">
        <v>74</v>
      </c>
      <c r="P845" t="s">
        <v>74</v>
      </c>
      <c r="Q845" t="s">
        <v>74</v>
      </c>
      <c r="R845" t="s">
        <v>74</v>
      </c>
      <c r="S845" t="s">
        <v>74</v>
      </c>
      <c r="T845" t="s">
        <v>74</v>
      </c>
      <c r="U845" t="s">
        <v>16129</v>
      </c>
      <c r="V845" t="s">
        <v>16130</v>
      </c>
      <c r="W845" t="s">
        <v>16131</v>
      </c>
      <c r="X845" t="s">
        <v>16132</v>
      </c>
      <c r="Y845" t="s">
        <v>16133</v>
      </c>
      <c r="Z845" t="s">
        <v>16134</v>
      </c>
      <c r="AA845" t="s">
        <v>16135</v>
      </c>
      <c r="AB845" t="s">
        <v>16136</v>
      </c>
      <c r="AC845" t="s">
        <v>16137</v>
      </c>
      <c r="AD845" t="s">
        <v>16138</v>
      </c>
      <c r="AE845" t="s">
        <v>16139</v>
      </c>
      <c r="AF845" t="s">
        <v>74</v>
      </c>
      <c r="AG845">
        <v>54</v>
      </c>
      <c r="AH845">
        <v>2</v>
      </c>
      <c r="AI845">
        <v>2</v>
      </c>
      <c r="AJ845">
        <v>6</v>
      </c>
      <c r="AK845">
        <v>13</v>
      </c>
      <c r="AL845" t="s">
        <v>120</v>
      </c>
      <c r="AM845" t="s">
        <v>121</v>
      </c>
      <c r="AN845" t="s">
        <v>122</v>
      </c>
      <c r="AO845" t="s">
        <v>1409</v>
      </c>
      <c r="AP845" t="s">
        <v>1410</v>
      </c>
      <c r="AQ845" t="s">
        <v>74</v>
      </c>
      <c r="AR845" t="s">
        <v>1397</v>
      </c>
      <c r="AS845" t="s">
        <v>1411</v>
      </c>
      <c r="AT845" t="s">
        <v>16040</v>
      </c>
      <c r="AU845">
        <v>2021</v>
      </c>
      <c r="AV845">
        <v>15</v>
      </c>
      <c r="AW845">
        <v>12</v>
      </c>
      <c r="AX845" t="s">
        <v>74</v>
      </c>
      <c r="AY845" t="s">
        <v>74</v>
      </c>
      <c r="AZ845" t="s">
        <v>74</v>
      </c>
      <c r="BA845" t="s">
        <v>74</v>
      </c>
      <c r="BB845">
        <v>5639</v>
      </c>
      <c r="BC845">
        <v>5658</v>
      </c>
      <c r="BD845" t="s">
        <v>74</v>
      </c>
      <c r="BE845" t="s">
        <v>16140</v>
      </c>
      <c r="BF845" t="str">
        <f>HYPERLINK("http://dx.doi.org/10.5194/tc-15-5639-2021","http://dx.doi.org/10.5194/tc-15-5639-2021")</f>
        <v>http://dx.doi.org/10.5194/tc-15-5639-2021</v>
      </c>
      <c r="BG845" t="s">
        <v>74</v>
      </c>
      <c r="BH845" t="s">
        <v>74</v>
      </c>
      <c r="BI845">
        <v>20</v>
      </c>
      <c r="BJ845" t="s">
        <v>208</v>
      </c>
      <c r="BK845" t="s">
        <v>103</v>
      </c>
      <c r="BL845" t="s">
        <v>209</v>
      </c>
      <c r="BM845" t="s">
        <v>16141</v>
      </c>
      <c r="BN845" t="s">
        <v>74</v>
      </c>
      <c r="BO845" t="s">
        <v>2069</v>
      </c>
      <c r="BP845" t="s">
        <v>74</v>
      </c>
      <c r="BQ845" t="s">
        <v>74</v>
      </c>
      <c r="BR845" t="s">
        <v>106</v>
      </c>
      <c r="BS845" t="s">
        <v>16142</v>
      </c>
      <c r="BT845" t="str">
        <f>HYPERLINK("https%3A%2F%2Fwww.webofscience.com%2Fwos%2Fwoscc%2Ffull-record%2FWOS:000730071200001","View Full Record in Web of Science")</f>
        <v>View Full Record in Web of Science</v>
      </c>
    </row>
    <row r="846" spans="1:72" x14ac:dyDescent="0.15">
      <c r="A846" t="s">
        <v>72</v>
      </c>
      <c r="B846" t="s">
        <v>16143</v>
      </c>
      <c r="C846" t="s">
        <v>74</v>
      </c>
      <c r="D846" t="s">
        <v>74</v>
      </c>
      <c r="E846" t="s">
        <v>74</v>
      </c>
      <c r="F846" t="s">
        <v>16144</v>
      </c>
      <c r="G846" t="s">
        <v>74</v>
      </c>
      <c r="H846" t="s">
        <v>74</v>
      </c>
      <c r="I846" t="s">
        <v>16145</v>
      </c>
      <c r="J846" t="s">
        <v>400</v>
      </c>
      <c r="K846" t="s">
        <v>74</v>
      </c>
      <c r="L846" t="s">
        <v>74</v>
      </c>
      <c r="M846" t="s">
        <v>78</v>
      </c>
      <c r="N846" t="s">
        <v>79</v>
      </c>
      <c r="O846" t="s">
        <v>74</v>
      </c>
      <c r="P846" t="s">
        <v>74</v>
      </c>
      <c r="Q846" t="s">
        <v>74</v>
      </c>
      <c r="R846" t="s">
        <v>74</v>
      </c>
      <c r="S846" t="s">
        <v>74</v>
      </c>
      <c r="T846" t="s">
        <v>74</v>
      </c>
      <c r="U846" t="s">
        <v>16146</v>
      </c>
      <c r="V846" t="s">
        <v>16147</v>
      </c>
      <c r="W846" t="s">
        <v>16148</v>
      </c>
      <c r="X846" t="s">
        <v>16149</v>
      </c>
      <c r="Y846" t="s">
        <v>16150</v>
      </c>
      <c r="Z846" t="s">
        <v>16151</v>
      </c>
      <c r="AA846" t="s">
        <v>74</v>
      </c>
      <c r="AB846" t="s">
        <v>16152</v>
      </c>
      <c r="AC846" t="s">
        <v>16153</v>
      </c>
      <c r="AD846" t="s">
        <v>16154</v>
      </c>
      <c r="AE846" t="s">
        <v>16155</v>
      </c>
      <c r="AF846" t="s">
        <v>74</v>
      </c>
      <c r="AG846">
        <v>116</v>
      </c>
      <c r="AH846">
        <v>14</v>
      </c>
      <c r="AI846">
        <v>16</v>
      </c>
      <c r="AJ846">
        <v>2</v>
      </c>
      <c r="AK846">
        <v>13</v>
      </c>
      <c r="AL846" t="s">
        <v>120</v>
      </c>
      <c r="AM846" t="s">
        <v>121</v>
      </c>
      <c r="AN846" t="s">
        <v>122</v>
      </c>
      <c r="AO846" t="s">
        <v>412</v>
      </c>
      <c r="AP846" t="s">
        <v>413</v>
      </c>
      <c r="AQ846" t="s">
        <v>74</v>
      </c>
      <c r="AR846" t="s">
        <v>400</v>
      </c>
      <c r="AS846" t="s">
        <v>414</v>
      </c>
      <c r="AT846" t="s">
        <v>16040</v>
      </c>
      <c r="AU846">
        <v>2021</v>
      </c>
      <c r="AV846">
        <v>18</v>
      </c>
      <c r="AW846">
        <v>23</v>
      </c>
      <c r="AX846" t="s">
        <v>74</v>
      </c>
      <c r="AY846" t="s">
        <v>74</v>
      </c>
      <c r="AZ846" t="s">
        <v>74</v>
      </c>
      <c r="BA846" t="s">
        <v>74</v>
      </c>
      <c r="BB846">
        <v>6349</v>
      </c>
      <c r="BC846">
        <v>6375</v>
      </c>
      <c r="BD846" t="s">
        <v>74</v>
      </c>
      <c r="BE846" t="s">
        <v>16156</v>
      </c>
      <c r="BF846" t="str">
        <f>HYPERLINK("http://dx.doi.org/10.5194/bg-18-6349-2021","http://dx.doi.org/10.5194/bg-18-6349-2021")</f>
        <v>http://dx.doi.org/10.5194/bg-18-6349-2021</v>
      </c>
      <c r="BG846" t="s">
        <v>74</v>
      </c>
      <c r="BH846" t="s">
        <v>74</v>
      </c>
      <c r="BI846">
        <v>27</v>
      </c>
      <c r="BJ846" t="s">
        <v>416</v>
      </c>
      <c r="BK846" t="s">
        <v>103</v>
      </c>
      <c r="BL846" t="s">
        <v>417</v>
      </c>
      <c r="BM846" t="s">
        <v>16157</v>
      </c>
      <c r="BN846" t="s">
        <v>74</v>
      </c>
      <c r="BO846" t="s">
        <v>796</v>
      </c>
      <c r="BP846" t="s">
        <v>74</v>
      </c>
      <c r="BQ846" t="s">
        <v>74</v>
      </c>
      <c r="BR846" t="s">
        <v>106</v>
      </c>
      <c r="BS846" t="s">
        <v>16158</v>
      </c>
      <c r="BT846" t="str">
        <f>HYPERLINK("https%3A%2F%2Fwww.webofscience.com%2Fwos%2Fwoscc%2Ffull-record%2FWOS:000730172500001","View Full Record in Web of Science")</f>
        <v>View Full Record in Web of Science</v>
      </c>
    </row>
    <row r="847" spans="1:72" x14ac:dyDescent="0.15">
      <c r="A847" t="s">
        <v>72</v>
      </c>
      <c r="B847" t="s">
        <v>16159</v>
      </c>
      <c r="C847" t="s">
        <v>74</v>
      </c>
      <c r="D847" t="s">
        <v>74</v>
      </c>
      <c r="E847" t="s">
        <v>74</v>
      </c>
      <c r="F847" t="s">
        <v>16160</v>
      </c>
      <c r="G847" t="s">
        <v>74</v>
      </c>
      <c r="H847" t="s">
        <v>74</v>
      </c>
      <c r="I847" t="s">
        <v>16161</v>
      </c>
      <c r="J847" t="s">
        <v>16162</v>
      </c>
      <c r="K847" t="s">
        <v>74</v>
      </c>
      <c r="L847" t="s">
        <v>74</v>
      </c>
      <c r="M847" t="s">
        <v>78</v>
      </c>
      <c r="N847" t="s">
        <v>79</v>
      </c>
      <c r="O847" t="s">
        <v>74</v>
      </c>
      <c r="P847" t="s">
        <v>74</v>
      </c>
      <c r="Q847" t="s">
        <v>74</v>
      </c>
      <c r="R847" t="s">
        <v>74</v>
      </c>
      <c r="S847" t="s">
        <v>74</v>
      </c>
      <c r="T847" t="s">
        <v>16163</v>
      </c>
      <c r="U847" t="s">
        <v>16164</v>
      </c>
      <c r="V847" t="s">
        <v>16165</v>
      </c>
      <c r="W847" t="s">
        <v>16166</v>
      </c>
      <c r="X847" t="s">
        <v>16167</v>
      </c>
      <c r="Y847" t="s">
        <v>16168</v>
      </c>
      <c r="Z847" t="s">
        <v>16169</v>
      </c>
      <c r="AA847" t="s">
        <v>16170</v>
      </c>
      <c r="AB847" t="s">
        <v>16171</v>
      </c>
      <c r="AC847" t="s">
        <v>16172</v>
      </c>
      <c r="AD847" t="s">
        <v>16173</v>
      </c>
      <c r="AE847" t="s">
        <v>16174</v>
      </c>
      <c r="AF847" t="s">
        <v>74</v>
      </c>
      <c r="AG847">
        <v>102</v>
      </c>
      <c r="AH847">
        <v>11</v>
      </c>
      <c r="AI847">
        <v>11</v>
      </c>
      <c r="AJ847">
        <v>1</v>
      </c>
      <c r="AK847">
        <v>15</v>
      </c>
      <c r="AL847" t="s">
        <v>171</v>
      </c>
      <c r="AM847" t="s">
        <v>172</v>
      </c>
      <c r="AN847" t="s">
        <v>173</v>
      </c>
      <c r="AO847" t="s">
        <v>16175</v>
      </c>
      <c r="AP847" t="s">
        <v>16176</v>
      </c>
      <c r="AQ847" t="s">
        <v>74</v>
      </c>
      <c r="AR847" t="s">
        <v>16177</v>
      </c>
      <c r="AS847" t="s">
        <v>16178</v>
      </c>
      <c r="AT847" t="s">
        <v>840</v>
      </c>
      <c r="AU847">
        <v>2022</v>
      </c>
      <c r="AV847">
        <v>92</v>
      </c>
      <c r="AW847">
        <v>1</v>
      </c>
      <c r="AX847" t="s">
        <v>74</v>
      </c>
      <c r="AY847" t="s">
        <v>74</v>
      </c>
      <c r="AZ847" t="s">
        <v>74</v>
      </c>
      <c r="BA847" t="s">
        <v>74</v>
      </c>
      <c r="BB847" t="s">
        <v>74</v>
      </c>
      <c r="BC847" t="s">
        <v>74</v>
      </c>
      <c r="BD847" t="s">
        <v>16179</v>
      </c>
      <c r="BE847" t="s">
        <v>16180</v>
      </c>
      <c r="BF847" t="str">
        <f>HYPERLINK("http://dx.doi.org/10.1002/ecm.1495","http://dx.doi.org/10.1002/ecm.1495")</f>
        <v>http://dx.doi.org/10.1002/ecm.1495</v>
      </c>
      <c r="BG847" t="s">
        <v>74</v>
      </c>
      <c r="BH847" t="s">
        <v>14486</v>
      </c>
      <c r="BI847">
        <v>19</v>
      </c>
      <c r="BJ847" t="s">
        <v>1723</v>
      </c>
      <c r="BK847" t="s">
        <v>103</v>
      </c>
      <c r="BL847" t="s">
        <v>1561</v>
      </c>
      <c r="BM847" t="s">
        <v>16181</v>
      </c>
      <c r="BN847" t="s">
        <v>74</v>
      </c>
      <c r="BO847" t="s">
        <v>796</v>
      </c>
      <c r="BP847" t="s">
        <v>74</v>
      </c>
      <c r="BQ847" t="s">
        <v>74</v>
      </c>
      <c r="BR847" t="s">
        <v>106</v>
      </c>
      <c r="BS847" t="s">
        <v>16182</v>
      </c>
      <c r="BT847" t="str">
        <f>HYPERLINK("https%3A%2F%2Fwww.webofscience.com%2Fwos%2Fwoscc%2Ffull-record%2FWOS:000729435400001","View Full Record in Web of Science")</f>
        <v>View Full Record in Web of Science</v>
      </c>
    </row>
    <row r="848" spans="1:72" x14ac:dyDescent="0.15">
      <c r="A848" t="s">
        <v>72</v>
      </c>
      <c r="B848" t="s">
        <v>16183</v>
      </c>
      <c r="C848" t="s">
        <v>74</v>
      </c>
      <c r="D848" t="s">
        <v>74</v>
      </c>
      <c r="E848" t="s">
        <v>74</v>
      </c>
      <c r="F848" t="s">
        <v>16184</v>
      </c>
      <c r="G848" t="s">
        <v>74</v>
      </c>
      <c r="H848" t="s">
        <v>74</v>
      </c>
      <c r="I848" t="s">
        <v>16185</v>
      </c>
      <c r="J848" t="s">
        <v>6161</v>
      </c>
      <c r="K848" t="s">
        <v>74</v>
      </c>
      <c r="L848" t="s">
        <v>74</v>
      </c>
      <c r="M848" t="s">
        <v>78</v>
      </c>
      <c r="N848" t="s">
        <v>79</v>
      </c>
      <c r="O848" t="s">
        <v>74</v>
      </c>
      <c r="P848" t="s">
        <v>74</v>
      </c>
      <c r="Q848" t="s">
        <v>74</v>
      </c>
      <c r="R848" t="s">
        <v>74</v>
      </c>
      <c r="S848" t="s">
        <v>74</v>
      </c>
      <c r="T848" t="s">
        <v>16186</v>
      </c>
      <c r="U848" t="s">
        <v>16187</v>
      </c>
      <c r="V848" t="s">
        <v>16188</v>
      </c>
      <c r="W848" t="s">
        <v>16189</v>
      </c>
      <c r="X848" t="s">
        <v>16190</v>
      </c>
      <c r="Y848" t="s">
        <v>16191</v>
      </c>
      <c r="Z848" t="s">
        <v>16192</v>
      </c>
      <c r="AA848" t="s">
        <v>16193</v>
      </c>
      <c r="AB848" t="s">
        <v>16194</v>
      </c>
      <c r="AC848" t="s">
        <v>16195</v>
      </c>
      <c r="AD848" t="s">
        <v>16196</v>
      </c>
      <c r="AE848" t="s">
        <v>16197</v>
      </c>
      <c r="AF848" t="s">
        <v>74</v>
      </c>
      <c r="AG848">
        <v>56</v>
      </c>
      <c r="AH848">
        <v>10</v>
      </c>
      <c r="AI848">
        <v>10</v>
      </c>
      <c r="AJ848">
        <v>6</v>
      </c>
      <c r="AK848">
        <v>36</v>
      </c>
      <c r="AL848" t="s">
        <v>92</v>
      </c>
      <c r="AM848" t="s">
        <v>93</v>
      </c>
      <c r="AN848" t="s">
        <v>94</v>
      </c>
      <c r="AO848" t="s">
        <v>6173</v>
      </c>
      <c r="AP848" t="s">
        <v>6174</v>
      </c>
      <c r="AQ848" t="s">
        <v>74</v>
      </c>
      <c r="AR848" t="s">
        <v>6161</v>
      </c>
      <c r="AS848" t="s">
        <v>6175</v>
      </c>
      <c r="AT848" t="s">
        <v>840</v>
      </c>
      <c r="AU848">
        <v>2022</v>
      </c>
      <c r="AV848">
        <v>288</v>
      </c>
      <c r="AW848" t="s">
        <v>74</v>
      </c>
      <c r="AX848">
        <v>3</v>
      </c>
      <c r="AY848" t="s">
        <v>74</v>
      </c>
      <c r="AZ848" t="s">
        <v>74</v>
      </c>
      <c r="BA848" t="s">
        <v>74</v>
      </c>
      <c r="BB848" t="s">
        <v>74</v>
      </c>
      <c r="BC848" t="s">
        <v>74</v>
      </c>
      <c r="BD848">
        <v>132637</v>
      </c>
      <c r="BE848" t="s">
        <v>16198</v>
      </c>
      <c r="BF848" t="str">
        <f>HYPERLINK("http://dx.doi.org/10.1016/j.chemosphere.2021.132637","http://dx.doi.org/10.1016/j.chemosphere.2021.132637")</f>
        <v>http://dx.doi.org/10.1016/j.chemosphere.2021.132637</v>
      </c>
      <c r="BG848" t="s">
        <v>74</v>
      </c>
      <c r="BH848" t="s">
        <v>14486</v>
      </c>
      <c r="BI848">
        <v>9</v>
      </c>
      <c r="BJ848" t="s">
        <v>1560</v>
      </c>
      <c r="BK848" t="s">
        <v>103</v>
      </c>
      <c r="BL848" t="s">
        <v>1561</v>
      </c>
      <c r="BM848" t="s">
        <v>16199</v>
      </c>
      <c r="BN848">
        <v>34715110</v>
      </c>
      <c r="BO848" t="s">
        <v>1762</v>
      </c>
      <c r="BP848" t="s">
        <v>74</v>
      </c>
      <c r="BQ848" t="s">
        <v>74</v>
      </c>
      <c r="BR848" t="s">
        <v>106</v>
      </c>
      <c r="BS848" t="s">
        <v>16200</v>
      </c>
      <c r="BT848" t="str">
        <f>HYPERLINK("https%3A%2F%2Fwww.webofscience.com%2Fwos%2Fwoscc%2Ffull-record%2FWOS:000739393100005","View Full Record in Web of Science")</f>
        <v>View Full Record in Web of Science</v>
      </c>
    </row>
    <row r="849" spans="1:72" x14ac:dyDescent="0.15">
      <c r="A849" t="s">
        <v>72</v>
      </c>
      <c r="B849" t="s">
        <v>16201</v>
      </c>
      <c r="C849" t="s">
        <v>74</v>
      </c>
      <c r="D849" t="s">
        <v>74</v>
      </c>
      <c r="E849" t="s">
        <v>74</v>
      </c>
      <c r="F849" t="s">
        <v>16202</v>
      </c>
      <c r="G849" t="s">
        <v>74</v>
      </c>
      <c r="H849" t="s">
        <v>74</v>
      </c>
      <c r="I849" t="s">
        <v>16203</v>
      </c>
      <c r="J849" t="s">
        <v>4683</v>
      </c>
      <c r="K849" t="s">
        <v>74</v>
      </c>
      <c r="L849" t="s">
        <v>74</v>
      </c>
      <c r="M849" t="s">
        <v>78</v>
      </c>
      <c r="N849" t="s">
        <v>79</v>
      </c>
      <c r="O849" t="s">
        <v>74</v>
      </c>
      <c r="P849" t="s">
        <v>74</v>
      </c>
      <c r="Q849" t="s">
        <v>74</v>
      </c>
      <c r="R849" t="s">
        <v>74</v>
      </c>
      <c r="S849" t="s">
        <v>74</v>
      </c>
      <c r="T849" t="s">
        <v>16204</v>
      </c>
      <c r="U849" t="s">
        <v>16205</v>
      </c>
      <c r="V849" t="s">
        <v>16206</v>
      </c>
      <c r="W849" t="s">
        <v>16207</v>
      </c>
      <c r="X849" t="s">
        <v>16208</v>
      </c>
      <c r="Y849" t="s">
        <v>16209</v>
      </c>
      <c r="Z849" t="s">
        <v>16210</v>
      </c>
      <c r="AA849" t="s">
        <v>16211</v>
      </c>
      <c r="AB849" t="s">
        <v>16212</v>
      </c>
      <c r="AC849" t="s">
        <v>16213</v>
      </c>
      <c r="AD849" t="s">
        <v>16214</v>
      </c>
      <c r="AE849" t="s">
        <v>16215</v>
      </c>
      <c r="AF849" t="s">
        <v>74</v>
      </c>
      <c r="AG849">
        <v>70</v>
      </c>
      <c r="AH849">
        <v>15</v>
      </c>
      <c r="AI849">
        <v>15</v>
      </c>
      <c r="AJ849">
        <v>16</v>
      </c>
      <c r="AK849">
        <v>94</v>
      </c>
      <c r="AL849" t="s">
        <v>310</v>
      </c>
      <c r="AM849" t="s">
        <v>311</v>
      </c>
      <c r="AN849" t="s">
        <v>312</v>
      </c>
      <c r="AO849" t="s">
        <v>4696</v>
      </c>
      <c r="AP849" t="s">
        <v>4697</v>
      </c>
      <c r="AQ849" t="s">
        <v>74</v>
      </c>
      <c r="AR849" t="s">
        <v>4698</v>
      </c>
      <c r="AS849" t="s">
        <v>4699</v>
      </c>
      <c r="AT849" t="s">
        <v>16216</v>
      </c>
      <c r="AU849">
        <v>2022</v>
      </c>
      <c r="AV849">
        <v>809</v>
      </c>
      <c r="AW849" t="s">
        <v>74</v>
      </c>
      <c r="AX849" t="s">
        <v>74</v>
      </c>
      <c r="AY849" t="s">
        <v>74</v>
      </c>
      <c r="AZ849" t="s">
        <v>74</v>
      </c>
      <c r="BA849" t="s">
        <v>74</v>
      </c>
      <c r="BB849" t="s">
        <v>74</v>
      </c>
      <c r="BC849" t="s">
        <v>74</v>
      </c>
      <c r="BD849">
        <v>151937</v>
      </c>
      <c r="BE849" t="s">
        <v>16217</v>
      </c>
      <c r="BF849" t="str">
        <f>HYPERLINK("http://dx.doi.org/10.1016/j.scitotenv.2021.151937","http://dx.doi.org/10.1016/j.scitotenv.2021.151937")</f>
        <v>http://dx.doi.org/10.1016/j.scitotenv.2021.151937</v>
      </c>
      <c r="BG849" t="s">
        <v>74</v>
      </c>
      <c r="BH849" t="s">
        <v>14486</v>
      </c>
      <c r="BI849">
        <v>12</v>
      </c>
      <c r="BJ849" t="s">
        <v>1560</v>
      </c>
      <c r="BK849" t="s">
        <v>103</v>
      </c>
      <c r="BL849" t="s">
        <v>1561</v>
      </c>
      <c r="BM849" t="s">
        <v>16218</v>
      </c>
      <c r="BN849">
        <v>34838907</v>
      </c>
      <c r="BO849" t="s">
        <v>74</v>
      </c>
      <c r="BP849" t="s">
        <v>74</v>
      </c>
      <c r="BQ849" t="s">
        <v>74</v>
      </c>
      <c r="BR849" t="s">
        <v>106</v>
      </c>
      <c r="BS849" t="s">
        <v>16219</v>
      </c>
      <c r="BT849" t="str">
        <f>HYPERLINK("https%3A%2F%2Fwww.webofscience.com%2Fwos%2Fwoscc%2Ffull-record%2FWOS:000740206700002","View Full Record in Web of Science")</f>
        <v>View Full Record in Web of Science</v>
      </c>
    </row>
    <row r="850" spans="1:72" x14ac:dyDescent="0.15">
      <c r="A850" t="s">
        <v>72</v>
      </c>
      <c r="B850" t="s">
        <v>16220</v>
      </c>
      <c r="C850" t="s">
        <v>74</v>
      </c>
      <c r="D850" t="s">
        <v>74</v>
      </c>
      <c r="E850" t="s">
        <v>74</v>
      </c>
      <c r="F850" t="s">
        <v>16221</v>
      </c>
      <c r="G850" t="s">
        <v>74</v>
      </c>
      <c r="H850" t="s">
        <v>74</v>
      </c>
      <c r="I850" t="s">
        <v>16222</v>
      </c>
      <c r="J850" t="s">
        <v>847</v>
      </c>
      <c r="K850" t="s">
        <v>74</v>
      </c>
      <c r="L850" t="s">
        <v>74</v>
      </c>
      <c r="M850" t="s">
        <v>78</v>
      </c>
      <c r="N850" t="s">
        <v>79</v>
      </c>
      <c r="O850" t="s">
        <v>74</v>
      </c>
      <c r="P850" t="s">
        <v>74</v>
      </c>
      <c r="Q850" t="s">
        <v>74</v>
      </c>
      <c r="R850" t="s">
        <v>74</v>
      </c>
      <c r="S850" t="s">
        <v>74</v>
      </c>
      <c r="T850" t="s">
        <v>16223</v>
      </c>
      <c r="U850" t="s">
        <v>16224</v>
      </c>
      <c r="V850" t="s">
        <v>16225</v>
      </c>
      <c r="W850" t="s">
        <v>16226</v>
      </c>
      <c r="X850" t="s">
        <v>16227</v>
      </c>
      <c r="Y850" t="s">
        <v>16228</v>
      </c>
      <c r="Z850" t="s">
        <v>16229</v>
      </c>
      <c r="AA850" t="s">
        <v>3580</v>
      </c>
      <c r="AB850" t="s">
        <v>16230</v>
      </c>
      <c r="AC850" t="s">
        <v>16231</v>
      </c>
      <c r="AD850" t="s">
        <v>8039</v>
      </c>
      <c r="AE850" t="s">
        <v>16232</v>
      </c>
      <c r="AF850" t="s">
        <v>74</v>
      </c>
      <c r="AG850">
        <v>61</v>
      </c>
      <c r="AH850">
        <v>2</v>
      </c>
      <c r="AI850">
        <v>2</v>
      </c>
      <c r="AJ850">
        <v>0</v>
      </c>
      <c r="AK850">
        <v>6</v>
      </c>
      <c r="AL850" t="s">
        <v>814</v>
      </c>
      <c r="AM850" t="s">
        <v>93</v>
      </c>
      <c r="AN850" t="s">
        <v>815</v>
      </c>
      <c r="AO850" t="s">
        <v>857</v>
      </c>
      <c r="AP850" t="s">
        <v>858</v>
      </c>
      <c r="AQ850" t="s">
        <v>74</v>
      </c>
      <c r="AR850" t="s">
        <v>859</v>
      </c>
      <c r="AS850" t="s">
        <v>860</v>
      </c>
      <c r="AT850" t="s">
        <v>840</v>
      </c>
      <c r="AU850">
        <v>2022</v>
      </c>
      <c r="AV850">
        <v>136</v>
      </c>
      <c r="AW850" t="s">
        <v>74</v>
      </c>
      <c r="AX850" t="s">
        <v>74</v>
      </c>
      <c r="AY850" t="s">
        <v>74</v>
      </c>
      <c r="AZ850" t="s">
        <v>74</v>
      </c>
      <c r="BA850" t="s">
        <v>74</v>
      </c>
      <c r="BB850" t="s">
        <v>74</v>
      </c>
      <c r="BC850" t="s">
        <v>74</v>
      </c>
      <c r="BD850">
        <v>104903</v>
      </c>
      <c r="BE850" t="s">
        <v>16233</v>
      </c>
      <c r="BF850" t="str">
        <f>HYPERLINK("http://dx.doi.org/10.1016/j.marpol.2021.104903","http://dx.doi.org/10.1016/j.marpol.2021.104903")</f>
        <v>http://dx.doi.org/10.1016/j.marpol.2021.104903</v>
      </c>
      <c r="BG850" t="s">
        <v>74</v>
      </c>
      <c r="BH850" t="s">
        <v>14486</v>
      </c>
      <c r="BI850">
        <v>11</v>
      </c>
      <c r="BJ850" t="s">
        <v>862</v>
      </c>
      <c r="BK850" t="s">
        <v>863</v>
      </c>
      <c r="BL850" t="s">
        <v>864</v>
      </c>
      <c r="BM850" t="s">
        <v>16234</v>
      </c>
      <c r="BN850" t="s">
        <v>74</v>
      </c>
      <c r="BO850" t="s">
        <v>1336</v>
      </c>
      <c r="BP850" t="s">
        <v>74</v>
      </c>
      <c r="BQ850" t="s">
        <v>74</v>
      </c>
      <c r="BR850" t="s">
        <v>106</v>
      </c>
      <c r="BS850" t="s">
        <v>16235</v>
      </c>
      <c r="BT850" t="str">
        <f>HYPERLINK("https%3A%2F%2Fwww.webofscience.com%2Fwos%2Fwoscc%2Ffull-record%2FWOS:000736670300003","View Full Record in Web of Science")</f>
        <v>View Full Record in Web of Science</v>
      </c>
    </row>
    <row r="851" spans="1:72" x14ac:dyDescent="0.15">
      <c r="A851" t="s">
        <v>72</v>
      </c>
      <c r="B851" t="s">
        <v>16236</v>
      </c>
      <c r="C851" t="s">
        <v>74</v>
      </c>
      <c r="D851" t="s">
        <v>74</v>
      </c>
      <c r="E851" t="s">
        <v>74</v>
      </c>
      <c r="F851" t="s">
        <v>16237</v>
      </c>
      <c r="G851" t="s">
        <v>74</v>
      </c>
      <c r="H851" t="s">
        <v>74</v>
      </c>
      <c r="I851" t="s">
        <v>16238</v>
      </c>
      <c r="J851" t="s">
        <v>16239</v>
      </c>
      <c r="K851" t="s">
        <v>74</v>
      </c>
      <c r="L851" t="s">
        <v>74</v>
      </c>
      <c r="M851" t="s">
        <v>78</v>
      </c>
      <c r="N851" t="s">
        <v>79</v>
      </c>
      <c r="O851" t="s">
        <v>74</v>
      </c>
      <c r="P851" t="s">
        <v>74</v>
      </c>
      <c r="Q851" t="s">
        <v>74</v>
      </c>
      <c r="R851" t="s">
        <v>74</v>
      </c>
      <c r="S851" t="s">
        <v>74</v>
      </c>
      <c r="T851" t="s">
        <v>16240</v>
      </c>
      <c r="U851" t="s">
        <v>16241</v>
      </c>
      <c r="V851" t="s">
        <v>16242</v>
      </c>
      <c r="W851" t="s">
        <v>16243</v>
      </c>
      <c r="X851" t="s">
        <v>16244</v>
      </c>
      <c r="Y851" t="s">
        <v>16245</v>
      </c>
      <c r="Z851" t="s">
        <v>16246</v>
      </c>
      <c r="AA851" t="s">
        <v>16247</v>
      </c>
      <c r="AB851" t="s">
        <v>16248</v>
      </c>
      <c r="AC851" t="s">
        <v>16249</v>
      </c>
      <c r="AD851" t="s">
        <v>16250</v>
      </c>
      <c r="AE851" t="s">
        <v>16251</v>
      </c>
      <c r="AF851" t="s">
        <v>74</v>
      </c>
      <c r="AG851">
        <v>109</v>
      </c>
      <c r="AH851">
        <v>2</v>
      </c>
      <c r="AI851">
        <v>2</v>
      </c>
      <c r="AJ851">
        <v>0</v>
      </c>
      <c r="AK851">
        <v>7</v>
      </c>
      <c r="AL851" t="s">
        <v>310</v>
      </c>
      <c r="AM851" t="s">
        <v>311</v>
      </c>
      <c r="AN851" t="s">
        <v>312</v>
      </c>
      <c r="AO851" t="s">
        <v>16252</v>
      </c>
      <c r="AP851" t="s">
        <v>16253</v>
      </c>
      <c r="AQ851" t="s">
        <v>74</v>
      </c>
      <c r="AR851" t="s">
        <v>16254</v>
      </c>
      <c r="AS851" t="s">
        <v>16255</v>
      </c>
      <c r="AT851" t="s">
        <v>5800</v>
      </c>
      <c r="AU851">
        <v>2022</v>
      </c>
      <c r="AV851">
        <v>238</v>
      </c>
      <c r="AW851" t="s">
        <v>74</v>
      </c>
      <c r="AX851" t="s">
        <v>74</v>
      </c>
      <c r="AY851" t="s">
        <v>74</v>
      </c>
      <c r="AZ851" t="s">
        <v>74</v>
      </c>
      <c r="BA851" t="s">
        <v>74</v>
      </c>
      <c r="BB851" t="s">
        <v>74</v>
      </c>
      <c r="BC851" t="s">
        <v>74</v>
      </c>
      <c r="BD851">
        <v>104066</v>
      </c>
      <c r="BE851" t="s">
        <v>16256</v>
      </c>
      <c r="BF851" t="str">
        <f>HYPERLINK("http://dx.doi.org/10.1016/j.marchem.2021.104066","http://dx.doi.org/10.1016/j.marchem.2021.104066")</f>
        <v>http://dx.doi.org/10.1016/j.marchem.2021.104066</v>
      </c>
      <c r="BG851" t="s">
        <v>74</v>
      </c>
      <c r="BH851" t="s">
        <v>14486</v>
      </c>
      <c r="BI851">
        <v>16</v>
      </c>
      <c r="BJ851" t="s">
        <v>16257</v>
      </c>
      <c r="BK851" t="s">
        <v>103</v>
      </c>
      <c r="BL851" t="s">
        <v>16258</v>
      </c>
      <c r="BM851" t="s">
        <v>16259</v>
      </c>
      <c r="BN851" t="s">
        <v>74</v>
      </c>
      <c r="BO851" t="s">
        <v>1336</v>
      </c>
      <c r="BP851" t="s">
        <v>74</v>
      </c>
      <c r="BQ851" t="s">
        <v>74</v>
      </c>
      <c r="BR851" t="s">
        <v>106</v>
      </c>
      <c r="BS851" t="s">
        <v>16260</v>
      </c>
      <c r="BT851" t="str">
        <f>HYPERLINK("https%3A%2F%2Fwww.webofscience.com%2Fwos%2Fwoscc%2Ffull-record%2FWOS:000750835300001","View Full Record in Web of Science")</f>
        <v>View Full Record in Web of Science</v>
      </c>
    </row>
    <row r="852" spans="1:72" x14ac:dyDescent="0.15">
      <c r="A852" t="s">
        <v>72</v>
      </c>
      <c r="B852" t="s">
        <v>16261</v>
      </c>
      <c r="C852" t="s">
        <v>74</v>
      </c>
      <c r="D852" t="s">
        <v>74</v>
      </c>
      <c r="E852" t="s">
        <v>74</v>
      </c>
      <c r="F852" t="s">
        <v>16262</v>
      </c>
      <c r="G852" t="s">
        <v>74</v>
      </c>
      <c r="H852" t="s">
        <v>74</v>
      </c>
      <c r="I852" t="s">
        <v>16263</v>
      </c>
      <c r="J852" t="s">
        <v>16264</v>
      </c>
      <c r="K852" t="s">
        <v>74</v>
      </c>
      <c r="L852" t="s">
        <v>74</v>
      </c>
      <c r="M852" t="s">
        <v>78</v>
      </c>
      <c r="N852" t="s">
        <v>79</v>
      </c>
      <c r="O852" t="s">
        <v>74</v>
      </c>
      <c r="P852" t="s">
        <v>74</v>
      </c>
      <c r="Q852" t="s">
        <v>74</v>
      </c>
      <c r="R852" t="s">
        <v>74</v>
      </c>
      <c r="S852" t="s">
        <v>74</v>
      </c>
      <c r="T852" t="s">
        <v>16265</v>
      </c>
      <c r="U852" t="s">
        <v>16266</v>
      </c>
      <c r="V852" t="s">
        <v>16267</v>
      </c>
      <c r="W852" t="s">
        <v>16268</v>
      </c>
      <c r="X852" t="s">
        <v>16269</v>
      </c>
      <c r="Y852" t="s">
        <v>16270</v>
      </c>
      <c r="Z852" t="s">
        <v>16271</v>
      </c>
      <c r="AA852" t="s">
        <v>16272</v>
      </c>
      <c r="AB852" t="s">
        <v>16273</v>
      </c>
      <c r="AC852" t="s">
        <v>16274</v>
      </c>
      <c r="AD852" t="s">
        <v>16275</v>
      </c>
      <c r="AE852" t="s">
        <v>16276</v>
      </c>
      <c r="AF852" t="s">
        <v>74</v>
      </c>
      <c r="AG852">
        <v>39</v>
      </c>
      <c r="AH852">
        <v>1</v>
      </c>
      <c r="AI852">
        <v>1</v>
      </c>
      <c r="AJ852">
        <v>2</v>
      </c>
      <c r="AK852">
        <v>5</v>
      </c>
      <c r="AL852" t="s">
        <v>1603</v>
      </c>
      <c r="AM852" t="s">
        <v>93</v>
      </c>
      <c r="AN852" t="s">
        <v>1604</v>
      </c>
      <c r="AO852" t="s">
        <v>16277</v>
      </c>
      <c r="AP852" t="s">
        <v>16278</v>
      </c>
      <c r="AQ852" t="s">
        <v>74</v>
      </c>
      <c r="AR852" t="s">
        <v>16279</v>
      </c>
      <c r="AS852" t="s">
        <v>16280</v>
      </c>
      <c r="AT852" t="s">
        <v>840</v>
      </c>
      <c r="AU852">
        <v>2022</v>
      </c>
      <c r="AV852">
        <v>135</v>
      </c>
      <c r="AW852">
        <v>2</v>
      </c>
      <c r="AX852" t="s">
        <v>74</v>
      </c>
      <c r="AY852" t="s">
        <v>74</v>
      </c>
      <c r="AZ852" t="s">
        <v>74</v>
      </c>
      <c r="BA852" t="s">
        <v>74</v>
      </c>
      <c r="BB852">
        <v>223</v>
      </c>
      <c r="BC852">
        <v>234</v>
      </c>
      <c r="BD852" t="s">
        <v>74</v>
      </c>
      <c r="BE852" t="s">
        <v>16281</v>
      </c>
      <c r="BF852" t="str">
        <f>HYPERLINK("http://dx.doi.org/10.1093/biolinnean/blab141","http://dx.doi.org/10.1093/biolinnean/blab141")</f>
        <v>http://dx.doi.org/10.1093/biolinnean/blab141</v>
      </c>
      <c r="BG852" t="s">
        <v>74</v>
      </c>
      <c r="BH852" t="s">
        <v>14486</v>
      </c>
      <c r="BI852">
        <v>12</v>
      </c>
      <c r="BJ852" t="s">
        <v>16282</v>
      </c>
      <c r="BK852" t="s">
        <v>103</v>
      </c>
      <c r="BL852" t="s">
        <v>16282</v>
      </c>
      <c r="BM852" t="s">
        <v>16283</v>
      </c>
      <c r="BN852" t="s">
        <v>74</v>
      </c>
      <c r="BO852" t="s">
        <v>74</v>
      </c>
      <c r="BP852" t="s">
        <v>74</v>
      </c>
      <c r="BQ852" t="s">
        <v>74</v>
      </c>
      <c r="BR852" t="s">
        <v>106</v>
      </c>
      <c r="BS852" t="s">
        <v>16284</v>
      </c>
      <c r="BT852" t="str">
        <f>HYPERLINK("https%3A%2F%2Fwww.webofscience.com%2Fwos%2Fwoscc%2Ffull-record%2FWOS:000743399000001","View Full Record in Web of Science")</f>
        <v>View Full Record in Web of Science</v>
      </c>
    </row>
    <row r="853" spans="1:72" x14ac:dyDescent="0.15">
      <c r="A853" t="s">
        <v>72</v>
      </c>
      <c r="B853" t="s">
        <v>16285</v>
      </c>
      <c r="C853" t="s">
        <v>74</v>
      </c>
      <c r="D853" t="s">
        <v>74</v>
      </c>
      <c r="E853" t="s">
        <v>74</v>
      </c>
      <c r="F853" t="s">
        <v>16286</v>
      </c>
      <c r="G853" t="s">
        <v>74</v>
      </c>
      <c r="H853" t="s">
        <v>74</v>
      </c>
      <c r="I853" t="s">
        <v>16287</v>
      </c>
      <c r="J853" t="s">
        <v>1635</v>
      </c>
      <c r="K853" t="s">
        <v>74</v>
      </c>
      <c r="L853" t="s">
        <v>74</v>
      </c>
      <c r="M853" t="s">
        <v>78</v>
      </c>
      <c r="N853" t="s">
        <v>1434</v>
      </c>
      <c r="O853" t="s">
        <v>74</v>
      </c>
      <c r="P853" t="s">
        <v>74</v>
      </c>
      <c r="Q853" t="s">
        <v>74</v>
      </c>
      <c r="R853" t="s">
        <v>74</v>
      </c>
      <c r="S853" t="s">
        <v>74</v>
      </c>
      <c r="T853" t="s">
        <v>74</v>
      </c>
      <c r="U853" t="s">
        <v>16288</v>
      </c>
      <c r="V853" t="s">
        <v>16289</v>
      </c>
      <c r="W853" t="s">
        <v>16290</v>
      </c>
      <c r="X853" t="s">
        <v>16291</v>
      </c>
      <c r="Y853" t="s">
        <v>16292</v>
      </c>
      <c r="Z853" t="s">
        <v>16293</v>
      </c>
      <c r="AA853" t="s">
        <v>16294</v>
      </c>
      <c r="AB853" t="s">
        <v>16295</v>
      </c>
      <c r="AC853" t="s">
        <v>16296</v>
      </c>
      <c r="AD853" t="s">
        <v>16297</v>
      </c>
      <c r="AE853" t="s">
        <v>16298</v>
      </c>
      <c r="AF853" t="s">
        <v>74</v>
      </c>
      <c r="AG853">
        <v>46</v>
      </c>
      <c r="AH853">
        <v>8</v>
      </c>
      <c r="AI853">
        <v>8</v>
      </c>
      <c r="AJ853">
        <v>1</v>
      </c>
      <c r="AK853">
        <v>8</v>
      </c>
      <c r="AL853" t="s">
        <v>120</v>
      </c>
      <c r="AM853" t="s">
        <v>121</v>
      </c>
      <c r="AN853" t="s">
        <v>122</v>
      </c>
      <c r="AO853" t="s">
        <v>1646</v>
      </c>
      <c r="AP853" t="s">
        <v>1647</v>
      </c>
      <c r="AQ853" t="s">
        <v>74</v>
      </c>
      <c r="AR853" t="s">
        <v>1648</v>
      </c>
      <c r="AS853" t="s">
        <v>1649</v>
      </c>
      <c r="AT853" t="s">
        <v>16299</v>
      </c>
      <c r="AU853">
        <v>2021</v>
      </c>
      <c r="AV853">
        <v>13</v>
      </c>
      <c r="AW853">
        <v>12</v>
      </c>
      <c r="AX853" t="s">
        <v>74</v>
      </c>
      <c r="AY853" t="s">
        <v>74</v>
      </c>
      <c r="AZ853" t="s">
        <v>74</v>
      </c>
      <c r="BA853" t="s">
        <v>74</v>
      </c>
      <c r="BB853">
        <v>5731</v>
      </c>
      <c r="BC853">
        <v>5746</v>
      </c>
      <c r="BD853" t="s">
        <v>74</v>
      </c>
      <c r="BE853" t="s">
        <v>16300</v>
      </c>
      <c r="BF853" t="str">
        <f>HYPERLINK("http://dx.doi.org/10.5194/essd-13-5731-2021","http://dx.doi.org/10.5194/essd-13-5731-2021")</f>
        <v>http://dx.doi.org/10.5194/essd-13-5731-2021</v>
      </c>
      <c r="BG853" t="s">
        <v>74</v>
      </c>
      <c r="BH853" t="s">
        <v>74</v>
      </c>
      <c r="BI853">
        <v>16</v>
      </c>
      <c r="BJ853" t="s">
        <v>1201</v>
      </c>
      <c r="BK853" t="s">
        <v>103</v>
      </c>
      <c r="BL853" t="s">
        <v>1202</v>
      </c>
      <c r="BM853" t="s">
        <v>16301</v>
      </c>
      <c r="BN853" t="s">
        <v>74</v>
      </c>
      <c r="BO853" t="s">
        <v>132</v>
      </c>
      <c r="BP853" t="s">
        <v>74</v>
      </c>
      <c r="BQ853" t="s">
        <v>74</v>
      </c>
      <c r="BR853" t="s">
        <v>106</v>
      </c>
      <c r="BS853" t="s">
        <v>16302</v>
      </c>
      <c r="BT853" t="str">
        <f>HYPERLINK("https%3A%2F%2Fwww.webofscience.com%2Fwos%2Fwoscc%2Ffull-record%2FWOS:000730164000001","View Full Record in Web of Science")</f>
        <v>View Full Record in Web of Science</v>
      </c>
    </row>
    <row r="854" spans="1:72" x14ac:dyDescent="0.15">
      <c r="A854" t="s">
        <v>72</v>
      </c>
      <c r="B854" t="s">
        <v>16303</v>
      </c>
      <c r="C854" t="s">
        <v>74</v>
      </c>
      <c r="D854" t="s">
        <v>74</v>
      </c>
      <c r="E854" t="s">
        <v>74</v>
      </c>
      <c r="F854" t="s">
        <v>16304</v>
      </c>
      <c r="G854" t="s">
        <v>74</v>
      </c>
      <c r="H854" t="s">
        <v>74</v>
      </c>
      <c r="I854" t="s">
        <v>16305</v>
      </c>
      <c r="J854" t="s">
        <v>1397</v>
      </c>
      <c r="K854" t="s">
        <v>74</v>
      </c>
      <c r="L854" t="s">
        <v>74</v>
      </c>
      <c r="M854" t="s">
        <v>78</v>
      </c>
      <c r="N854" t="s">
        <v>79</v>
      </c>
      <c r="O854" t="s">
        <v>74</v>
      </c>
      <c r="P854" t="s">
        <v>74</v>
      </c>
      <c r="Q854" t="s">
        <v>74</v>
      </c>
      <c r="R854" t="s">
        <v>74</v>
      </c>
      <c r="S854" t="s">
        <v>74</v>
      </c>
      <c r="T854" t="s">
        <v>74</v>
      </c>
      <c r="U854" t="s">
        <v>16306</v>
      </c>
      <c r="V854" t="s">
        <v>16307</v>
      </c>
      <c r="W854" t="s">
        <v>16308</v>
      </c>
      <c r="X854" t="s">
        <v>16309</v>
      </c>
      <c r="Y854" t="s">
        <v>16310</v>
      </c>
      <c r="Z854" t="s">
        <v>16311</v>
      </c>
      <c r="AA854" t="s">
        <v>16312</v>
      </c>
      <c r="AB854" t="s">
        <v>16313</v>
      </c>
      <c r="AC854" t="s">
        <v>16314</v>
      </c>
      <c r="AD854" t="s">
        <v>16315</v>
      </c>
      <c r="AE854" t="s">
        <v>16316</v>
      </c>
      <c r="AF854" t="s">
        <v>74</v>
      </c>
      <c r="AG854">
        <v>137</v>
      </c>
      <c r="AH854">
        <v>20</v>
      </c>
      <c r="AI854">
        <v>21</v>
      </c>
      <c r="AJ854">
        <v>3</v>
      </c>
      <c r="AK854">
        <v>23</v>
      </c>
      <c r="AL854" t="s">
        <v>120</v>
      </c>
      <c r="AM854" t="s">
        <v>121</v>
      </c>
      <c r="AN854" t="s">
        <v>122</v>
      </c>
      <c r="AO854" t="s">
        <v>1409</v>
      </c>
      <c r="AP854" t="s">
        <v>1410</v>
      </c>
      <c r="AQ854" t="s">
        <v>74</v>
      </c>
      <c r="AR854" t="s">
        <v>1397</v>
      </c>
      <c r="AS854" t="s">
        <v>1411</v>
      </c>
      <c r="AT854" t="s">
        <v>16299</v>
      </c>
      <c r="AU854">
        <v>2021</v>
      </c>
      <c r="AV854">
        <v>15</v>
      </c>
      <c r="AW854">
        <v>12</v>
      </c>
      <c r="AX854" t="s">
        <v>74</v>
      </c>
      <c r="AY854" t="s">
        <v>74</v>
      </c>
      <c r="AZ854" t="s">
        <v>74</v>
      </c>
      <c r="BA854" t="s">
        <v>74</v>
      </c>
      <c r="BB854">
        <v>5483</v>
      </c>
      <c r="BC854">
        <v>5512</v>
      </c>
      <c r="BD854" t="s">
        <v>74</v>
      </c>
      <c r="BE854" t="s">
        <v>16317</v>
      </c>
      <c r="BF854" t="str">
        <f>HYPERLINK("http://dx.doi.org/10.5194/tc-15-5483-2021","http://dx.doi.org/10.5194/tc-15-5483-2021")</f>
        <v>http://dx.doi.org/10.5194/tc-15-5483-2021</v>
      </c>
      <c r="BG854" t="s">
        <v>74</v>
      </c>
      <c r="BH854" t="s">
        <v>74</v>
      </c>
      <c r="BI854">
        <v>30</v>
      </c>
      <c r="BJ854" t="s">
        <v>208</v>
      </c>
      <c r="BK854" t="s">
        <v>103</v>
      </c>
      <c r="BL854" t="s">
        <v>209</v>
      </c>
      <c r="BM854" t="s">
        <v>16318</v>
      </c>
      <c r="BN854" t="s">
        <v>74</v>
      </c>
      <c r="BO854" t="s">
        <v>132</v>
      </c>
      <c r="BP854" t="s">
        <v>74</v>
      </c>
      <c r="BQ854" t="s">
        <v>74</v>
      </c>
      <c r="BR854" t="s">
        <v>106</v>
      </c>
      <c r="BS854" t="s">
        <v>16319</v>
      </c>
      <c r="BT854" t="str">
        <f>HYPERLINK("https%3A%2F%2Fwww.webofscience.com%2Fwos%2Fwoscc%2Ffull-record%2FWOS:000730034700001","View Full Record in Web of Science")</f>
        <v>View Full Record in Web of Science</v>
      </c>
    </row>
    <row r="855" spans="1:72" x14ac:dyDescent="0.15">
      <c r="A855" t="s">
        <v>72</v>
      </c>
      <c r="B855" t="s">
        <v>16320</v>
      </c>
      <c r="C855" t="s">
        <v>74</v>
      </c>
      <c r="D855" t="s">
        <v>74</v>
      </c>
      <c r="E855" t="s">
        <v>74</v>
      </c>
      <c r="F855" t="s">
        <v>16321</v>
      </c>
      <c r="G855" t="s">
        <v>74</v>
      </c>
      <c r="H855" t="s">
        <v>74</v>
      </c>
      <c r="I855" t="s">
        <v>16322</v>
      </c>
      <c r="J855" t="s">
        <v>1397</v>
      </c>
      <c r="K855" t="s">
        <v>74</v>
      </c>
      <c r="L855" t="s">
        <v>74</v>
      </c>
      <c r="M855" t="s">
        <v>78</v>
      </c>
      <c r="N855" t="s">
        <v>79</v>
      </c>
      <c r="O855" t="s">
        <v>74</v>
      </c>
      <c r="P855" t="s">
        <v>74</v>
      </c>
      <c r="Q855" t="s">
        <v>74</v>
      </c>
      <c r="R855" t="s">
        <v>74</v>
      </c>
      <c r="S855" t="s">
        <v>74</v>
      </c>
      <c r="T855" t="s">
        <v>74</v>
      </c>
      <c r="U855" t="s">
        <v>16323</v>
      </c>
      <c r="V855" t="s">
        <v>16324</v>
      </c>
      <c r="W855" t="s">
        <v>16325</v>
      </c>
      <c r="X855" t="s">
        <v>16326</v>
      </c>
      <c r="Y855" t="s">
        <v>16327</v>
      </c>
      <c r="Z855" t="s">
        <v>16328</v>
      </c>
      <c r="AA855" t="s">
        <v>16329</v>
      </c>
      <c r="AB855" t="s">
        <v>16330</v>
      </c>
      <c r="AC855" t="s">
        <v>16331</v>
      </c>
      <c r="AD855" t="s">
        <v>16332</v>
      </c>
      <c r="AE855" t="s">
        <v>16333</v>
      </c>
      <c r="AF855" t="s">
        <v>74</v>
      </c>
      <c r="AG855">
        <v>57</v>
      </c>
      <c r="AH855">
        <v>8</v>
      </c>
      <c r="AI855">
        <v>9</v>
      </c>
      <c r="AJ855">
        <v>2</v>
      </c>
      <c r="AK855">
        <v>9</v>
      </c>
      <c r="AL855" t="s">
        <v>120</v>
      </c>
      <c r="AM855" t="s">
        <v>121</v>
      </c>
      <c r="AN855" t="s">
        <v>122</v>
      </c>
      <c r="AO855" t="s">
        <v>1409</v>
      </c>
      <c r="AP855" t="s">
        <v>1410</v>
      </c>
      <c r="AQ855" t="s">
        <v>74</v>
      </c>
      <c r="AR855" t="s">
        <v>1397</v>
      </c>
      <c r="AS855" t="s">
        <v>1411</v>
      </c>
      <c r="AT855" t="s">
        <v>16299</v>
      </c>
      <c r="AU855">
        <v>2021</v>
      </c>
      <c r="AV855">
        <v>15</v>
      </c>
      <c r="AW855">
        <v>12</v>
      </c>
      <c r="AX855" t="s">
        <v>74</v>
      </c>
      <c r="AY855" t="s">
        <v>74</v>
      </c>
      <c r="AZ855" t="s">
        <v>74</v>
      </c>
      <c r="BA855" t="s">
        <v>74</v>
      </c>
      <c r="BB855">
        <v>5529</v>
      </c>
      <c r="BC855">
        <v>5555</v>
      </c>
      <c r="BD855" t="s">
        <v>74</v>
      </c>
      <c r="BE855" t="s">
        <v>16334</v>
      </c>
      <c r="BF855" t="str">
        <f>HYPERLINK("http://dx.doi.org/10.5194/tc-15-5529-2021","http://dx.doi.org/10.5194/tc-15-5529-2021")</f>
        <v>http://dx.doi.org/10.5194/tc-15-5529-2021</v>
      </c>
      <c r="BG855" t="s">
        <v>74</v>
      </c>
      <c r="BH855" t="s">
        <v>74</v>
      </c>
      <c r="BI855">
        <v>27</v>
      </c>
      <c r="BJ855" t="s">
        <v>208</v>
      </c>
      <c r="BK855" t="s">
        <v>103</v>
      </c>
      <c r="BL855" t="s">
        <v>209</v>
      </c>
      <c r="BM855" t="s">
        <v>16335</v>
      </c>
      <c r="BN855" t="s">
        <v>74</v>
      </c>
      <c r="BO855" t="s">
        <v>132</v>
      </c>
      <c r="BP855" t="s">
        <v>74</v>
      </c>
      <c r="BQ855" t="s">
        <v>74</v>
      </c>
      <c r="BR855" t="s">
        <v>106</v>
      </c>
      <c r="BS855" t="s">
        <v>16336</v>
      </c>
      <c r="BT855" t="str">
        <f>HYPERLINK("https%3A%2F%2Fwww.webofscience.com%2Fwos%2Fwoscc%2Ffull-record%2FWOS:000730036800001","View Full Record in Web of Science")</f>
        <v>View Full Record in Web of Science</v>
      </c>
    </row>
    <row r="856" spans="1:72" x14ac:dyDescent="0.15">
      <c r="A856" t="s">
        <v>72</v>
      </c>
      <c r="B856" t="s">
        <v>16337</v>
      </c>
      <c r="C856" t="s">
        <v>74</v>
      </c>
      <c r="D856" t="s">
        <v>74</v>
      </c>
      <c r="E856" t="s">
        <v>74</v>
      </c>
      <c r="F856" t="s">
        <v>16338</v>
      </c>
      <c r="G856" t="s">
        <v>74</v>
      </c>
      <c r="H856" t="s">
        <v>74</v>
      </c>
      <c r="I856" t="s">
        <v>16339</v>
      </c>
      <c r="J856" t="s">
        <v>1397</v>
      </c>
      <c r="K856" t="s">
        <v>74</v>
      </c>
      <c r="L856" t="s">
        <v>74</v>
      </c>
      <c r="M856" t="s">
        <v>78</v>
      </c>
      <c r="N856" t="s">
        <v>79</v>
      </c>
      <c r="O856" t="s">
        <v>74</v>
      </c>
      <c r="P856" t="s">
        <v>74</v>
      </c>
      <c r="Q856" t="s">
        <v>74</v>
      </c>
      <c r="R856" t="s">
        <v>74</v>
      </c>
      <c r="S856" t="s">
        <v>74</v>
      </c>
      <c r="T856" t="s">
        <v>74</v>
      </c>
      <c r="U856" t="s">
        <v>16340</v>
      </c>
      <c r="V856" t="s">
        <v>16341</v>
      </c>
      <c r="W856" t="s">
        <v>16342</v>
      </c>
      <c r="X856" t="s">
        <v>16343</v>
      </c>
      <c r="Y856" t="s">
        <v>16344</v>
      </c>
      <c r="Z856" t="s">
        <v>16345</v>
      </c>
      <c r="AA856" t="s">
        <v>16346</v>
      </c>
      <c r="AB856" t="s">
        <v>16347</v>
      </c>
      <c r="AC856" t="s">
        <v>16348</v>
      </c>
      <c r="AD856" t="s">
        <v>16349</v>
      </c>
      <c r="AE856" t="s">
        <v>16350</v>
      </c>
      <c r="AF856" t="s">
        <v>74</v>
      </c>
      <c r="AG856">
        <v>62</v>
      </c>
      <c r="AH856">
        <v>14</v>
      </c>
      <c r="AI856">
        <v>15</v>
      </c>
      <c r="AJ856">
        <v>1</v>
      </c>
      <c r="AK856">
        <v>8</v>
      </c>
      <c r="AL856" t="s">
        <v>120</v>
      </c>
      <c r="AM856" t="s">
        <v>121</v>
      </c>
      <c r="AN856" t="s">
        <v>122</v>
      </c>
      <c r="AO856" t="s">
        <v>1409</v>
      </c>
      <c r="AP856" t="s">
        <v>1410</v>
      </c>
      <c r="AQ856" t="s">
        <v>74</v>
      </c>
      <c r="AR856" t="s">
        <v>1397</v>
      </c>
      <c r="AS856" t="s">
        <v>1411</v>
      </c>
      <c r="AT856" t="s">
        <v>16299</v>
      </c>
      <c r="AU856">
        <v>2021</v>
      </c>
      <c r="AV856">
        <v>15</v>
      </c>
      <c r="AW856">
        <v>12</v>
      </c>
      <c r="AX856" t="s">
        <v>74</v>
      </c>
      <c r="AY856" t="s">
        <v>74</v>
      </c>
      <c r="AZ856" t="s">
        <v>74</v>
      </c>
      <c r="BA856" t="s">
        <v>74</v>
      </c>
      <c r="BB856">
        <v>5557</v>
      </c>
      <c r="BC856">
        <v>5575</v>
      </c>
      <c r="BD856" t="s">
        <v>74</v>
      </c>
      <c r="BE856" t="s">
        <v>16351</v>
      </c>
      <c r="BF856" t="str">
        <f>HYPERLINK("http://dx.doi.org/10.5194/tc-15-5557-2021","http://dx.doi.org/10.5194/tc-15-5557-2021")</f>
        <v>http://dx.doi.org/10.5194/tc-15-5557-2021</v>
      </c>
      <c r="BG856" t="s">
        <v>74</v>
      </c>
      <c r="BH856" t="s">
        <v>74</v>
      </c>
      <c r="BI856">
        <v>19</v>
      </c>
      <c r="BJ856" t="s">
        <v>208</v>
      </c>
      <c r="BK856" t="s">
        <v>103</v>
      </c>
      <c r="BL856" t="s">
        <v>209</v>
      </c>
      <c r="BM856" t="s">
        <v>16352</v>
      </c>
      <c r="BN856" t="s">
        <v>74</v>
      </c>
      <c r="BO856" t="s">
        <v>211</v>
      </c>
      <c r="BP856" t="s">
        <v>74</v>
      </c>
      <c r="BQ856" t="s">
        <v>74</v>
      </c>
      <c r="BR856" t="s">
        <v>106</v>
      </c>
      <c r="BS856" t="s">
        <v>16353</v>
      </c>
      <c r="BT856" t="str">
        <f>HYPERLINK("https%3A%2F%2Fwww.webofscience.com%2Fwos%2Fwoscc%2Ffull-record%2FWOS:000730039900001","View Full Record in Web of Science")</f>
        <v>View Full Record in Web of Science</v>
      </c>
    </row>
    <row r="857" spans="1:72" x14ac:dyDescent="0.15">
      <c r="A857" t="s">
        <v>72</v>
      </c>
      <c r="B857" t="s">
        <v>16354</v>
      </c>
      <c r="C857" t="s">
        <v>74</v>
      </c>
      <c r="D857" t="s">
        <v>74</v>
      </c>
      <c r="E857" t="s">
        <v>74</v>
      </c>
      <c r="F857" t="s">
        <v>16355</v>
      </c>
      <c r="G857" t="s">
        <v>74</v>
      </c>
      <c r="H857" t="s">
        <v>74</v>
      </c>
      <c r="I857" t="s">
        <v>16356</v>
      </c>
      <c r="J857" t="s">
        <v>16357</v>
      </c>
      <c r="K857" t="s">
        <v>74</v>
      </c>
      <c r="L857" t="s">
        <v>74</v>
      </c>
      <c r="M857" t="s">
        <v>78</v>
      </c>
      <c r="N857" t="s">
        <v>79</v>
      </c>
      <c r="O857" t="s">
        <v>74</v>
      </c>
      <c r="P857" t="s">
        <v>74</v>
      </c>
      <c r="Q857" t="s">
        <v>74</v>
      </c>
      <c r="R857" t="s">
        <v>74</v>
      </c>
      <c r="S857" t="s">
        <v>74</v>
      </c>
      <c r="T857" t="s">
        <v>16358</v>
      </c>
      <c r="U857" t="s">
        <v>16359</v>
      </c>
      <c r="V857" t="s">
        <v>16360</v>
      </c>
      <c r="W857" t="s">
        <v>16361</v>
      </c>
      <c r="X857" t="s">
        <v>16362</v>
      </c>
      <c r="Y857" t="s">
        <v>16363</v>
      </c>
      <c r="Z857" t="s">
        <v>16364</v>
      </c>
      <c r="AA857" t="s">
        <v>16365</v>
      </c>
      <c r="AB857" t="s">
        <v>16366</v>
      </c>
      <c r="AC857" t="s">
        <v>16367</v>
      </c>
      <c r="AD857" t="s">
        <v>16368</v>
      </c>
      <c r="AE857" t="s">
        <v>16369</v>
      </c>
      <c r="AF857" t="s">
        <v>74</v>
      </c>
      <c r="AG857">
        <v>68</v>
      </c>
      <c r="AH857">
        <v>6</v>
      </c>
      <c r="AI857">
        <v>6</v>
      </c>
      <c r="AJ857">
        <v>6</v>
      </c>
      <c r="AK857">
        <v>15</v>
      </c>
      <c r="AL857" t="s">
        <v>363</v>
      </c>
      <c r="AM857" t="s">
        <v>364</v>
      </c>
      <c r="AN857" t="s">
        <v>365</v>
      </c>
      <c r="AO857" t="s">
        <v>74</v>
      </c>
      <c r="AP857" t="s">
        <v>16370</v>
      </c>
      <c r="AQ857" t="s">
        <v>74</v>
      </c>
      <c r="AR857" t="s">
        <v>16371</v>
      </c>
      <c r="AS857" t="s">
        <v>16372</v>
      </c>
      <c r="AT857" t="s">
        <v>16373</v>
      </c>
      <c r="AU857">
        <v>2021</v>
      </c>
      <c r="AV857">
        <v>8</v>
      </c>
      <c r="AW857" t="s">
        <v>74</v>
      </c>
      <c r="AX857" t="s">
        <v>74</v>
      </c>
      <c r="AY857" t="s">
        <v>74</v>
      </c>
      <c r="AZ857" t="s">
        <v>74</v>
      </c>
      <c r="BA857" t="s">
        <v>74</v>
      </c>
      <c r="BB857" t="s">
        <v>74</v>
      </c>
      <c r="BC857" t="s">
        <v>74</v>
      </c>
      <c r="BD857">
        <v>794946</v>
      </c>
      <c r="BE857" t="s">
        <v>16374</v>
      </c>
      <c r="BF857" t="str">
        <f>HYPERLINK("http://dx.doi.org/10.3389/fmolb.2021.794946","http://dx.doi.org/10.3389/fmolb.2021.794946")</f>
        <v>http://dx.doi.org/10.3389/fmolb.2021.794946</v>
      </c>
      <c r="BG857" t="s">
        <v>74</v>
      </c>
      <c r="BH857" t="s">
        <v>74</v>
      </c>
      <c r="BI857">
        <v>8</v>
      </c>
      <c r="BJ857" t="s">
        <v>3041</v>
      </c>
      <c r="BK857" t="s">
        <v>103</v>
      </c>
      <c r="BL857" t="s">
        <v>3041</v>
      </c>
      <c r="BM857" t="s">
        <v>16375</v>
      </c>
      <c r="BN857">
        <v>34957222</v>
      </c>
      <c r="BO857" t="s">
        <v>292</v>
      </c>
      <c r="BP857" t="s">
        <v>74</v>
      </c>
      <c r="BQ857" t="s">
        <v>74</v>
      </c>
      <c r="BR857" t="s">
        <v>106</v>
      </c>
      <c r="BS857" t="s">
        <v>16376</v>
      </c>
      <c r="BT857" t="str">
        <f>HYPERLINK("https%3A%2F%2Fwww.webofscience.com%2Fwos%2Fwoscc%2Ffull-record%2FWOS:000738628400001","View Full Record in Web of Science")</f>
        <v>View Full Record in Web of Science</v>
      </c>
    </row>
    <row r="858" spans="1:72" x14ac:dyDescent="0.15">
      <c r="A858" t="s">
        <v>72</v>
      </c>
      <c r="B858" t="s">
        <v>16377</v>
      </c>
      <c r="C858" t="s">
        <v>74</v>
      </c>
      <c r="D858" t="s">
        <v>74</v>
      </c>
      <c r="E858" t="s">
        <v>74</v>
      </c>
      <c r="F858" t="s">
        <v>16378</v>
      </c>
      <c r="G858" t="s">
        <v>74</v>
      </c>
      <c r="H858" t="s">
        <v>74</v>
      </c>
      <c r="I858" t="s">
        <v>16379</v>
      </c>
      <c r="J858" t="s">
        <v>351</v>
      </c>
      <c r="K858" t="s">
        <v>74</v>
      </c>
      <c r="L858" t="s">
        <v>74</v>
      </c>
      <c r="M858" t="s">
        <v>78</v>
      </c>
      <c r="N858" t="s">
        <v>79</v>
      </c>
      <c r="O858" t="s">
        <v>74</v>
      </c>
      <c r="P858" t="s">
        <v>74</v>
      </c>
      <c r="Q858" t="s">
        <v>74</v>
      </c>
      <c r="R858" t="s">
        <v>74</v>
      </c>
      <c r="S858" t="s">
        <v>74</v>
      </c>
      <c r="T858" t="s">
        <v>16380</v>
      </c>
      <c r="U858" t="s">
        <v>16381</v>
      </c>
      <c r="V858" t="s">
        <v>16382</v>
      </c>
      <c r="W858" t="s">
        <v>16383</v>
      </c>
      <c r="X858" t="s">
        <v>16384</v>
      </c>
      <c r="Y858" t="s">
        <v>16385</v>
      </c>
      <c r="Z858" t="s">
        <v>16386</v>
      </c>
      <c r="AA858" t="s">
        <v>16387</v>
      </c>
      <c r="AB858" t="s">
        <v>16388</v>
      </c>
      <c r="AC858" t="s">
        <v>16389</v>
      </c>
      <c r="AD858" t="s">
        <v>16390</v>
      </c>
      <c r="AE858" t="s">
        <v>16391</v>
      </c>
      <c r="AF858" t="s">
        <v>74</v>
      </c>
      <c r="AG858">
        <v>58</v>
      </c>
      <c r="AH858">
        <v>5</v>
      </c>
      <c r="AI858">
        <v>5</v>
      </c>
      <c r="AJ858">
        <v>0</v>
      </c>
      <c r="AK858">
        <v>11</v>
      </c>
      <c r="AL858" t="s">
        <v>363</v>
      </c>
      <c r="AM858" t="s">
        <v>364</v>
      </c>
      <c r="AN858" t="s">
        <v>365</v>
      </c>
      <c r="AO858" t="s">
        <v>74</v>
      </c>
      <c r="AP858" t="s">
        <v>366</v>
      </c>
      <c r="AQ858" t="s">
        <v>74</v>
      </c>
      <c r="AR858" t="s">
        <v>367</v>
      </c>
      <c r="AS858" t="s">
        <v>368</v>
      </c>
      <c r="AT858" t="s">
        <v>16373</v>
      </c>
      <c r="AU858">
        <v>2021</v>
      </c>
      <c r="AV858">
        <v>8</v>
      </c>
      <c r="AW858" t="s">
        <v>74</v>
      </c>
      <c r="AX858" t="s">
        <v>74</v>
      </c>
      <c r="AY858" t="s">
        <v>74</v>
      </c>
      <c r="AZ858" t="s">
        <v>74</v>
      </c>
      <c r="BA858" t="s">
        <v>74</v>
      </c>
      <c r="BB858" t="s">
        <v>74</v>
      </c>
      <c r="BC858" t="s">
        <v>74</v>
      </c>
      <c r="BD858">
        <v>761866</v>
      </c>
      <c r="BE858" t="s">
        <v>16392</v>
      </c>
      <c r="BF858" t="str">
        <f>HYPERLINK("http://dx.doi.org/10.3389/fmars.2021.761866","http://dx.doi.org/10.3389/fmars.2021.761866")</f>
        <v>http://dx.doi.org/10.3389/fmars.2021.761866</v>
      </c>
      <c r="BG858" t="s">
        <v>74</v>
      </c>
      <c r="BH858" t="s">
        <v>74</v>
      </c>
      <c r="BI858">
        <v>11</v>
      </c>
      <c r="BJ858" t="s">
        <v>102</v>
      </c>
      <c r="BK858" t="s">
        <v>103</v>
      </c>
      <c r="BL858" t="s">
        <v>104</v>
      </c>
      <c r="BM858" t="s">
        <v>16393</v>
      </c>
      <c r="BN858" t="s">
        <v>74</v>
      </c>
      <c r="BO858" t="s">
        <v>292</v>
      </c>
      <c r="BP858" t="s">
        <v>74</v>
      </c>
      <c r="BQ858" t="s">
        <v>74</v>
      </c>
      <c r="BR858" t="s">
        <v>106</v>
      </c>
      <c r="BS858" t="s">
        <v>16394</v>
      </c>
      <c r="BT858" t="str">
        <f>HYPERLINK("https%3A%2F%2Fwww.webofscience.com%2Fwos%2Fwoscc%2Ffull-record%2FWOS:000738335400001","View Full Record in Web of Science")</f>
        <v>View Full Record in Web of Science</v>
      </c>
    </row>
    <row r="859" spans="1:72" x14ac:dyDescent="0.15">
      <c r="A859" t="s">
        <v>72</v>
      </c>
      <c r="B859" t="s">
        <v>16395</v>
      </c>
      <c r="C859" t="s">
        <v>74</v>
      </c>
      <c r="D859" t="s">
        <v>74</v>
      </c>
      <c r="E859" t="s">
        <v>74</v>
      </c>
      <c r="F859" t="s">
        <v>16396</v>
      </c>
      <c r="G859" t="s">
        <v>74</v>
      </c>
      <c r="H859" t="s">
        <v>74</v>
      </c>
      <c r="I859" t="s">
        <v>16397</v>
      </c>
      <c r="J859" t="s">
        <v>6919</v>
      </c>
      <c r="K859" t="s">
        <v>74</v>
      </c>
      <c r="L859" t="s">
        <v>74</v>
      </c>
      <c r="M859" t="s">
        <v>78</v>
      </c>
      <c r="N859" t="s">
        <v>79</v>
      </c>
      <c r="O859" t="s">
        <v>74</v>
      </c>
      <c r="P859" t="s">
        <v>74</v>
      </c>
      <c r="Q859" t="s">
        <v>74</v>
      </c>
      <c r="R859" t="s">
        <v>74</v>
      </c>
      <c r="S859" t="s">
        <v>74</v>
      </c>
      <c r="T859" t="s">
        <v>16398</v>
      </c>
      <c r="U859" t="s">
        <v>16399</v>
      </c>
      <c r="V859" t="s">
        <v>16400</v>
      </c>
      <c r="W859" t="s">
        <v>16401</v>
      </c>
      <c r="X859" t="s">
        <v>16402</v>
      </c>
      <c r="Y859" t="s">
        <v>16403</v>
      </c>
      <c r="Z859" t="s">
        <v>16404</v>
      </c>
      <c r="AA859" t="s">
        <v>16405</v>
      </c>
      <c r="AB859" t="s">
        <v>16406</v>
      </c>
      <c r="AC859" t="s">
        <v>16407</v>
      </c>
      <c r="AD859" t="s">
        <v>16408</v>
      </c>
      <c r="AE859" t="s">
        <v>16409</v>
      </c>
      <c r="AF859" t="s">
        <v>74</v>
      </c>
      <c r="AG859">
        <v>67</v>
      </c>
      <c r="AH859">
        <v>6</v>
      </c>
      <c r="AI859">
        <v>7</v>
      </c>
      <c r="AJ859">
        <v>25</v>
      </c>
      <c r="AK859">
        <v>91</v>
      </c>
      <c r="AL859" t="s">
        <v>310</v>
      </c>
      <c r="AM859" t="s">
        <v>311</v>
      </c>
      <c r="AN859" t="s">
        <v>312</v>
      </c>
      <c r="AO859" t="s">
        <v>6932</v>
      </c>
      <c r="AP859" t="s">
        <v>6933</v>
      </c>
      <c r="AQ859" t="s">
        <v>74</v>
      </c>
      <c r="AR859" t="s">
        <v>6934</v>
      </c>
      <c r="AS859" t="s">
        <v>6935</v>
      </c>
      <c r="AT859" t="s">
        <v>889</v>
      </c>
      <c r="AU859">
        <v>2022</v>
      </c>
      <c r="AV859">
        <v>424</v>
      </c>
      <c r="AW859" t="s">
        <v>74</v>
      </c>
      <c r="AX859" t="s">
        <v>16410</v>
      </c>
      <c r="AY859" t="s">
        <v>74</v>
      </c>
      <c r="AZ859" t="s">
        <v>74</v>
      </c>
      <c r="BA859" t="s">
        <v>74</v>
      </c>
      <c r="BB859" t="s">
        <v>74</v>
      </c>
      <c r="BC859" t="s">
        <v>74</v>
      </c>
      <c r="BD859">
        <v>127644</v>
      </c>
      <c r="BE859" t="s">
        <v>16411</v>
      </c>
      <c r="BF859" t="str">
        <f>HYPERLINK("http://dx.doi.org/10.1016/j.jhazmat.2021.127644","http://dx.doi.org/10.1016/j.jhazmat.2021.127644")</f>
        <v>http://dx.doi.org/10.1016/j.jhazmat.2021.127644</v>
      </c>
      <c r="BG859" t="s">
        <v>74</v>
      </c>
      <c r="BH859" t="s">
        <v>14486</v>
      </c>
      <c r="BI859">
        <v>9</v>
      </c>
      <c r="BJ859" t="s">
        <v>6937</v>
      </c>
      <c r="BK859" t="s">
        <v>103</v>
      </c>
      <c r="BL859" t="s">
        <v>6938</v>
      </c>
      <c r="BM859" t="s">
        <v>16412</v>
      </c>
      <c r="BN859">
        <v>34749998</v>
      </c>
      <c r="BO859" t="s">
        <v>74</v>
      </c>
      <c r="BP859" t="s">
        <v>74</v>
      </c>
      <c r="BQ859" t="s">
        <v>74</v>
      </c>
      <c r="BR859" t="s">
        <v>106</v>
      </c>
      <c r="BS859" t="s">
        <v>16413</v>
      </c>
      <c r="BT859" t="str">
        <f>HYPERLINK("https%3A%2F%2Fwww.webofscience.com%2Fwos%2Fwoscc%2Ffull-record%2FWOS:000734403300008","View Full Record in Web of Science")</f>
        <v>View Full Record in Web of Science</v>
      </c>
    </row>
    <row r="860" spans="1:72" x14ac:dyDescent="0.15">
      <c r="A860" t="s">
        <v>72</v>
      </c>
      <c r="B860" t="s">
        <v>16414</v>
      </c>
      <c r="C860" t="s">
        <v>74</v>
      </c>
      <c r="D860" t="s">
        <v>74</v>
      </c>
      <c r="E860" t="s">
        <v>74</v>
      </c>
      <c r="F860" t="s">
        <v>16415</v>
      </c>
      <c r="G860" t="s">
        <v>74</v>
      </c>
      <c r="H860" t="s">
        <v>74</v>
      </c>
      <c r="I860" t="s">
        <v>16416</v>
      </c>
      <c r="J860" t="s">
        <v>1137</v>
      </c>
      <c r="K860" t="s">
        <v>74</v>
      </c>
      <c r="L860" t="s">
        <v>74</v>
      </c>
      <c r="M860" t="s">
        <v>78</v>
      </c>
      <c r="N860" t="s">
        <v>79</v>
      </c>
      <c r="O860" t="s">
        <v>74</v>
      </c>
      <c r="P860" t="s">
        <v>74</v>
      </c>
      <c r="Q860" t="s">
        <v>74</v>
      </c>
      <c r="R860" t="s">
        <v>74</v>
      </c>
      <c r="S860" t="s">
        <v>74</v>
      </c>
      <c r="T860" t="s">
        <v>16417</v>
      </c>
      <c r="U860" t="s">
        <v>16418</v>
      </c>
      <c r="V860" t="s">
        <v>16419</v>
      </c>
      <c r="W860" t="s">
        <v>16420</v>
      </c>
      <c r="X860" t="s">
        <v>16421</v>
      </c>
      <c r="Y860" t="s">
        <v>16422</v>
      </c>
      <c r="Z860" t="s">
        <v>16423</v>
      </c>
      <c r="AA860" t="s">
        <v>16424</v>
      </c>
      <c r="AB860" t="s">
        <v>16425</v>
      </c>
      <c r="AC860" t="s">
        <v>16426</v>
      </c>
      <c r="AD860" t="s">
        <v>16427</v>
      </c>
      <c r="AE860" t="s">
        <v>16428</v>
      </c>
      <c r="AF860" t="s">
        <v>74</v>
      </c>
      <c r="AG860">
        <v>102</v>
      </c>
      <c r="AH860">
        <v>8</v>
      </c>
      <c r="AI860">
        <v>10</v>
      </c>
      <c r="AJ860">
        <v>8</v>
      </c>
      <c r="AK860">
        <v>41</v>
      </c>
      <c r="AL860" t="s">
        <v>92</v>
      </c>
      <c r="AM860" t="s">
        <v>93</v>
      </c>
      <c r="AN860" t="s">
        <v>94</v>
      </c>
      <c r="AO860" t="s">
        <v>1149</v>
      </c>
      <c r="AP860" t="s">
        <v>1150</v>
      </c>
      <c r="AQ860" t="s">
        <v>74</v>
      </c>
      <c r="AR860" t="s">
        <v>1151</v>
      </c>
      <c r="AS860" t="s">
        <v>1152</v>
      </c>
      <c r="AT860" t="s">
        <v>6272</v>
      </c>
      <c r="AU860">
        <v>2022</v>
      </c>
      <c r="AV860">
        <v>276</v>
      </c>
      <c r="AW860" t="s">
        <v>74</v>
      </c>
      <c r="AX860" t="s">
        <v>74</v>
      </c>
      <c r="AY860" t="s">
        <v>74</v>
      </c>
      <c r="AZ860" t="s">
        <v>74</v>
      </c>
      <c r="BA860" t="s">
        <v>74</v>
      </c>
      <c r="BB860" t="s">
        <v>74</v>
      </c>
      <c r="BC860" t="s">
        <v>74</v>
      </c>
      <c r="BD860">
        <v>107305</v>
      </c>
      <c r="BE860" t="s">
        <v>16429</v>
      </c>
      <c r="BF860" t="str">
        <f>HYPERLINK("http://dx.doi.org/10.1016/j.quascirev.2021.107305","http://dx.doi.org/10.1016/j.quascirev.2021.107305")</f>
        <v>http://dx.doi.org/10.1016/j.quascirev.2021.107305</v>
      </c>
      <c r="BG860" t="s">
        <v>74</v>
      </c>
      <c r="BH860" t="s">
        <v>14486</v>
      </c>
      <c r="BI860">
        <v>14</v>
      </c>
      <c r="BJ860" t="s">
        <v>208</v>
      </c>
      <c r="BK860" t="s">
        <v>103</v>
      </c>
      <c r="BL860" t="s">
        <v>209</v>
      </c>
      <c r="BM860" t="s">
        <v>16058</v>
      </c>
      <c r="BN860" t="s">
        <v>74</v>
      </c>
      <c r="BO860" t="s">
        <v>948</v>
      </c>
      <c r="BP860" t="s">
        <v>74</v>
      </c>
      <c r="BQ860" t="s">
        <v>74</v>
      </c>
      <c r="BR860" t="s">
        <v>106</v>
      </c>
      <c r="BS860" t="s">
        <v>16430</v>
      </c>
      <c r="BT860" t="str">
        <f>HYPERLINK("https%3A%2F%2Fwww.webofscience.com%2Fwos%2Fwoscc%2Ffull-record%2FWOS:000731929600012","View Full Record in Web of Science")</f>
        <v>View Full Record in Web of Science</v>
      </c>
    </row>
    <row r="861" spans="1:72" x14ac:dyDescent="0.15">
      <c r="A861" t="s">
        <v>72</v>
      </c>
      <c r="B861" t="s">
        <v>16431</v>
      </c>
      <c r="C861" t="s">
        <v>74</v>
      </c>
      <c r="D861" t="s">
        <v>74</v>
      </c>
      <c r="E861" t="s">
        <v>74</v>
      </c>
      <c r="F861" t="s">
        <v>16432</v>
      </c>
      <c r="G861" t="s">
        <v>74</v>
      </c>
      <c r="H861" t="s">
        <v>74</v>
      </c>
      <c r="I861" t="s">
        <v>16433</v>
      </c>
      <c r="J861" t="s">
        <v>424</v>
      </c>
      <c r="K861" t="s">
        <v>74</v>
      </c>
      <c r="L861" t="s">
        <v>74</v>
      </c>
      <c r="M861" t="s">
        <v>78</v>
      </c>
      <c r="N861" t="s">
        <v>79</v>
      </c>
      <c r="O861" t="s">
        <v>74</v>
      </c>
      <c r="P861" t="s">
        <v>74</v>
      </c>
      <c r="Q861" t="s">
        <v>74</v>
      </c>
      <c r="R861" t="s">
        <v>74</v>
      </c>
      <c r="S861" t="s">
        <v>74</v>
      </c>
      <c r="T861" t="s">
        <v>74</v>
      </c>
      <c r="U861" t="s">
        <v>16434</v>
      </c>
      <c r="V861" t="s">
        <v>16435</v>
      </c>
      <c r="W861" t="s">
        <v>16436</v>
      </c>
      <c r="X861" t="s">
        <v>16437</v>
      </c>
      <c r="Y861" t="s">
        <v>16438</v>
      </c>
      <c r="Z861" t="s">
        <v>12841</v>
      </c>
      <c r="AA861" t="s">
        <v>16439</v>
      </c>
      <c r="AB861" t="s">
        <v>16440</v>
      </c>
      <c r="AC861" t="s">
        <v>16441</v>
      </c>
      <c r="AD861" t="s">
        <v>16442</v>
      </c>
      <c r="AE861" t="s">
        <v>16443</v>
      </c>
      <c r="AF861" t="s">
        <v>74</v>
      </c>
      <c r="AG861">
        <v>73</v>
      </c>
      <c r="AH861">
        <v>13</v>
      </c>
      <c r="AI861">
        <v>13</v>
      </c>
      <c r="AJ861">
        <v>0</v>
      </c>
      <c r="AK861">
        <v>7</v>
      </c>
      <c r="AL861" t="s">
        <v>435</v>
      </c>
      <c r="AM861" t="s">
        <v>436</v>
      </c>
      <c r="AN861" t="s">
        <v>437</v>
      </c>
      <c r="AO861" t="s">
        <v>74</v>
      </c>
      <c r="AP861" t="s">
        <v>438</v>
      </c>
      <c r="AQ861" t="s">
        <v>74</v>
      </c>
      <c r="AR861" t="s">
        <v>439</v>
      </c>
      <c r="AS861" t="s">
        <v>440</v>
      </c>
      <c r="AT861" t="s">
        <v>16373</v>
      </c>
      <c r="AU861">
        <v>2021</v>
      </c>
      <c r="AV861">
        <v>2</v>
      </c>
      <c r="AW861">
        <v>1</v>
      </c>
      <c r="AX861" t="s">
        <v>74</v>
      </c>
      <c r="AY861" t="s">
        <v>74</v>
      </c>
      <c r="AZ861" t="s">
        <v>74</v>
      </c>
      <c r="BA861" t="s">
        <v>74</v>
      </c>
      <c r="BB861" t="s">
        <v>74</v>
      </c>
      <c r="BC861" t="s">
        <v>74</v>
      </c>
      <c r="BD861">
        <v>252</v>
      </c>
      <c r="BE861" t="s">
        <v>16444</v>
      </c>
      <c r="BF861" t="str">
        <f>HYPERLINK("http://dx.doi.org/10.1038/s43247-021-00322-4","http://dx.doi.org/10.1038/s43247-021-00322-4")</f>
        <v>http://dx.doi.org/10.1038/s43247-021-00322-4</v>
      </c>
      <c r="BG861" t="s">
        <v>74</v>
      </c>
      <c r="BH861" t="s">
        <v>74</v>
      </c>
      <c r="BI861">
        <v>11</v>
      </c>
      <c r="BJ861" t="s">
        <v>442</v>
      </c>
      <c r="BK861" t="s">
        <v>103</v>
      </c>
      <c r="BL861" t="s">
        <v>443</v>
      </c>
      <c r="BM861" t="s">
        <v>16445</v>
      </c>
      <c r="BN861" t="s">
        <v>74</v>
      </c>
      <c r="BO861" t="s">
        <v>4294</v>
      </c>
      <c r="BP861" t="s">
        <v>74</v>
      </c>
      <c r="BQ861" t="s">
        <v>74</v>
      </c>
      <c r="BR861" t="s">
        <v>106</v>
      </c>
      <c r="BS861" t="s">
        <v>16446</v>
      </c>
      <c r="BT861" t="str">
        <f>HYPERLINK("https%3A%2F%2Fwww.webofscience.com%2Fwos%2Fwoscc%2Ffull-record%2FWOS:000728570800001","View Full Record in Web of Science")</f>
        <v>View Full Record in Web of Science</v>
      </c>
    </row>
    <row r="862" spans="1:72" x14ac:dyDescent="0.15">
      <c r="A862" t="s">
        <v>72</v>
      </c>
      <c r="B862" t="s">
        <v>16447</v>
      </c>
      <c r="C862" t="s">
        <v>74</v>
      </c>
      <c r="D862" t="s">
        <v>74</v>
      </c>
      <c r="E862" t="s">
        <v>74</v>
      </c>
      <c r="F862" t="s">
        <v>16448</v>
      </c>
      <c r="G862" t="s">
        <v>74</v>
      </c>
      <c r="H862" t="s">
        <v>74</v>
      </c>
      <c r="I862" t="s">
        <v>16449</v>
      </c>
      <c r="J862" t="s">
        <v>2305</v>
      </c>
      <c r="K862" t="s">
        <v>74</v>
      </c>
      <c r="L862" t="s">
        <v>74</v>
      </c>
      <c r="M862" t="s">
        <v>78</v>
      </c>
      <c r="N862" t="s">
        <v>79</v>
      </c>
      <c r="O862" t="s">
        <v>74</v>
      </c>
      <c r="P862" t="s">
        <v>74</v>
      </c>
      <c r="Q862" t="s">
        <v>74</v>
      </c>
      <c r="R862" t="s">
        <v>74</v>
      </c>
      <c r="S862" t="s">
        <v>74</v>
      </c>
      <c r="T862" t="s">
        <v>74</v>
      </c>
      <c r="U862" t="s">
        <v>16450</v>
      </c>
      <c r="V862" t="s">
        <v>16451</v>
      </c>
      <c r="W862" t="s">
        <v>16452</v>
      </c>
      <c r="X862" t="s">
        <v>16453</v>
      </c>
      <c r="Y862" t="s">
        <v>16454</v>
      </c>
      <c r="Z862" t="s">
        <v>16455</v>
      </c>
      <c r="AA862" t="s">
        <v>16456</v>
      </c>
      <c r="AB862" t="s">
        <v>16457</v>
      </c>
      <c r="AC862" t="s">
        <v>16458</v>
      </c>
      <c r="AD862" t="s">
        <v>16459</v>
      </c>
      <c r="AE862" t="s">
        <v>16460</v>
      </c>
      <c r="AF862" t="s">
        <v>74</v>
      </c>
      <c r="AG862">
        <v>75</v>
      </c>
      <c r="AH862">
        <v>26</v>
      </c>
      <c r="AI862">
        <v>30</v>
      </c>
      <c r="AJ862">
        <v>2</v>
      </c>
      <c r="AK862">
        <v>28</v>
      </c>
      <c r="AL862" t="s">
        <v>337</v>
      </c>
      <c r="AM862" t="s">
        <v>338</v>
      </c>
      <c r="AN862" t="s">
        <v>339</v>
      </c>
      <c r="AO862" t="s">
        <v>74</v>
      </c>
      <c r="AP862" t="s">
        <v>2316</v>
      </c>
      <c r="AQ862" t="s">
        <v>74</v>
      </c>
      <c r="AR862" t="s">
        <v>2317</v>
      </c>
      <c r="AS862" t="s">
        <v>2318</v>
      </c>
      <c r="AT862" t="s">
        <v>16373</v>
      </c>
      <c r="AU862">
        <v>2021</v>
      </c>
      <c r="AV862">
        <v>12</v>
      </c>
      <c r="AW862">
        <v>1</v>
      </c>
      <c r="AX862" t="s">
        <v>74</v>
      </c>
      <c r="AY862" t="s">
        <v>74</v>
      </c>
      <c r="AZ862" t="s">
        <v>74</v>
      </c>
      <c r="BA862" t="s">
        <v>74</v>
      </c>
      <c r="BB862" t="s">
        <v>74</v>
      </c>
      <c r="BC862" t="s">
        <v>74</v>
      </c>
      <c r="BD862">
        <v>7168</v>
      </c>
      <c r="BE862" t="s">
        <v>16461</v>
      </c>
      <c r="BF862" t="str">
        <f>HYPERLINK("http://dx.doi.org/10.1038/s41467-021-27436-9","http://dx.doi.org/10.1038/s41467-021-27436-9")</f>
        <v>http://dx.doi.org/10.1038/s41467-021-27436-9</v>
      </c>
      <c r="BG862" t="s">
        <v>74</v>
      </c>
      <c r="BH862" t="s">
        <v>74</v>
      </c>
      <c r="BI862">
        <v>12</v>
      </c>
      <c r="BJ862" t="s">
        <v>289</v>
      </c>
      <c r="BK862" t="s">
        <v>103</v>
      </c>
      <c r="BL862" t="s">
        <v>290</v>
      </c>
      <c r="BM862" t="s">
        <v>16462</v>
      </c>
      <c r="BN862">
        <v>34887407</v>
      </c>
      <c r="BO862" t="s">
        <v>292</v>
      </c>
      <c r="BP862" t="s">
        <v>74</v>
      </c>
      <c r="BQ862" t="s">
        <v>74</v>
      </c>
      <c r="BR862" t="s">
        <v>106</v>
      </c>
      <c r="BS862" t="s">
        <v>16463</v>
      </c>
      <c r="BT862" t="str">
        <f>HYPERLINK("https%3A%2F%2Fwww.webofscience.com%2Fwos%2Fwoscc%2Ffull-record%2FWOS:000728562700029","View Full Record in Web of Science")</f>
        <v>View Full Record in Web of Science</v>
      </c>
    </row>
    <row r="863" spans="1:72" x14ac:dyDescent="0.15">
      <c r="A863" t="s">
        <v>72</v>
      </c>
      <c r="B863" t="s">
        <v>16464</v>
      </c>
      <c r="C863" t="s">
        <v>74</v>
      </c>
      <c r="D863" t="s">
        <v>74</v>
      </c>
      <c r="E863" t="s">
        <v>74</v>
      </c>
      <c r="F863" t="s">
        <v>16465</v>
      </c>
      <c r="G863" t="s">
        <v>74</v>
      </c>
      <c r="H863" t="s">
        <v>74</v>
      </c>
      <c r="I863" t="s">
        <v>16466</v>
      </c>
      <c r="J863" t="s">
        <v>16467</v>
      </c>
      <c r="K863" t="s">
        <v>74</v>
      </c>
      <c r="L863" t="s">
        <v>74</v>
      </c>
      <c r="M863" t="s">
        <v>78</v>
      </c>
      <c r="N863" t="s">
        <v>79</v>
      </c>
      <c r="O863" t="s">
        <v>74</v>
      </c>
      <c r="P863" t="s">
        <v>74</v>
      </c>
      <c r="Q863" t="s">
        <v>74</v>
      </c>
      <c r="R863" t="s">
        <v>74</v>
      </c>
      <c r="S863" t="s">
        <v>74</v>
      </c>
      <c r="T863" t="s">
        <v>16468</v>
      </c>
      <c r="U863" t="s">
        <v>16469</v>
      </c>
      <c r="V863" t="s">
        <v>16470</v>
      </c>
      <c r="W863" t="s">
        <v>16471</v>
      </c>
      <c r="X863" t="s">
        <v>16472</v>
      </c>
      <c r="Y863" t="s">
        <v>16473</v>
      </c>
      <c r="Z863" t="s">
        <v>16474</v>
      </c>
      <c r="AA863" t="s">
        <v>16475</v>
      </c>
      <c r="AB863" t="s">
        <v>16476</v>
      </c>
      <c r="AC863" t="s">
        <v>16477</v>
      </c>
      <c r="AD863" t="s">
        <v>16478</v>
      </c>
      <c r="AE863" t="s">
        <v>16479</v>
      </c>
      <c r="AF863" t="s">
        <v>74</v>
      </c>
      <c r="AG863">
        <v>106</v>
      </c>
      <c r="AH863">
        <v>4</v>
      </c>
      <c r="AI863">
        <v>4</v>
      </c>
      <c r="AJ863">
        <v>1</v>
      </c>
      <c r="AK863">
        <v>7</v>
      </c>
      <c r="AL863" t="s">
        <v>1074</v>
      </c>
      <c r="AM863" t="s">
        <v>1098</v>
      </c>
      <c r="AN863" t="s">
        <v>1099</v>
      </c>
      <c r="AO863" t="s">
        <v>16480</v>
      </c>
      <c r="AP863" t="s">
        <v>16481</v>
      </c>
      <c r="AQ863" t="s">
        <v>74</v>
      </c>
      <c r="AR863" t="s">
        <v>16467</v>
      </c>
      <c r="AS863" t="s">
        <v>16482</v>
      </c>
      <c r="AT863" t="s">
        <v>4645</v>
      </c>
      <c r="AU863">
        <v>2022</v>
      </c>
      <c r="AV863">
        <v>86</v>
      </c>
      <c r="AW863">
        <v>1</v>
      </c>
      <c r="AX863" t="s">
        <v>74</v>
      </c>
      <c r="AY863" t="s">
        <v>74</v>
      </c>
      <c r="AZ863" t="s">
        <v>74</v>
      </c>
      <c r="BA863" t="s">
        <v>74</v>
      </c>
      <c r="BB863">
        <v>33</v>
      </c>
      <c r="BC863">
        <v>48</v>
      </c>
      <c r="BD863" t="s">
        <v>74</v>
      </c>
      <c r="BE863" t="s">
        <v>16483</v>
      </c>
      <c r="BF863" t="str">
        <f>HYPERLINK("http://dx.doi.org/10.1007/s13199-021-00823-y","http://dx.doi.org/10.1007/s13199-021-00823-y")</f>
        <v>http://dx.doi.org/10.1007/s13199-021-00823-y</v>
      </c>
      <c r="BG863" t="s">
        <v>74</v>
      </c>
      <c r="BH863" t="s">
        <v>14486</v>
      </c>
      <c r="BI863">
        <v>16</v>
      </c>
      <c r="BJ863" t="s">
        <v>747</v>
      </c>
      <c r="BK863" t="s">
        <v>103</v>
      </c>
      <c r="BL863" t="s">
        <v>747</v>
      </c>
      <c r="BM863" t="s">
        <v>16484</v>
      </c>
      <c r="BN863" t="s">
        <v>74</v>
      </c>
      <c r="BO863" t="s">
        <v>948</v>
      </c>
      <c r="BP863" t="s">
        <v>74</v>
      </c>
      <c r="BQ863" t="s">
        <v>74</v>
      </c>
      <c r="BR863" t="s">
        <v>106</v>
      </c>
      <c r="BS863" t="s">
        <v>16485</v>
      </c>
      <c r="BT863" t="str">
        <f>HYPERLINK("https%3A%2F%2Fwww.webofscience.com%2Fwos%2Fwoscc%2Ffull-record%2FWOS:000728440600001","View Full Record in Web of Science")</f>
        <v>View Full Record in Web of Science</v>
      </c>
    </row>
    <row r="864" spans="1:72" x14ac:dyDescent="0.15">
      <c r="A864" t="s">
        <v>72</v>
      </c>
      <c r="B864" t="s">
        <v>16486</v>
      </c>
      <c r="C864" t="s">
        <v>74</v>
      </c>
      <c r="D864" t="s">
        <v>74</v>
      </c>
      <c r="E864" t="s">
        <v>74</v>
      </c>
      <c r="F864" t="s">
        <v>16487</v>
      </c>
      <c r="G864" t="s">
        <v>74</v>
      </c>
      <c r="H864" t="s">
        <v>74</v>
      </c>
      <c r="I864" t="s">
        <v>16488</v>
      </c>
      <c r="J864" t="s">
        <v>351</v>
      </c>
      <c r="K864" t="s">
        <v>74</v>
      </c>
      <c r="L864" t="s">
        <v>74</v>
      </c>
      <c r="M864" t="s">
        <v>78</v>
      </c>
      <c r="N864" t="s">
        <v>79</v>
      </c>
      <c r="O864" t="s">
        <v>74</v>
      </c>
      <c r="P864" t="s">
        <v>74</v>
      </c>
      <c r="Q864" t="s">
        <v>74</v>
      </c>
      <c r="R864" t="s">
        <v>74</v>
      </c>
      <c r="S864" t="s">
        <v>74</v>
      </c>
      <c r="T864" t="s">
        <v>16489</v>
      </c>
      <c r="U864" t="s">
        <v>16490</v>
      </c>
      <c r="V864" t="s">
        <v>74</v>
      </c>
      <c r="W864" t="s">
        <v>16491</v>
      </c>
      <c r="X864" t="s">
        <v>16492</v>
      </c>
      <c r="Y864" t="s">
        <v>16493</v>
      </c>
      <c r="Z864" t="s">
        <v>16494</v>
      </c>
      <c r="AA864" t="s">
        <v>16495</v>
      </c>
      <c r="AB864" t="s">
        <v>16496</v>
      </c>
      <c r="AC864" t="s">
        <v>16497</v>
      </c>
      <c r="AD864" t="s">
        <v>16498</v>
      </c>
      <c r="AE864" t="s">
        <v>16499</v>
      </c>
      <c r="AF864" t="s">
        <v>74</v>
      </c>
      <c r="AG864">
        <v>37</v>
      </c>
      <c r="AH864">
        <v>3</v>
      </c>
      <c r="AI864">
        <v>3</v>
      </c>
      <c r="AJ864">
        <v>2</v>
      </c>
      <c r="AK864">
        <v>7</v>
      </c>
      <c r="AL864" t="s">
        <v>363</v>
      </c>
      <c r="AM864" t="s">
        <v>364</v>
      </c>
      <c r="AN864" t="s">
        <v>365</v>
      </c>
      <c r="AO864" t="s">
        <v>74</v>
      </c>
      <c r="AP864" t="s">
        <v>366</v>
      </c>
      <c r="AQ864" t="s">
        <v>74</v>
      </c>
      <c r="AR864" t="s">
        <v>367</v>
      </c>
      <c r="AS864" t="s">
        <v>368</v>
      </c>
      <c r="AT864" t="s">
        <v>16500</v>
      </c>
      <c r="AU864">
        <v>2021</v>
      </c>
      <c r="AV864">
        <v>8</v>
      </c>
      <c r="AW864" t="s">
        <v>74</v>
      </c>
      <c r="AX864" t="s">
        <v>74</v>
      </c>
      <c r="AY864" t="s">
        <v>74</v>
      </c>
      <c r="AZ864" t="s">
        <v>74</v>
      </c>
      <c r="BA864" t="s">
        <v>74</v>
      </c>
      <c r="BB864" t="s">
        <v>74</v>
      </c>
      <c r="BC864" t="s">
        <v>74</v>
      </c>
      <c r="BD864">
        <v>760731</v>
      </c>
      <c r="BE864" t="s">
        <v>16501</v>
      </c>
      <c r="BF864" t="str">
        <f>HYPERLINK("http://dx.doi.org/10.3389/fmars.2021.760731","http://dx.doi.org/10.3389/fmars.2021.760731")</f>
        <v>http://dx.doi.org/10.3389/fmars.2021.760731</v>
      </c>
      <c r="BG864" t="s">
        <v>74</v>
      </c>
      <c r="BH864" t="s">
        <v>74</v>
      </c>
      <c r="BI864">
        <v>6</v>
      </c>
      <c r="BJ864" t="s">
        <v>102</v>
      </c>
      <c r="BK864" t="s">
        <v>103</v>
      </c>
      <c r="BL864" t="s">
        <v>104</v>
      </c>
      <c r="BM864" t="s">
        <v>16502</v>
      </c>
      <c r="BN864" t="s">
        <v>74</v>
      </c>
      <c r="BO864" t="s">
        <v>16503</v>
      </c>
      <c r="BP864" t="s">
        <v>74</v>
      </c>
      <c r="BQ864" t="s">
        <v>74</v>
      </c>
      <c r="BR864" t="s">
        <v>106</v>
      </c>
      <c r="BS864" t="s">
        <v>16504</v>
      </c>
      <c r="BT864" t="str">
        <f>HYPERLINK("https%3A%2F%2Fwww.webofscience.com%2Fwos%2Fwoscc%2Ffull-record%2FWOS:000732997000001","View Full Record in Web of Science")</f>
        <v>View Full Record in Web of Science</v>
      </c>
    </row>
    <row r="865" spans="1:72" x14ac:dyDescent="0.15">
      <c r="A865" t="s">
        <v>72</v>
      </c>
      <c r="B865" t="s">
        <v>16505</v>
      </c>
      <c r="C865" t="s">
        <v>74</v>
      </c>
      <c r="D865" t="s">
        <v>74</v>
      </c>
      <c r="E865" t="s">
        <v>74</v>
      </c>
      <c r="F865" t="s">
        <v>16506</v>
      </c>
      <c r="G865" t="s">
        <v>74</v>
      </c>
      <c r="H865" t="s">
        <v>74</v>
      </c>
      <c r="I865" t="s">
        <v>16507</v>
      </c>
      <c r="J865" t="s">
        <v>16508</v>
      </c>
      <c r="K865" t="s">
        <v>74</v>
      </c>
      <c r="L865" t="s">
        <v>74</v>
      </c>
      <c r="M865" t="s">
        <v>78</v>
      </c>
      <c r="N865" t="s">
        <v>79</v>
      </c>
      <c r="O865" t="s">
        <v>74</v>
      </c>
      <c r="P865" t="s">
        <v>74</v>
      </c>
      <c r="Q865" t="s">
        <v>74</v>
      </c>
      <c r="R865" t="s">
        <v>74</v>
      </c>
      <c r="S865" t="s">
        <v>74</v>
      </c>
      <c r="T865" t="s">
        <v>16509</v>
      </c>
      <c r="U865" t="s">
        <v>16510</v>
      </c>
      <c r="V865" t="s">
        <v>16511</v>
      </c>
      <c r="W865" t="s">
        <v>16512</v>
      </c>
      <c r="X865" t="s">
        <v>16513</v>
      </c>
      <c r="Y865" t="s">
        <v>16514</v>
      </c>
      <c r="Z865" t="s">
        <v>16515</v>
      </c>
      <c r="AA865" t="s">
        <v>16516</v>
      </c>
      <c r="AB865" t="s">
        <v>16517</v>
      </c>
      <c r="AC865" t="s">
        <v>16518</v>
      </c>
      <c r="AD865" t="s">
        <v>16519</v>
      </c>
      <c r="AE865" t="s">
        <v>16520</v>
      </c>
      <c r="AF865" t="s">
        <v>74</v>
      </c>
      <c r="AG865">
        <v>53</v>
      </c>
      <c r="AH865">
        <v>17</v>
      </c>
      <c r="AI865">
        <v>17</v>
      </c>
      <c r="AJ865">
        <v>5</v>
      </c>
      <c r="AK865">
        <v>46</v>
      </c>
      <c r="AL865" t="s">
        <v>363</v>
      </c>
      <c r="AM865" t="s">
        <v>364</v>
      </c>
      <c r="AN865" t="s">
        <v>365</v>
      </c>
      <c r="AO865" t="s">
        <v>16521</v>
      </c>
      <c r="AP865" t="s">
        <v>74</v>
      </c>
      <c r="AQ865" t="s">
        <v>74</v>
      </c>
      <c r="AR865" t="s">
        <v>16522</v>
      </c>
      <c r="AS865" t="s">
        <v>16523</v>
      </c>
      <c r="AT865" t="s">
        <v>16500</v>
      </c>
      <c r="AU865">
        <v>2021</v>
      </c>
      <c r="AV865">
        <v>12</v>
      </c>
      <c r="AW865" t="s">
        <v>74</v>
      </c>
      <c r="AX865" t="s">
        <v>74</v>
      </c>
      <c r="AY865" t="s">
        <v>74</v>
      </c>
      <c r="AZ865" t="s">
        <v>74</v>
      </c>
      <c r="BA865" t="s">
        <v>74</v>
      </c>
      <c r="BB865" t="s">
        <v>74</v>
      </c>
      <c r="BC865" t="s">
        <v>74</v>
      </c>
      <c r="BD865">
        <v>788377</v>
      </c>
      <c r="BE865" t="s">
        <v>16524</v>
      </c>
      <c r="BF865" t="str">
        <f>HYPERLINK("http://dx.doi.org/10.3389/fpls.2021.788377","http://dx.doi.org/10.3389/fpls.2021.788377")</f>
        <v>http://dx.doi.org/10.3389/fpls.2021.788377</v>
      </c>
      <c r="BG865" t="s">
        <v>74</v>
      </c>
      <c r="BH865" t="s">
        <v>74</v>
      </c>
      <c r="BI865">
        <v>17</v>
      </c>
      <c r="BJ865" t="s">
        <v>1473</v>
      </c>
      <c r="BK865" t="s">
        <v>103</v>
      </c>
      <c r="BL865" t="s">
        <v>1473</v>
      </c>
      <c r="BM865" t="s">
        <v>16525</v>
      </c>
      <c r="BN865">
        <v>34956286</v>
      </c>
      <c r="BO865" t="s">
        <v>292</v>
      </c>
      <c r="BP865" t="s">
        <v>74</v>
      </c>
      <c r="BQ865" t="s">
        <v>74</v>
      </c>
      <c r="BR865" t="s">
        <v>106</v>
      </c>
      <c r="BS865" t="s">
        <v>16526</v>
      </c>
      <c r="BT865" t="str">
        <f>HYPERLINK("https%3A%2F%2Fwww.webofscience.com%2Fwos%2Fwoscc%2Ffull-record%2FWOS:000732735500001","View Full Record in Web of Science")</f>
        <v>View Full Record in Web of Science</v>
      </c>
    </row>
    <row r="866" spans="1:72" x14ac:dyDescent="0.15">
      <c r="A866" t="s">
        <v>72</v>
      </c>
      <c r="B866" t="s">
        <v>16527</v>
      </c>
      <c r="C866" t="s">
        <v>74</v>
      </c>
      <c r="D866" t="s">
        <v>74</v>
      </c>
      <c r="E866" t="s">
        <v>74</v>
      </c>
      <c r="F866" t="s">
        <v>16528</v>
      </c>
      <c r="G866" t="s">
        <v>74</v>
      </c>
      <c r="H866" t="s">
        <v>74</v>
      </c>
      <c r="I866" t="s">
        <v>16529</v>
      </c>
      <c r="J866" t="s">
        <v>15249</v>
      </c>
      <c r="K866" t="s">
        <v>74</v>
      </c>
      <c r="L866" t="s">
        <v>74</v>
      </c>
      <c r="M866" t="s">
        <v>78</v>
      </c>
      <c r="N866" t="s">
        <v>79</v>
      </c>
      <c r="O866" t="s">
        <v>74</v>
      </c>
      <c r="P866" t="s">
        <v>74</v>
      </c>
      <c r="Q866" t="s">
        <v>74</v>
      </c>
      <c r="R866" t="s">
        <v>74</v>
      </c>
      <c r="S866" t="s">
        <v>74</v>
      </c>
      <c r="T866" t="s">
        <v>16530</v>
      </c>
      <c r="U866" t="s">
        <v>16531</v>
      </c>
      <c r="V866" t="s">
        <v>16532</v>
      </c>
      <c r="W866" t="s">
        <v>16533</v>
      </c>
      <c r="X866" t="s">
        <v>16534</v>
      </c>
      <c r="Y866" t="s">
        <v>16535</v>
      </c>
      <c r="Z866" t="s">
        <v>16536</v>
      </c>
      <c r="AA866" t="s">
        <v>16537</v>
      </c>
      <c r="AB866" t="s">
        <v>16538</v>
      </c>
      <c r="AC866" t="s">
        <v>16539</v>
      </c>
      <c r="AD866" t="s">
        <v>16540</v>
      </c>
      <c r="AE866" t="s">
        <v>16541</v>
      </c>
      <c r="AF866" t="s">
        <v>74</v>
      </c>
      <c r="AG866">
        <v>62</v>
      </c>
      <c r="AH866">
        <v>2</v>
      </c>
      <c r="AI866">
        <v>2</v>
      </c>
      <c r="AJ866">
        <v>3</v>
      </c>
      <c r="AK866">
        <v>12</v>
      </c>
      <c r="AL866" t="s">
        <v>15262</v>
      </c>
      <c r="AM866" t="s">
        <v>436</v>
      </c>
      <c r="AN866" t="s">
        <v>15263</v>
      </c>
      <c r="AO866" t="s">
        <v>15264</v>
      </c>
      <c r="AP866" t="s">
        <v>74</v>
      </c>
      <c r="AQ866" t="s">
        <v>74</v>
      </c>
      <c r="AR866" t="s">
        <v>15249</v>
      </c>
      <c r="AS866" t="s">
        <v>15265</v>
      </c>
      <c r="AT866" t="s">
        <v>16500</v>
      </c>
      <c r="AU866">
        <v>2021</v>
      </c>
      <c r="AV866">
        <v>9</v>
      </c>
      <c r="AW866" t="s">
        <v>74</v>
      </c>
      <c r="AX866" t="s">
        <v>74</v>
      </c>
      <c r="AY866" t="s">
        <v>74</v>
      </c>
      <c r="AZ866" t="s">
        <v>74</v>
      </c>
      <c r="BA866" t="s">
        <v>74</v>
      </c>
      <c r="BB866" t="s">
        <v>74</v>
      </c>
      <c r="BC866" t="s">
        <v>74</v>
      </c>
      <c r="BD866" t="s">
        <v>16542</v>
      </c>
      <c r="BE866" t="s">
        <v>16543</v>
      </c>
      <c r="BF866" t="str">
        <f>HYPERLINK("http://dx.doi.org/10.7717/peerj.12608","http://dx.doi.org/10.7717/peerj.12608")</f>
        <v>http://dx.doi.org/10.7717/peerj.12608</v>
      </c>
      <c r="BG866" t="s">
        <v>74</v>
      </c>
      <c r="BH866" t="s">
        <v>74</v>
      </c>
      <c r="BI866">
        <v>22</v>
      </c>
      <c r="BJ866" t="s">
        <v>289</v>
      </c>
      <c r="BK866" t="s">
        <v>103</v>
      </c>
      <c r="BL866" t="s">
        <v>290</v>
      </c>
      <c r="BM866" t="s">
        <v>16544</v>
      </c>
      <c r="BN866">
        <v>34966597</v>
      </c>
      <c r="BO866" t="s">
        <v>15095</v>
      </c>
      <c r="BP866" t="s">
        <v>74</v>
      </c>
      <c r="BQ866" t="s">
        <v>74</v>
      </c>
      <c r="BR866" t="s">
        <v>106</v>
      </c>
      <c r="BS866" t="s">
        <v>16545</v>
      </c>
      <c r="BT866" t="str">
        <f>HYPERLINK("https%3A%2F%2Fwww.webofscience.com%2Fwos%2Fwoscc%2Ffull-record%2FWOS:000731301000003","View Full Record in Web of Science")</f>
        <v>View Full Record in Web of Science</v>
      </c>
    </row>
    <row r="867" spans="1:72" x14ac:dyDescent="0.15">
      <c r="A867" t="s">
        <v>72</v>
      </c>
      <c r="B867" t="s">
        <v>16546</v>
      </c>
      <c r="C867" t="s">
        <v>74</v>
      </c>
      <c r="D867" t="s">
        <v>74</v>
      </c>
      <c r="E867" t="s">
        <v>74</v>
      </c>
      <c r="F867" t="s">
        <v>16547</v>
      </c>
      <c r="G867" t="s">
        <v>74</v>
      </c>
      <c r="H867" t="s">
        <v>74</v>
      </c>
      <c r="I867" t="s">
        <v>16548</v>
      </c>
      <c r="J867" t="s">
        <v>16549</v>
      </c>
      <c r="K867" t="s">
        <v>74</v>
      </c>
      <c r="L867" t="s">
        <v>74</v>
      </c>
      <c r="M867" t="s">
        <v>78</v>
      </c>
      <c r="N867" t="s">
        <v>79</v>
      </c>
      <c r="O867" t="s">
        <v>74</v>
      </c>
      <c r="P867" t="s">
        <v>74</v>
      </c>
      <c r="Q867" t="s">
        <v>74</v>
      </c>
      <c r="R867" t="s">
        <v>74</v>
      </c>
      <c r="S867" t="s">
        <v>74</v>
      </c>
      <c r="T867" t="s">
        <v>16550</v>
      </c>
      <c r="U867" t="s">
        <v>16551</v>
      </c>
      <c r="V867" t="s">
        <v>16552</v>
      </c>
      <c r="W867" t="s">
        <v>16553</v>
      </c>
      <c r="X867" t="s">
        <v>16554</v>
      </c>
      <c r="Y867" t="s">
        <v>16555</v>
      </c>
      <c r="Z867" t="s">
        <v>16556</v>
      </c>
      <c r="AA867" t="s">
        <v>16557</v>
      </c>
      <c r="AB867" t="s">
        <v>16558</v>
      </c>
      <c r="AC867" t="s">
        <v>16559</v>
      </c>
      <c r="AD867" t="s">
        <v>16559</v>
      </c>
      <c r="AE867" t="s">
        <v>16560</v>
      </c>
      <c r="AF867" t="s">
        <v>74</v>
      </c>
      <c r="AG867">
        <v>46</v>
      </c>
      <c r="AH867">
        <v>2</v>
      </c>
      <c r="AI867">
        <v>2</v>
      </c>
      <c r="AJ867">
        <v>3</v>
      </c>
      <c r="AK867">
        <v>5</v>
      </c>
      <c r="AL867" t="s">
        <v>310</v>
      </c>
      <c r="AM867" t="s">
        <v>311</v>
      </c>
      <c r="AN867" t="s">
        <v>312</v>
      </c>
      <c r="AO867" t="s">
        <v>16561</v>
      </c>
      <c r="AP867" t="s">
        <v>16562</v>
      </c>
      <c r="AQ867" t="s">
        <v>74</v>
      </c>
      <c r="AR867" t="s">
        <v>16563</v>
      </c>
      <c r="AS867" t="s">
        <v>16564</v>
      </c>
      <c r="AT867" t="s">
        <v>2125</v>
      </c>
      <c r="AU867">
        <v>2021</v>
      </c>
      <c r="AV867">
        <v>30</v>
      </c>
      <c r="AW867" t="s">
        <v>74</v>
      </c>
      <c r="AX867" t="s">
        <v>74</v>
      </c>
      <c r="AY867" t="s">
        <v>74</v>
      </c>
      <c r="AZ867" t="s">
        <v>233</v>
      </c>
      <c r="BA867" t="s">
        <v>74</v>
      </c>
      <c r="BB867" t="s">
        <v>74</v>
      </c>
      <c r="BC867" t="s">
        <v>74</v>
      </c>
      <c r="BD867">
        <v>100688</v>
      </c>
      <c r="BE867" t="s">
        <v>16565</v>
      </c>
      <c r="BF867" t="str">
        <f>HYPERLINK("http://dx.doi.org/10.1016/j.polar.2021.100688","http://dx.doi.org/10.1016/j.polar.2021.100688")</f>
        <v>http://dx.doi.org/10.1016/j.polar.2021.100688</v>
      </c>
      <c r="BG867" t="s">
        <v>74</v>
      </c>
      <c r="BH867" t="s">
        <v>14486</v>
      </c>
      <c r="BI867">
        <v>13</v>
      </c>
      <c r="BJ867" t="s">
        <v>416</v>
      </c>
      <c r="BK867" t="s">
        <v>103</v>
      </c>
      <c r="BL867" t="s">
        <v>417</v>
      </c>
      <c r="BM867" t="s">
        <v>16566</v>
      </c>
      <c r="BN867" t="s">
        <v>74</v>
      </c>
      <c r="BO867" t="s">
        <v>948</v>
      </c>
      <c r="BP867" t="s">
        <v>74</v>
      </c>
      <c r="BQ867" t="s">
        <v>74</v>
      </c>
      <c r="BR867" t="s">
        <v>106</v>
      </c>
      <c r="BS867" t="s">
        <v>16567</v>
      </c>
      <c r="BT867" t="str">
        <f>HYPERLINK("https%3A%2F%2Fwww.webofscience.com%2Fwos%2Fwoscc%2Ffull-record%2FWOS:000729791100002","View Full Record in Web of Science")</f>
        <v>View Full Record in Web of Science</v>
      </c>
    </row>
    <row r="868" spans="1:72" x14ac:dyDescent="0.15">
      <c r="A868" t="s">
        <v>72</v>
      </c>
      <c r="B868" t="s">
        <v>16568</v>
      </c>
      <c r="C868" t="s">
        <v>74</v>
      </c>
      <c r="D868" t="s">
        <v>74</v>
      </c>
      <c r="E868" t="s">
        <v>74</v>
      </c>
      <c r="F868" t="s">
        <v>16569</v>
      </c>
      <c r="G868" t="s">
        <v>74</v>
      </c>
      <c r="H868" t="s">
        <v>74</v>
      </c>
      <c r="I868" t="s">
        <v>16570</v>
      </c>
      <c r="J868" t="s">
        <v>16549</v>
      </c>
      <c r="K868" t="s">
        <v>74</v>
      </c>
      <c r="L868" t="s">
        <v>74</v>
      </c>
      <c r="M868" t="s">
        <v>78</v>
      </c>
      <c r="N868" t="s">
        <v>79</v>
      </c>
      <c r="O868" t="s">
        <v>74</v>
      </c>
      <c r="P868" t="s">
        <v>74</v>
      </c>
      <c r="Q868" t="s">
        <v>74</v>
      </c>
      <c r="R868" t="s">
        <v>74</v>
      </c>
      <c r="S868" t="s">
        <v>74</v>
      </c>
      <c r="T868" t="s">
        <v>16571</v>
      </c>
      <c r="U868" t="s">
        <v>16572</v>
      </c>
      <c r="V868" t="s">
        <v>16573</v>
      </c>
      <c r="W868" t="s">
        <v>16574</v>
      </c>
      <c r="X868" t="s">
        <v>1045</v>
      </c>
      <c r="Y868" t="s">
        <v>16575</v>
      </c>
      <c r="Z868" t="s">
        <v>16576</v>
      </c>
      <c r="AA868" t="s">
        <v>74</v>
      </c>
      <c r="AB868" t="s">
        <v>16577</v>
      </c>
      <c r="AC868" t="s">
        <v>16578</v>
      </c>
      <c r="AD868" t="s">
        <v>16579</v>
      </c>
      <c r="AE868" t="s">
        <v>16580</v>
      </c>
      <c r="AF868" t="s">
        <v>74</v>
      </c>
      <c r="AG868">
        <v>85</v>
      </c>
      <c r="AH868">
        <v>2</v>
      </c>
      <c r="AI868">
        <v>2</v>
      </c>
      <c r="AJ868">
        <v>0</v>
      </c>
      <c r="AK868">
        <v>2</v>
      </c>
      <c r="AL868" t="s">
        <v>310</v>
      </c>
      <c r="AM868" t="s">
        <v>311</v>
      </c>
      <c r="AN868" t="s">
        <v>312</v>
      </c>
      <c r="AO868" t="s">
        <v>16561</v>
      </c>
      <c r="AP868" t="s">
        <v>16562</v>
      </c>
      <c r="AQ868" t="s">
        <v>74</v>
      </c>
      <c r="AR868" t="s">
        <v>16563</v>
      </c>
      <c r="AS868" t="s">
        <v>16564</v>
      </c>
      <c r="AT868" t="s">
        <v>2125</v>
      </c>
      <c r="AU868">
        <v>2021</v>
      </c>
      <c r="AV868">
        <v>30</v>
      </c>
      <c r="AW868" t="s">
        <v>74</v>
      </c>
      <c r="AX868" t="s">
        <v>74</v>
      </c>
      <c r="AY868" t="s">
        <v>74</v>
      </c>
      <c r="AZ868" t="s">
        <v>74</v>
      </c>
      <c r="BA868" t="s">
        <v>74</v>
      </c>
      <c r="BB868" t="s">
        <v>74</v>
      </c>
      <c r="BC868" t="s">
        <v>74</v>
      </c>
      <c r="BD868">
        <v>100705</v>
      </c>
      <c r="BE868" t="s">
        <v>16581</v>
      </c>
      <c r="BF868" t="str">
        <f>HYPERLINK("http://dx.doi.org/10.1016/j.polar.2021.100705","http://dx.doi.org/10.1016/j.polar.2021.100705")</f>
        <v>http://dx.doi.org/10.1016/j.polar.2021.100705</v>
      </c>
      <c r="BG868" t="s">
        <v>74</v>
      </c>
      <c r="BH868" t="s">
        <v>14486</v>
      </c>
      <c r="BI868">
        <v>17</v>
      </c>
      <c r="BJ868" t="s">
        <v>416</v>
      </c>
      <c r="BK868" t="s">
        <v>103</v>
      </c>
      <c r="BL868" t="s">
        <v>417</v>
      </c>
      <c r="BM868" t="s">
        <v>16582</v>
      </c>
      <c r="BN868" t="s">
        <v>74</v>
      </c>
      <c r="BO868" t="s">
        <v>948</v>
      </c>
      <c r="BP868" t="s">
        <v>74</v>
      </c>
      <c r="BQ868" t="s">
        <v>74</v>
      </c>
      <c r="BR868" t="s">
        <v>106</v>
      </c>
      <c r="BS868" t="s">
        <v>16583</v>
      </c>
      <c r="BT868" t="str">
        <f>HYPERLINK("https%3A%2F%2Fwww.webofscience.com%2Fwos%2Fwoscc%2Ffull-record%2FWOS:000729781600001","View Full Record in Web of Science")</f>
        <v>View Full Record in Web of Science</v>
      </c>
    </row>
    <row r="869" spans="1:72" x14ac:dyDescent="0.15">
      <c r="A869" t="s">
        <v>72</v>
      </c>
      <c r="B869" t="s">
        <v>16584</v>
      </c>
      <c r="C869" t="s">
        <v>74</v>
      </c>
      <c r="D869" t="s">
        <v>74</v>
      </c>
      <c r="E869" t="s">
        <v>74</v>
      </c>
      <c r="F869" t="s">
        <v>16585</v>
      </c>
      <c r="G869" t="s">
        <v>74</v>
      </c>
      <c r="H869" t="s">
        <v>74</v>
      </c>
      <c r="I869" t="s">
        <v>16586</v>
      </c>
      <c r="J869" t="s">
        <v>16549</v>
      </c>
      <c r="K869" t="s">
        <v>74</v>
      </c>
      <c r="L869" t="s">
        <v>74</v>
      </c>
      <c r="M869" t="s">
        <v>78</v>
      </c>
      <c r="N869" t="s">
        <v>79</v>
      </c>
      <c r="O869" t="s">
        <v>74</v>
      </c>
      <c r="P869" t="s">
        <v>74</v>
      </c>
      <c r="Q869" t="s">
        <v>74</v>
      </c>
      <c r="R869" t="s">
        <v>74</v>
      </c>
      <c r="S869" t="s">
        <v>74</v>
      </c>
      <c r="T869" t="s">
        <v>16587</v>
      </c>
      <c r="U869" t="s">
        <v>16588</v>
      </c>
      <c r="V869" t="s">
        <v>16589</v>
      </c>
      <c r="W869" t="s">
        <v>16590</v>
      </c>
      <c r="X869" t="s">
        <v>16591</v>
      </c>
      <c r="Y869" t="s">
        <v>16592</v>
      </c>
      <c r="Z869" t="s">
        <v>16593</v>
      </c>
      <c r="AA869" t="s">
        <v>16594</v>
      </c>
      <c r="AB869" t="s">
        <v>16595</v>
      </c>
      <c r="AC869" t="s">
        <v>16596</v>
      </c>
      <c r="AD869" t="s">
        <v>16597</v>
      </c>
      <c r="AE869" t="s">
        <v>16598</v>
      </c>
      <c r="AF869" t="s">
        <v>74</v>
      </c>
      <c r="AG869">
        <v>184</v>
      </c>
      <c r="AH869">
        <v>13</v>
      </c>
      <c r="AI869">
        <v>14</v>
      </c>
      <c r="AJ869">
        <v>6</v>
      </c>
      <c r="AK869">
        <v>29</v>
      </c>
      <c r="AL869" t="s">
        <v>310</v>
      </c>
      <c r="AM869" t="s">
        <v>311</v>
      </c>
      <c r="AN869" t="s">
        <v>312</v>
      </c>
      <c r="AO869" t="s">
        <v>16561</v>
      </c>
      <c r="AP869" t="s">
        <v>16562</v>
      </c>
      <c r="AQ869" t="s">
        <v>74</v>
      </c>
      <c r="AR869" t="s">
        <v>16563</v>
      </c>
      <c r="AS869" t="s">
        <v>16564</v>
      </c>
      <c r="AT869" t="s">
        <v>2125</v>
      </c>
      <c r="AU869">
        <v>2021</v>
      </c>
      <c r="AV869">
        <v>30</v>
      </c>
      <c r="AW869" t="s">
        <v>74</v>
      </c>
      <c r="AX869" t="s">
        <v>74</v>
      </c>
      <c r="AY869" t="s">
        <v>74</v>
      </c>
      <c r="AZ869" t="s">
        <v>233</v>
      </c>
      <c r="BA869" t="s">
        <v>74</v>
      </c>
      <c r="BB869" t="s">
        <v>74</v>
      </c>
      <c r="BC869" t="s">
        <v>74</v>
      </c>
      <c r="BD869">
        <v>100686</v>
      </c>
      <c r="BE869" t="s">
        <v>16599</v>
      </c>
      <c r="BF869" t="str">
        <f>HYPERLINK("http://dx.doi.org/10.1016/j.polar.2021.100686","http://dx.doi.org/10.1016/j.polar.2021.100686")</f>
        <v>http://dx.doi.org/10.1016/j.polar.2021.100686</v>
      </c>
      <c r="BG869" t="s">
        <v>74</v>
      </c>
      <c r="BH869" t="s">
        <v>14486</v>
      </c>
      <c r="BI869">
        <v>16</v>
      </c>
      <c r="BJ869" t="s">
        <v>416</v>
      </c>
      <c r="BK869" t="s">
        <v>103</v>
      </c>
      <c r="BL869" t="s">
        <v>417</v>
      </c>
      <c r="BM869" t="s">
        <v>16566</v>
      </c>
      <c r="BN869" t="s">
        <v>74</v>
      </c>
      <c r="BO869" t="s">
        <v>749</v>
      </c>
      <c r="BP869" t="s">
        <v>74</v>
      </c>
      <c r="BQ869" t="s">
        <v>74</v>
      </c>
      <c r="BR869" t="s">
        <v>106</v>
      </c>
      <c r="BS869" t="s">
        <v>16600</v>
      </c>
      <c r="BT869" t="str">
        <f>HYPERLINK("https%3A%2F%2Fwww.webofscience.com%2Fwos%2Fwoscc%2Ffull-record%2FWOS:000729791100004","View Full Record in Web of Science")</f>
        <v>View Full Record in Web of Science</v>
      </c>
    </row>
    <row r="870" spans="1:72" x14ac:dyDescent="0.15">
      <c r="A870" t="s">
        <v>72</v>
      </c>
      <c r="B870" t="s">
        <v>16601</v>
      </c>
      <c r="C870" t="s">
        <v>74</v>
      </c>
      <c r="D870" t="s">
        <v>74</v>
      </c>
      <c r="E870" t="s">
        <v>74</v>
      </c>
      <c r="F870" t="s">
        <v>16602</v>
      </c>
      <c r="G870" t="s">
        <v>74</v>
      </c>
      <c r="H870" t="s">
        <v>74</v>
      </c>
      <c r="I870" t="s">
        <v>16603</v>
      </c>
      <c r="J870" t="s">
        <v>16549</v>
      </c>
      <c r="K870" t="s">
        <v>74</v>
      </c>
      <c r="L870" t="s">
        <v>74</v>
      </c>
      <c r="M870" t="s">
        <v>78</v>
      </c>
      <c r="N870" t="s">
        <v>1113</v>
      </c>
      <c r="O870" t="s">
        <v>74</v>
      </c>
      <c r="P870" t="s">
        <v>74</v>
      </c>
      <c r="Q870" t="s">
        <v>74</v>
      </c>
      <c r="R870" t="s">
        <v>74</v>
      </c>
      <c r="S870" t="s">
        <v>74</v>
      </c>
      <c r="T870" t="s">
        <v>16604</v>
      </c>
      <c r="U870" t="s">
        <v>16605</v>
      </c>
      <c r="V870" t="s">
        <v>16606</v>
      </c>
      <c r="W870" t="s">
        <v>16607</v>
      </c>
      <c r="X870" t="s">
        <v>16608</v>
      </c>
      <c r="Y870" t="s">
        <v>16609</v>
      </c>
      <c r="Z870" t="s">
        <v>16610</v>
      </c>
      <c r="AA870" t="s">
        <v>16611</v>
      </c>
      <c r="AB870" t="s">
        <v>16612</v>
      </c>
      <c r="AC870" t="s">
        <v>16613</v>
      </c>
      <c r="AD870" t="s">
        <v>16614</v>
      </c>
      <c r="AE870" t="s">
        <v>16615</v>
      </c>
      <c r="AF870" t="s">
        <v>74</v>
      </c>
      <c r="AG870">
        <v>260</v>
      </c>
      <c r="AH870">
        <v>7</v>
      </c>
      <c r="AI870">
        <v>7</v>
      </c>
      <c r="AJ870">
        <v>7</v>
      </c>
      <c r="AK870">
        <v>46</v>
      </c>
      <c r="AL870" t="s">
        <v>310</v>
      </c>
      <c r="AM870" t="s">
        <v>311</v>
      </c>
      <c r="AN870" t="s">
        <v>312</v>
      </c>
      <c r="AO870" t="s">
        <v>16561</v>
      </c>
      <c r="AP870" t="s">
        <v>16562</v>
      </c>
      <c r="AQ870" t="s">
        <v>74</v>
      </c>
      <c r="AR870" t="s">
        <v>16563</v>
      </c>
      <c r="AS870" t="s">
        <v>16564</v>
      </c>
      <c r="AT870" t="s">
        <v>2125</v>
      </c>
      <c r="AU870">
        <v>2021</v>
      </c>
      <c r="AV870">
        <v>30</v>
      </c>
      <c r="AW870" t="s">
        <v>74</v>
      </c>
      <c r="AX870" t="s">
        <v>74</v>
      </c>
      <c r="AY870" t="s">
        <v>74</v>
      </c>
      <c r="AZ870" t="s">
        <v>74</v>
      </c>
      <c r="BA870" t="s">
        <v>74</v>
      </c>
      <c r="BB870" t="s">
        <v>74</v>
      </c>
      <c r="BC870" t="s">
        <v>74</v>
      </c>
      <c r="BD870">
        <v>100720</v>
      </c>
      <c r="BE870" t="s">
        <v>16616</v>
      </c>
      <c r="BF870" t="str">
        <f>HYPERLINK("http://dx.doi.org/10.1016/j.polar.2021.100720","http://dx.doi.org/10.1016/j.polar.2021.100720")</f>
        <v>http://dx.doi.org/10.1016/j.polar.2021.100720</v>
      </c>
      <c r="BG870" t="s">
        <v>74</v>
      </c>
      <c r="BH870" t="s">
        <v>14486</v>
      </c>
      <c r="BI870">
        <v>17</v>
      </c>
      <c r="BJ870" t="s">
        <v>416</v>
      </c>
      <c r="BK870" t="s">
        <v>103</v>
      </c>
      <c r="BL870" t="s">
        <v>417</v>
      </c>
      <c r="BM870" t="s">
        <v>16617</v>
      </c>
      <c r="BN870" t="s">
        <v>74</v>
      </c>
      <c r="BO870" t="s">
        <v>948</v>
      </c>
      <c r="BP870" t="s">
        <v>74</v>
      </c>
      <c r="BQ870" t="s">
        <v>74</v>
      </c>
      <c r="BR870" t="s">
        <v>106</v>
      </c>
      <c r="BS870" t="s">
        <v>16618</v>
      </c>
      <c r="BT870" t="str">
        <f>HYPERLINK("https%3A%2F%2Fwww.webofscience.com%2Fwos%2Fwoscc%2Ffull-record%2FWOS:000729874200003","View Full Record in Web of Science")</f>
        <v>View Full Record in Web of Science</v>
      </c>
    </row>
    <row r="871" spans="1:72" x14ac:dyDescent="0.15">
      <c r="A871" t="s">
        <v>72</v>
      </c>
      <c r="B871" t="s">
        <v>16619</v>
      </c>
      <c r="C871" t="s">
        <v>74</v>
      </c>
      <c r="D871" t="s">
        <v>74</v>
      </c>
      <c r="E871" t="s">
        <v>74</v>
      </c>
      <c r="F871" t="s">
        <v>16620</v>
      </c>
      <c r="G871" t="s">
        <v>74</v>
      </c>
      <c r="H871" t="s">
        <v>74</v>
      </c>
      <c r="I871" t="s">
        <v>16621</v>
      </c>
      <c r="J871" t="s">
        <v>16622</v>
      </c>
      <c r="K871" t="s">
        <v>74</v>
      </c>
      <c r="L871" t="s">
        <v>74</v>
      </c>
      <c r="M871" t="s">
        <v>78</v>
      </c>
      <c r="N871" t="s">
        <v>79</v>
      </c>
      <c r="O871" t="s">
        <v>74</v>
      </c>
      <c r="P871" t="s">
        <v>74</v>
      </c>
      <c r="Q871" t="s">
        <v>74</v>
      </c>
      <c r="R871" t="s">
        <v>74</v>
      </c>
      <c r="S871" t="s">
        <v>74</v>
      </c>
      <c r="T871" t="s">
        <v>16623</v>
      </c>
      <c r="U871" t="s">
        <v>16624</v>
      </c>
      <c r="V871" t="s">
        <v>16625</v>
      </c>
      <c r="W871" t="s">
        <v>16626</v>
      </c>
      <c r="X871" t="s">
        <v>16627</v>
      </c>
      <c r="Y871" t="s">
        <v>16628</v>
      </c>
      <c r="Z871" t="s">
        <v>16629</v>
      </c>
      <c r="AA871" t="s">
        <v>16630</v>
      </c>
      <c r="AB871" t="s">
        <v>16631</v>
      </c>
      <c r="AC871" t="s">
        <v>16632</v>
      </c>
      <c r="AD871" t="s">
        <v>16633</v>
      </c>
      <c r="AE871" t="s">
        <v>16634</v>
      </c>
      <c r="AF871" t="s">
        <v>74</v>
      </c>
      <c r="AG871">
        <v>63</v>
      </c>
      <c r="AH871">
        <v>6</v>
      </c>
      <c r="AI871">
        <v>8</v>
      </c>
      <c r="AJ871">
        <v>2</v>
      </c>
      <c r="AK871">
        <v>19</v>
      </c>
      <c r="AL871" t="s">
        <v>171</v>
      </c>
      <c r="AM871" t="s">
        <v>172</v>
      </c>
      <c r="AN871" t="s">
        <v>173</v>
      </c>
      <c r="AO871" t="s">
        <v>16635</v>
      </c>
      <c r="AP871" t="s">
        <v>16636</v>
      </c>
      <c r="AQ871" t="s">
        <v>74</v>
      </c>
      <c r="AR871" t="s">
        <v>16622</v>
      </c>
      <c r="AS871" t="s">
        <v>16637</v>
      </c>
      <c r="AT871" t="s">
        <v>99</v>
      </c>
      <c r="AU871">
        <v>2022</v>
      </c>
      <c r="AV871">
        <v>2022</v>
      </c>
      <c r="AW871">
        <v>3</v>
      </c>
      <c r="AX871" t="s">
        <v>74</v>
      </c>
      <c r="AY871" t="s">
        <v>74</v>
      </c>
      <c r="AZ871" t="s">
        <v>74</v>
      </c>
      <c r="BA871" t="s">
        <v>74</v>
      </c>
      <c r="BB871" t="s">
        <v>74</v>
      </c>
      <c r="BC871" t="s">
        <v>74</v>
      </c>
      <c r="BD871" t="s">
        <v>74</v>
      </c>
      <c r="BE871" t="s">
        <v>16638</v>
      </c>
      <c r="BF871" t="str">
        <f>HYPERLINK("http://dx.doi.org/10.1111/oik.08896","http://dx.doi.org/10.1111/oik.08896")</f>
        <v>http://dx.doi.org/10.1111/oik.08896</v>
      </c>
      <c r="BG871" t="s">
        <v>74</v>
      </c>
      <c r="BH871" t="s">
        <v>14486</v>
      </c>
      <c r="BI871">
        <v>12</v>
      </c>
      <c r="BJ871" t="s">
        <v>1723</v>
      </c>
      <c r="BK871" t="s">
        <v>103</v>
      </c>
      <c r="BL871" t="s">
        <v>1561</v>
      </c>
      <c r="BM871" t="s">
        <v>16639</v>
      </c>
      <c r="BN871" t="s">
        <v>74</v>
      </c>
      <c r="BO871" t="s">
        <v>749</v>
      </c>
      <c r="BP871" t="s">
        <v>74</v>
      </c>
      <c r="BQ871" t="s">
        <v>74</v>
      </c>
      <c r="BR871" t="s">
        <v>106</v>
      </c>
      <c r="BS871" t="s">
        <v>16640</v>
      </c>
      <c r="BT871" t="str">
        <f>HYPERLINK("https%3A%2F%2Fwww.webofscience.com%2Fwos%2Fwoscc%2Ffull-record%2FWOS:000730340000001","View Full Record in Web of Science")</f>
        <v>View Full Record in Web of Science</v>
      </c>
    </row>
    <row r="872" spans="1:72" x14ac:dyDescent="0.15">
      <c r="A872" t="s">
        <v>72</v>
      </c>
      <c r="B872" t="s">
        <v>16641</v>
      </c>
      <c r="C872" t="s">
        <v>74</v>
      </c>
      <c r="D872" t="s">
        <v>74</v>
      </c>
      <c r="E872" t="s">
        <v>74</v>
      </c>
      <c r="F872" t="s">
        <v>16642</v>
      </c>
      <c r="G872" t="s">
        <v>74</v>
      </c>
      <c r="H872" t="s">
        <v>74</v>
      </c>
      <c r="I872" t="s">
        <v>16643</v>
      </c>
      <c r="J872" t="s">
        <v>16549</v>
      </c>
      <c r="K872" t="s">
        <v>74</v>
      </c>
      <c r="L872" t="s">
        <v>74</v>
      </c>
      <c r="M872" t="s">
        <v>78</v>
      </c>
      <c r="N872" t="s">
        <v>79</v>
      </c>
      <c r="O872" t="s">
        <v>74</v>
      </c>
      <c r="P872" t="s">
        <v>74</v>
      </c>
      <c r="Q872" t="s">
        <v>74</v>
      </c>
      <c r="R872" t="s">
        <v>74</v>
      </c>
      <c r="S872" t="s">
        <v>74</v>
      </c>
      <c r="T872" t="s">
        <v>16644</v>
      </c>
      <c r="U872" t="s">
        <v>16645</v>
      </c>
      <c r="V872" t="s">
        <v>16646</v>
      </c>
      <c r="W872" t="s">
        <v>16647</v>
      </c>
      <c r="X872" t="s">
        <v>16648</v>
      </c>
      <c r="Y872" t="s">
        <v>16649</v>
      </c>
      <c r="Z872" t="s">
        <v>16650</v>
      </c>
      <c r="AA872" t="s">
        <v>16651</v>
      </c>
      <c r="AB872" t="s">
        <v>16652</v>
      </c>
      <c r="AC872" t="s">
        <v>16653</v>
      </c>
      <c r="AD872" t="s">
        <v>16653</v>
      </c>
      <c r="AE872" t="s">
        <v>16654</v>
      </c>
      <c r="AF872" t="s">
        <v>74</v>
      </c>
      <c r="AG872">
        <v>72</v>
      </c>
      <c r="AH872">
        <v>1</v>
      </c>
      <c r="AI872">
        <v>1</v>
      </c>
      <c r="AJ872">
        <v>1</v>
      </c>
      <c r="AK872">
        <v>12</v>
      </c>
      <c r="AL872" t="s">
        <v>310</v>
      </c>
      <c r="AM872" t="s">
        <v>311</v>
      </c>
      <c r="AN872" t="s">
        <v>312</v>
      </c>
      <c r="AO872" t="s">
        <v>16561</v>
      </c>
      <c r="AP872" t="s">
        <v>16562</v>
      </c>
      <c r="AQ872" t="s">
        <v>74</v>
      </c>
      <c r="AR872" t="s">
        <v>16563</v>
      </c>
      <c r="AS872" t="s">
        <v>16564</v>
      </c>
      <c r="AT872" t="s">
        <v>2125</v>
      </c>
      <c r="AU872">
        <v>2021</v>
      </c>
      <c r="AV872">
        <v>30</v>
      </c>
      <c r="AW872" t="s">
        <v>74</v>
      </c>
      <c r="AX872" t="s">
        <v>74</v>
      </c>
      <c r="AY872" t="s">
        <v>74</v>
      </c>
      <c r="AZ872" t="s">
        <v>74</v>
      </c>
      <c r="BA872" t="s">
        <v>74</v>
      </c>
      <c r="BB872" t="s">
        <v>74</v>
      </c>
      <c r="BC872" t="s">
        <v>74</v>
      </c>
      <c r="BD872">
        <v>100740</v>
      </c>
      <c r="BE872" t="s">
        <v>16655</v>
      </c>
      <c r="BF872" t="str">
        <f>HYPERLINK("http://dx.doi.org/10.1016/j.polar.2021.100740","http://dx.doi.org/10.1016/j.polar.2021.100740")</f>
        <v>http://dx.doi.org/10.1016/j.polar.2021.100740</v>
      </c>
      <c r="BG872" t="s">
        <v>74</v>
      </c>
      <c r="BH872" t="s">
        <v>14486</v>
      </c>
      <c r="BI872">
        <v>11</v>
      </c>
      <c r="BJ872" t="s">
        <v>416</v>
      </c>
      <c r="BK872" t="s">
        <v>103</v>
      </c>
      <c r="BL872" t="s">
        <v>417</v>
      </c>
      <c r="BM872" t="s">
        <v>16656</v>
      </c>
      <c r="BN872" t="s">
        <v>74</v>
      </c>
      <c r="BO872" t="s">
        <v>74</v>
      </c>
      <c r="BP872" t="s">
        <v>74</v>
      </c>
      <c r="BQ872" t="s">
        <v>74</v>
      </c>
      <c r="BR872" t="s">
        <v>106</v>
      </c>
      <c r="BS872" t="s">
        <v>16657</v>
      </c>
      <c r="BT872" t="str">
        <f>HYPERLINK("https%3A%2F%2Fwww.webofscience.com%2Fwos%2Fwoscc%2Ffull-record%2FWOS:000729934600003","View Full Record in Web of Science")</f>
        <v>View Full Record in Web of Science</v>
      </c>
    </row>
    <row r="873" spans="1:72" x14ac:dyDescent="0.15">
      <c r="A873" t="s">
        <v>72</v>
      </c>
      <c r="B873" t="s">
        <v>16658</v>
      </c>
      <c r="C873" t="s">
        <v>74</v>
      </c>
      <c r="D873" t="s">
        <v>74</v>
      </c>
      <c r="E873" t="s">
        <v>74</v>
      </c>
      <c r="F873" t="s">
        <v>16659</v>
      </c>
      <c r="G873" t="s">
        <v>74</v>
      </c>
      <c r="H873" t="s">
        <v>74</v>
      </c>
      <c r="I873" t="s">
        <v>16660</v>
      </c>
      <c r="J873" t="s">
        <v>16549</v>
      </c>
      <c r="K873" t="s">
        <v>74</v>
      </c>
      <c r="L873" t="s">
        <v>74</v>
      </c>
      <c r="M873" t="s">
        <v>78</v>
      </c>
      <c r="N873" t="s">
        <v>79</v>
      </c>
      <c r="O873" t="s">
        <v>74</v>
      </c>
      <c r="P873" t="s">
        <v>74</v>
      </c>
      <c r="Q873" t="s">
        <v>74</v>
      </c>
      <c r="R873" t="s">
        <v>74</v>
      </c>
      <c r="S873" t="s">
        <v>74</v>
      </c>
      <c r="T873" t="s">
        <v>16661</v>
      </c>
      <c r="U873" t="s">
        <v>16662</v>
      </c>
      <c r="V873" t="s">
        <v>16663</v>
      </c>
      <c r="W873" t="s">
        <v>16664</v>
      </c>
      <c r="X873" t="s">
        <v>16665</v>
      </c>
      <c r="Y873" t="s">
        <v>16666</v>
      </c>
      <c r="Z873" t="s">
        <v>16667</v>
      </c>
      <c r="AA873" t="s">
        <v>74</v>
      </c>
      <c r="AB873" t="s">
        <v>16668</v>
      </c>
      <c r="AC873" t="s">
        <v>16669</v>
      </c>
      <c r="AD873" t="s">
        <v>16670</v>
      </c>
      <c r="AE873" t="s">
        <v>16671</v>
      </c>
      <c r="AF873" t="s">
        <v>74</v>
      </c>
      <c r="AG873">
        <v>137</v>
      </c>
      <c r="AH873">
        <v>7</v>
      </c>
      <c r="AI873">
        <v>7</v>
      </c>
      <c r="AJ873">
        <v>0</v>
      </c>
      <c r="AK873">
        <v>6</v>
      </c>
      <c r="AL873" t="s">
        <v>310</v>
      </c>
      <c r="AM873" t="s">
        <v>311</v>
      </c>
      <c r="AN873" t="s">
        <v>312</v>
      </c>
      <c r="AO873" t="s">
        <v>16561</v>
      </c>
      <c r="AP873" t="s">
        <v>16562</v>
      </c>
      <c r="AQ873" t="s">
        <v>74</v>
      </c>
      <c r="AR873" t="s">
        <v>16563</v>
      </c>
      <c r="AS873" t="s">
        <v>16564</v>
      </c>
      <c r="AT873" t="s">
        <v>2125</v>
      </c>
      <c r="AU873">
        <v>2021</v>
      </c>
      <c r="AV873">
        <v>30</v>
      </c>
      <c r="AW873" t="s">
        <v>74</v>
      </c>
      <c r="AX873" t="s">
        <v>74</v>
      </c>
      <c r="AY873" t="s">
        <v>74</v>
      </c>
      <c r="AZ873" t="s">
        <v>74</v>
      </c>
      <c r="BA873" t="s">
        <v>74</v>
      </c>
      <c r="BB873" t="s">
        <v>74</v>
      </c>
      <c r="BC873" t="s">
        <v>74</v>
      </c>
      <c r="BD873">
        <v>100689</v>
      </c>
      <c r="BE873" t="s">
        <v>16672</v>
      </c>
      <c r="BF873" t="str">
        <f>HYPERLINK("http://dx.doi.org/10.1016/j.polar.2021.100689","http://dx.doi.org/10.1016/j.polar.2021.100689")</f>
        <v>http://dx.doi.org/10.1016/j.polar.2021.100689</v>
      </c>
      <c r="BG873" t="s">
        <v>74</v>
      </c>
      <c r="BH873" t="s">
        <v>14486</v>
      </c>
      <c r="BI873">
        <v>17</v>
      </c>
      <c r="BJ873" t="s">
        <v>416</v>
      </c>
      <c r="BK873" t="s">
        <v>103</v>
      </c>
      <c r="BL873" t="s">
        <v>417</v>
      </c>
      <c r="BM873" t="s">
        <v>16673</v>
      </c>
      <c r="BN873" t="s">
        <v>74</v>
      </c>
      <c r="BO873" t="s">
        <v>948</v>
      </c>
      <c r="BP873" t="s">
        <v>74</v>
      </c>
      <c r="BQ873" t="s">
        <v>74</v>
      </c>
      <c r="BR873" t="s">
        <v>106</v>
      </c>
      <c r="BS873" t="s">
        <v>16674</v>
      </c>
      <c r="BT873" t="str">
        <f>HYPERLINK("https%3A%2F%2Fwww.webofscience.com%2Fwos%2Fwoscc%2Ffull-record%2FWOS:000729873400001","View Full Record in Web of Science")</f>
        <v>View Full Record in Web of Science</v>
      </c>
    </row>
    <row r="874" spans="1:72" x14ac:dyDescent="0.15">
      <c r="A874" t="s">
        <v>72</v>
      </c>
      <c r="B874" t="s">
        <v>16675</v>
      </c>
      <c r="C874" t="s">
        <v>74</v>
      </c>
      <c r="D874" t="s">
        <v>74</v>
      </c>
      <c r="E874" t="s">
        <v>74</v>
      </c>
      <c r="F874" t="s">
        <v>16676</v>
      </c>
      <c r="G874" t="s">
        <v>74</v>
      </c>
      <c r="H874" t="s">
        <v>74</v>
      </c>
      <c r="I874" t="s">
        <v>16677</v>
      </c>
      <c r="J874" t="s">
        <v>16549</v>
      </c>
      <c r="K874" t="s">
        <v>74</v>
      </c>
      <c r="L874" t="s">
        <v>74</v>
      </c>
      <c r="M874" t="s">
        <v>78</v>
      </c>
      <c r="N874" t="s">
        <v>79</v>
      </c>
      <c r="O874" t="s">
        <v>74</v>
      </c>
      <c r="P874" t="s">
        <v>74</v>
      </c>
      <c r="Q874" t="s">
        <v>74</v>
      </c>
      <c r="R874" t="s">
        <v>74</v>
      </c>
      <c r="S874" t="s">
        <v>74</v>
      </c>
      <c r="T874" t="s">
        <v>16678</v>
      </c>
      <c r="U874" t="s">
        <v>16679</v>
      </c>
      <c r="V874" t="s">
        <v>16680</v>
      </c>
      <c r="W874" t="s">
        <v>16681</v>
      </c>
      <c r="X874" t="s">
        <v>16682</v>
      </c>
      <c r="Y874" t="s">
        <v>16683</v>
      </c>
      <c r="Z874" t="s">
        <v>16684</v>
      </c>
      <c r="AA874" t="s">
        <v>16685</v>
      </c>
      <c r="AB874" t="s">
        <v>16686</v>
      </c>
      <c r="AC874" t="s">
        <v>16687</v>
      </c>
      <c r="AD874" t="s">
        <v>16688</v>
      </c>
      <c r="AE874" t="s">
        <v>16689</v>
      </c>
      <c r="AF874" t="s">
        <v>74</v>
      </c>
      <c r="AG874">
        <v>66</v>
      </c>
      <c r="AH874">
        <v>1</v>
      </c>
      <c r="AI874">
        <v>1</v>
      </c>
      <c r="AJ874">
        <v>3</v>
      </c>
      <c r="AK874">
        <v>8</v>
      </c>
      <c r="AL874" t="s">
        <v>310</v>
      </c>
      <c r="AM874" t="s">
        <v>311</v>
      </c>
      <c r="AN874" t="s">
        <v>312</v>
      </c>
      <c r="AO874" t="s">
        <v>16561</v>
      </c>
      <c r="AP874" t="s">
        <v>16562</v>
      </c>
      <c r="AQ874" t="s">
        <v>74</v>
      </c>
      <c r="AR874" t="s">
        <v>16563</v>
      </c>
      <c r="AS874" t="s">
        <v>16564</v>
      </c>
      <c r="AT874" t="s">
        <v>2125</v>
      </c>
      <c r="AU874">
        <v>2021</v>
      </c>
      <c r="AV874">
        <v>30</v>
      </c>
      <c r="AW874" t="s">
        <v>74</v>
      </c>
      <c r="AX874" t="s">
        <v>74</v>
      </c>
      <c r="AY874" t="s">
        <v>74</v>
      </c>
      <c r="AZ874" t="s">
        <v>74</v>
      </c>
      <c r="BA874" t="s">
        <v>74</v>
      </c>
      <c r="BB874" t="s">
        <v>74</v>
      </c>
      <c r="BC874" t="s">
        <v>74</v>
      </c>
      <c r="BD874">
        <v>100701</v>
      </c>
      <c r="BE874" t="s">
        <v>16690</v>
      </c>
      <c r="BF874" t="str">
        <f>HYPERLINK("http://dx.doi.org/10.1016/j.polar.2021.100701","http://dx.doi.org/10.1016/j.polar.2021.100701")</f>
        <v>http://dx.doi.org/10.1016/j.polar.2021.100701</v>
      </c>
      <c r="BG874" t="s">
        <v>74</v>
      </c>
      <c r="BH874" t="s">
        <v>14486</v>
      </c>
      <c r="BI874">
        <v>8</v>
      </c>
      <c r="BJ874" t="s">
        <v>416</v>
      </c>
      <c r="BK874" t="s">
        <v>103</v>
      </c>
      <c r="BL874" t="s">
        <v>417</v>
      </c>
      <c r="BM874" t="s">
        <v>16673</v>
      </c>
      <c r="BN874" t="s">
        <v>74</v>
      </c>
      <c r="BO874" t="s">
        <v>2996</v>
      </c>
      <c r="BP874" t="s">
        <v>74</v>
      </c>
      <c r="BQ874" t="s">
        <v>74</v>
      </c>
      <c r="BR874" t="s">
        <v>106</v>
      </c>
      <c r="BS874" t="s">
        <v>16691</v>
      </c>
      <c r="BT874" t="str">
        <f>HYPERLINK("https%3A%2F%2Fwww.webofscience.com%2Fwos%2Fwoscc%2Ffull-record%2FWOS:000729873400004","View Full Record in Web of Science")</f>
        <v>View Full Record in Web of Science</v>
      </c>
    </row>
    <row r="875" spans="1:72" x14ac:dyDescent="0.15">
      <c r="A875" t="s">
        <v>72</v>
      </c>
      <c r="B875" t="s">
        <v>16692</v>
      </c>
      <c r="C875" t="s">
        <v>74</v>
      </c>
      <c r="D875" t="s">
        <v>74</v>
      </c>
      <c r="E875" t="s">
        <v>74</v>
      </c>
      <c r="F875" t="s">
        <v>16693</v>
      </c>
      <c r="G875" t="s">
        <v>74</v>
      </c>
      <c r="H875" t="s">
        <v>74</v>
      </c>
      <c r="I875" t="s">
        <v>16694</v>
      </c>
      <c r="J875" t="s">
        <v>16549</v>
      </c>
      <c r="K875" t="s">
        <v>74</v>
      </c>
      <c r="L875" t="s">
        <v>74</v>
      </c>
      <c r="M875" t="s">
        <v>78</v>
      </c>
      <c r="N875" t="s">
        <v>79</v>
      </c>
      <c r="O875" t="s">
        <v>74</v>
      </c>
      <c r="P875" t="s">
        <v>74</v>
      </c>
      <c r="Q875" t="s">
        <v>74</v>
      </c>
      <c r="R875" t="s">
        <v>74</v>
      </c>
      <c r="S875" t="s">
        <v>74</v>
      </c>
      <c r="T875" t="s">
        <v>16695</v>
      </c>
      <c r="U875" t="s">
        <v>16696</v>
      </c>
      <c r="V875" t="s">
        <v>16697</v>
      </c>
      <c r="W875" t="s">
        <v>16698</v>
      </c>
      <c r="X875" t="s">
        <v>16699</v>
      </c>
      <c r="Y875" t="s">
        <v>16700</v>
      </c>
      <c r="Z875" t="s">
        <v>16701</v>
      </c>
      <c r="AA875" t="s">
        <v>16702</v>
      </c>
      <c r="AB875" t="s">
        <v>16703</v>
      </c>
      <c r="AC875" t="s">
        <v>16704</v>
      </c>
      <c r="AD875" t="s">
        <v>16704</v>
      </c>
      <c r="AE875" t="s">
        <v>16705</v>
      </c>
      <c r="AF875" t="s">
        <v>74</v>
      </c>
      <c r="AG875">
        <v>35</v>
      </c>
      <c r="AH875">
        <v>2</v>
      </c>
      <c r="AI875">
        <v>2</v>
      </c>
      <c r="AJ875">
        <v>6</v>
      </c>
      <c r="AK875">
        <v>9</v>
      </c>
      <c r="AL875" t="s">
        <v>310</v>
      </c>
      <c r="AM875" t="s">
        <v>311</v>
      </c>
      <c r="AN875" t="s">
        <v>312</v>
      </c>
      <c r="AO875" t="s">
        <v>16561</v>
      </c>
      <c r="AP875" t="s">
        <v>16562</v>
      </c>
      <c r="AQ875" t="s">
        <v>74</v>
      </c>
      <c r="AR875" t="s">
        <v>16563</v>
      </c>
      <c r="AS875" t="s">
        <v>16564</v>
      </c>
      <c r="AT875" t="s">
        <v>2125</v>
      </c>
      <c r="AU875">
        <v>2021</v>
      </c>
      <c r="AV875">
        <v>30</v>
      </c>
      <c r="AW875" t="s">
        <v>74</v>
      </c>
      <c r="AX875" t="s">
        <v>74</v>
      </c>
      <c r="AY875" t="s">
        <v>74</v>
      </c>
      <c r="AZ875" t="s">
        <v>233</v>
      </c>
      <c r="BA875" t="s">
        <v>74</v>
      </c>
      <c r="BB875" t="s">
        <v>74</v>
      </c>
      <c r="BC875" t="s">
        <v>74</v>
      </c>
      <c r="BD875">
        <v>100729</v>
      </c>
      <c r="BE875" t="s">
        <v>16706</v>
      </c>
      <c r="BF875" t="str">
        <f>HYPERLINK("http://dx.doi.org/10.1016/j.polar.2021.100729","http://dx.doi.org/10.1016/j.polar.2021.100729")</f>
        <v>http://dx.doi.org/10.1016/j.polar.2021.100729</v>
      </c>
      <c r="BG875" t="s">
        <v>74</v>
      </c>
      <c r="BH875" t="s">
        <v>14486</v>
      </c>
      <c r="BI875">
        <v>7</v>
      </c>
      <c r="BJ875" t="s">
        <v>416</v>
      </c>
      <c r="BK875" t="s">
        <v>103</v>
      </c>
      <c r="BL875" t="s">
        <v>417</v>
      </c>
      <c r="BM875" t="s">
        <v>16707</v>
      </c>
      <c r="BN875" t="s">
        <v>74</v>
      </c>
      <c r="BO875" t="s">
        <v>948</v>
      </c>
      <c r="BP875" t="s">
        <v>74</v>
      </c>
      <c r="BQ875" t="s">
        <v>74</v>
      </c>
      <c r="BR875" t="s">
        <v>106</v>
      </c>
      <c r="BS875" t="s">
        <v>16708</v>
      </c>
      <c r="BT875" t="str">
        <f>HYPERLINK("https%3A%2F%2Fwww.webofscience.com%2Fwos%2Fwoscc%2Ffull-record%2FWOS:000729943900002","View Full Record in Web of Science")</f>
        <v>View Full Record in Web of Science</v>
      </c>
    </row>
    <row r="876" spans="1:72" x14ac:dyDescent="0.15">
      <c r="A876" t="s">
        <v>72</v>
      </c>
      <c r="B876" t="s">
        <v>16709</v>
      </c>
      <c r="C876" t="s">
        <v>74</v>
      </c>
      <c r="D876" t="s">
        <v>74</v>
      </c>
      <c r="E876" t="s">
        <v>74</v>
      </c>
      <c r="F876" t="s">
        <v>16710</v>
      </c>
      <c r="G876" t="s">
        <v>74</v>
      </c>
      <c r="H876" t="s">
        <v>74</v>
      </c>
      <c r="I876" t="s">
        <v>16711</v>
      </c>
      <c r="J876" t="s">
        <v>16549</v>
      </c>
      <c r="K876" t="s">
        <v>74</v>
      </c>
      <c r="L876" t="s">
        <v>74</v>
      </c>
      <c r="M876" t="s">
        <v>78</v>
      </c>
      <c r="N876" t="s">
        <v>79</v>
      </c>
      <c r="O876" t="s">
        <v>74</v>
      </c>
      <c r="P876" t="s">
        <v>74</v>
      </c>
      <c r="Q876" t="s">
        <v>74</v>
      </c>
      <c r="R876" t="s">
        <v>74</v>
      </c>
      <c r="S876" t="s">
        <v>74</v>
      </c>
      <c r="T876" t="s">
        <v>16712</v>
      </c>
      <c r="U876" t="s">
        <v>16713</v>
      </c>
      <c r="V876" t="s">
        <v>16714</v>
      </c>
      <c r="W876" t="s">
        <v>16715</v>
      </c>
      <c r="X876" t="s">
        <v>16716</v>
      </c>
      <c r="Y876" t="s">
        <v>16717</v>
      </c>
      <c r="Z876" t="s">
        <v>16718</v>
      </c>
      <c r="AA876" t="s">
        <v>16719</v>
      </c>
      <c r="AB876" t="s">
        <v>74</v>
      </c>
      <c r="AC876" t="s">
        <v>16720</v>
      </c>
      <c r="AD876" t="s">
        <v>16720</v>
      </c>
      <c r="AE876" t="s">
        <v>16721</v>
      </c>
      <c r="AF876" t="s">
        <v>74</v>
      </c>
      <c r="AG876">
        <v>27</v>
      </c>
      <c r="AH876">
        <v>5</v>
      </c>
      <c r="AI876">
        <v>5</v>
      </c>
      <c r="AJ876">
        <v>4</v>
      </c>
      <c r="AK876">
        <v>14</v>
      </c>
      <c r="AL876" t="s">
        <v>310</v>
      </c>
      <c r="AM876" t="s">
        <v>311</v>
      </c>
      <c r="AN876" t="s">
        <v>312</v>
      </c>
      <c r="AO876" t="s">
        <v>16561</v>
      </c>
      <c r="AP876" t="s">
        <v>16562</v>
      </c>
      <c r="AQ876" t="s">
        <v>74</v>
      </c>
      <c r="AR876" t="s">
        <v>16563</v>
      </c>
      <c r="AS876" t="s">
        <v>16564</v>
      </c>
      <c r="AT876" t="s">
        <v>2125</v>
      </c>
      <c r="AU876">
        <v>2021</v>
      </c>
      <c r="AV876">
        <v>30</v>
      </c>
      <c r="AW876" t="s">
        <v>74</v>
      </c>
      <c r="AX876" t="s">
        <v>74</v>
      </c>
      <c r="AY876" t="s">
        <v>74</v>
      </c>
      <c r="AZ876" t="s">
        <v>74</v>
      </c>
      <c r="BA876" t="s">
        <v>74</v>
      </c>
      <c r="BB876" t="s">
        <v>74</v>
      </c>
      <c r="BC876" t="s">
        <v>74</v>
      </c>
      <c r="BD876">
        <v>100696</v>
      </c>
      <c r="BE876" t="s">
        <v>16722</v>
      </c>
      <c r="BF876" t="str">
        <f>HYPERLINK("http://dx.doi.org/10.1016/j.polar.2021.100696","http://dx.doi.org/10.1016/j.polar.2021.100696")</f>
        <v>http://dx.doi.org/10.1016/j.polar.2021.100696</v>
      </c>
      <c r="BG876" t="s">
        <v>74</v>
      </c>
      <c r="BH876" t="s">
        <v>14486</v>
      </c>
      <c r="BI876">
        <v>8</v>
      </c>
      <c r="BJ876" t="s">
        <v>416</v>
      </c>
      <c r="BK876" t="s">
        <v>103</v>
      </c>
      <c r="BL876" t="s">
        <v>417</v>
      </c>
      <c r="BM876" t="s">
        <v>16673</v>
      </c>
      <c r="BN876" t="s">
        <v>74</v>
      </c>
      <c r="BO876" t="s">
        <v>948</v>
      </c>
      <c r="BP876" t="s">
        <v>74</v>
      </c>
      <c r="BQ876" t="s">
        <v>74</v>
      </c>
      <c r="BR876" t="s">
        <v>106</v>
      </c>
      <c r="BS876" t="s">
        <v>16723</v>
      </c>
      <c r="BT876" t="str">
        <f>HYPERLINK("https%3A%2F%2Fwww.webofscience.com%2Fwos%2Fwoscc%2Ffull-record%2FWOS:000729873400005","View Full Record in Web of Science")</f>
        <v>View Full Record in Web of Science</v>
      </c>
    </row>
    <row r="877" spans="1:72" x14ac:dyDescent="0.15">
      <c r="A877" t="s">
        <v>72</v>
      </c>
      <c r="B877" t="s">
        <v>16724</v>
      </c>
      <c r="C877" t="s">
        <v>74</v>
      </c>
      <c r="D877" t="s">
        <v>74</v>
      </c>
      <c r="E877" t="s">
        <v>74</v>
      </c>
      <c r="F877" t="s">
        <v>16725</v>
      </c>
      <c r="G877" t="s">
        <v>74</v>
      </c>
      <c r="H877" t="s">
        <v>74</v>
      </c>
      <c r="I877" t="s">
        <v>16726</v>
      </c>
      <c r="J877" t="s">
        <v>16549</v>
      </c>
      <c r="K877" t="s">
        <v>74</v>
      </c>
      <c r="L877" t="s">
        <v>74</v>
      </c>
      <c r="M877" t="s">
        <v>78</v>
      </c>
      <c r="N877" t="s">
        <v>79</v>
      </c>
      <c r="O877" t="s">
        <v>74</v>
      </c>
      <c r="P877" t="s">
        <v>74</v>
      </c>
      <c r="Q877" t="s">
        <v>74</v>
      </c>
      <c r="R877" t="s">
        <v>74</v>
      </c>
      <c r="S877" t="s">
        <v>74</v>
      </c>
      <c r="T877" t="s">
        <v>16727</v>
      </c>
      <c r="U877" t="s">
        <v>16728</v>
      </c>
      <c r="V877" t="s">
        <v>16729</v>
      </c>
      <c r="W877" t="s">
        <v>16730</v>
      </c>
      <c r="X877" t="s">
        <v>16731</v>
      </c>
      <c r="Y877" t="s">
        <v>16732</v>
      </c>
      <c r="Z877" t="s">
        <v>16733</v>
      </c>
      <c r="AA877" t="s">
        <v>74</v>
      </c>
      <c r="AB877" t="s">
        <v>16734</v>
      </c>
      <c r="AC877" t="s">
        <v>16735</v>
      </c>
      <c r="AD877" t="s">
        <v>16735</v>
      </c>
      <c r="AE877" t="s">
        <v>16736</v>
      </c>
      <c r="AF877" t="s">
        <v>74</v>
      </c>
      <c r="AG877">
        <v>77</v>
      </c>
      <c r="AH877">
        <v>2</v>
      </c>
      <c r="AI877">
        <v>2</v>
      </c>
      <c r="AJ877">
        <v>0</v>
      </c>
      <c r="AK877">
        <v>19</v>
      </c>
      <c r="AL877" t="s">
        <v>310</v>
      </c>
      <c r="AM877" t="s">
        <v>311</v>
      </c>
      <c r="AN877" t="s">
        <v>312</v>
      </c>
      <c r="AO877" t="s">
        <v>16561</v>
      </c>
      <c r="AP877" t="s">
        <v>16562</v>
      </c>
      <c r="AQ877" t="s">
        <v>74</v>
      </c>
      <c r="AR877" t="s">
        <v>16563</v>
      </c>
      <c r="AS877" t="s">
        <v>16564</v>
      </c>
      <c r="AT877" t="s">
        <v>2125</v>
      </c>
      <c r="AU877">
        <v>2021</v>
      </c>
      <c r="AV877">
        <v>30</v>
      </c>
      <c r="AW877" t="s">
        <v>74</v>
      </c>
      <c r="AX877" t="s">
        <v>74</v>
      </c>
      <c r="AY877" t="s">
        <v>74</v>
      </c>
      <c r="AZ877" t="s">
        <v>74</v>
      </c>
      <c r="BA877" t="s">
        <v>74</v>
      </c>
      <c r="BB877" t="s">
        <v>74</v>
      </c>
      <c r="BC877" t="s">
        <v>74</v>
      </c>
      <c r="BD877">
        <v>100746</v>
      </c>
      <c r="BE877" t="s">
        <v>16737</v>
      </c>
      <c r="BF877" t="str">
        <f>HYPERLINK("http://dx.doi.org/10.1016/j.polar.2021.100746","http://dx.doi.org/10.1016/j.polar.2021.100746")</f>
        <v>http://dx.doi.org/10.1016/j.polar.2021.100746</v>
      </c>
      <c r="BG877" t="s">
        <v>74</v>
      </c>
      <c r="BH877" t="s">
        <v>14486</v>
      </c>
      <c r="BI877">
        <v>11</v>
      </c>
      <c r="BJ877" t="s">
        <v>416</v>
      </c>
      <c r="BK877" t="s">
        <v>103</v>
      </c>
      <c r="BL877" t="s">
        <v>417</v>
      </c>
      <c r="BM877" t="s">
        <v>16656</v>
      </c>
      <c r="BN877" t="s">
        <v>74</v>
      </c>
      <c r="BO877" t="s">
        <v>948</v>
      </c>
      <c r="BP877" t="s">
        <v>74</v>
      </c>
      <c r="BQ877" t="s">
        <v>74</v>
      </c>
      <c r="BR877" t="s">
        <v>106</v>
      </c>
      <c r="BS877" t="s">
        <v>16738</v>
      </c>
      <c r="BT877" t="str">
        <f>HYPERLINK("https%3A%2F%2Fwww.webofscience.com%2Fwos%2Fwoscc%2Ffull-record%2FWOS:000729934600002","View Full Record in Web of Science")</f>
        <v>View Full Record in Web of Science</v>
      </c>
    </row>
    <row r="878" spans="1:72" x14ac:dyDescent="0.15">
      <c r="A878" t="s">
        <v>72</v>
      </c>
      <c r="B878" t="s">
        <v>16739</v>
      </c>
      <c r="C878" t="s">
        <v>74</v>
      </c>
      <c r="D878" t="s">
        <v>74</v>
      </c>
      <c r="E878" t="s">
        <v>74</v>
      </c>
      <c r="F878" t="s">
        <v>16740</v>
      </c>
      <c r="G878" t="s">
        <v>74</v>
      </c>
      <c r="H878" t="s">
        <v>74</v>
      </c>
      <c r="I878" t="s">
        <v>16741</v>
      </c>
      <c r="J878" t="s">
        <v>16549</v>
      </c>
      <c r="K878" t="s">
        <v>74</v>
      </c>
      <c r="L878" t="s">
        <v>74</v>
      </c>
      <c r="M878" t="s">
        <v>78</v>
      </c>
      <c r="N878" t="s">
        <v>79</v>
      </c>
      <c r="O878" t="s">
        <v>74</v>
      </c>
      <c r="P878" t="s">
        <v>74</v>
      </c>
      <c r="Q878" t="s">
        <v>74</v>
      </c>
      <c r="R878" t="s">
        <v>74</v>
      </c>
      <c r="S878" t="s">
        <v>74</v>
      </c>
      <c r="T878" t="s">
        <v>16742</v>
      </c>
      <c r="U878" t="s">
        <v>16743</v>
      </c>
      <c r="V878" t="s">
        <v>16744</v>
      </c>
      <c r="W878" t="s">
        <v>16745</v>
      </c>
      <c r="X878" t="s">
        <v>16746</v>
      </c>
      <c r="Y878" t="s">
        <v>16747</v>
      </c>
      <c r="Z878" t="s">
        <v>16748</v>
      </c>
      <c r="AA878" t="s">
        <v>4691</v>
      </c>
      <c r="AB878" t="s">
        <v>16749</v>
      </c>
      <c r="AC878" t="s">
        <v>16750</v>
      </c>
      <c r="AD878" t="s">
        <v>16751</v>
      </c>
      <c r="AE878" t="s">
        <v>16752</v>
      </c>
      <c r="AF878" t="s">
        <v>74</v>
      </c>
      <c r="AG878">
        <v>41</v>
      </c>
      <c r="AH878">
        <v>3</v>
      </c>
      <c r="AI878">
        <v>3</v>
      </c>
      <c r="AJ878">
        <v>0</v>
      </c>
      <c r="AK878">
        <v>4</v>
      </c>
      <c r="AL878" t="s">
        <v>310</v>
      </c>
      <c r="AM878" t="s">
        <v>311</v>
      </c>
      <c r="AN878" t="s">
        <v>312</v>
      </c>
      <c r="AO878" t="s">
        <v>16561</v>
      </c>
      <c r="AP878" t="s">
        <v>16562</v>
      </c>
      <c r="AQ878" t="s">
        <v>74</v>
      </c>
      <c r="AR878" t="s">
        <v>16563</v>
      </c>
      <c r="AS878" t="s">
        <v>16564</v>
      </c>
      <c r="AT878" t="s">
        <v>2125</v>
      </c>
      <c r="AU878">
        <v>2021</v>
      </c>
      <c r="AV878">
        <v>30</v>
      </c>
      <c r="AW878" t="s">
        <v>74</v>
      </c>
      <c r="AX878" t="s">
        <v>74</v>
      </c>
      <c r="AY878" t="s">
        <v>74</v>
      </c>
      <c r="AZ878" t="s">
        <v>233</v>
      </c>
      <c r="BA878" t="s">
        <v>74</v>
      </c>
      <c r="BB878" t="s">
        <v>74</v>
      </c>
      <c r="BC878" t="s">
        <v>74</v>
      </c>
      <c r="BD878">
        <v>100733</v>
      </c>
      <c r="BE878" t="s">
        <v>16753</v>
      </c>
      <c r="BF878" t="str">
        <f>HYPERLINK("http://dx.doi.org/10.1016/j.polar.2021.100733","http://dx.doi.org/10.1016/j.polar.2021.100733")</f>
        <v>http://dx.doi.org/10.1016/j.polar.2021.100733</v>
      </c>
      <c r="BG878" t="s">
        <v>74</v>
      </c>
      <c r="BH878" t="s">
        <v>14486</v>
      </c>
      <c r="BI878">
        <v>7</v>
      </c>
      <c r="BJ878" t="s">
        <v>416</v>
      </c>
      <c r="BK878" t="s">
        <v>103</v>
      </c>
      <c r="BL878" t="s">
        <v>417</v>
      </c>
      <c r="BM878" t="s">
        <v>16707</v>
      </c>
      <c r="BN878" t="s">
        <v>74</v>
      </c>
      <c r="BO878" t="s">
        <v>948</v>
      </c>
      <c r="BP878" t="s">
        <v>74</v>
      </c>
      <c r="BQ878" t="s">
        <v>74</v>
      </c>
      <c r="BR878" t="s">
        <v>106</v>
      </c>
      <c r="BS878" t="s">
        <v>16754</v>
      </c>
      <c r="BT878" t="str">
        <f>HYPERLINK("https%3A%2F%2Fwww.webofscience.com%2Fwos%2Fwoscc%2Ffull-record%2FWOS:000729943900001","View Full Record in Web of Science")</f>
        <v>View Full Record in Web of Science</v>
      </c>
    </row>
    <row r="879" spans="1:72" x14ac:dyDescent="0.15">
      <c r="A879" t="s">
        <v>72</v>
      </c>
      <c r="B879" t="s">
        <v>16755</v>
      </c>
      <c r="C879" t="s">
        <v>74</v>
      </c>
      <c r="D879" t="s">
        <v>74</v>
      </c>
      <c r="E879" t="s">
        <v>74</v>
      </c>
      <c r="F879" t="s">
        <v>16756</v>
      </c>
      <c r="G879" t="s">
        <v>74</v>
      </c>
      <c r="H879" t="s">
        <v>74</v>
      </c>
      <c r="I879" t="s">
        <v>16757</v>
      </c>
      <c r="J879" t="s">
        <v>16549</v>
      </c>
      <c r="K879" t="s">
        <v>74</v>
      </c>
      <c r="L879" t="s">
        <v>74</v>
      </c>
      <c r="M879" t="s">
        <v>78</v>
      </c>
      <c r="N879" t="s">
        <v>79</v>
      </c>
      <c r="O879" t="s">
        <v>74</v>
      </c>
      <c r="P879" t="s">
        <v>74</v>
      </c>
      <c r="Q879" t="s">
        <v>74</v>
      </c>
      <c r="R879" t="s">
        <v>74</v>
      </c>
      <c r="S879" t="s">
        <v>74</v>
      </c>
      <c r="T879" t="s">
        <v>16758</v>
      </c>
      <c r="U879" t="s">
        <v>16759</v>
      </c>
      <c r="V879" t="s">
        <v>16760</v>
      </c>
      <c r="W879" t="s">
        <v>16761</v>
      </c>
      <c r="X879" t="s">
        <v>16762</v>
      </c>
      <c r="Y879" t="s">
        <v>16763</v>
      </c>
      <c r="Z879" t="s">
        <v>16764</v>
      </c>
      <c r="AA879" t="s">
        <v>16765</v>
      </c>
      <c r="AB879" t="s">
        <v>16766</v>
      </c>
      <c r="AC879" t="s">
        <v>74</v>
      </c>
      <c r="AD879" t="s">
        <v>74</v>
      </c>
      <c r="AE879" t="s">
        <v>74</v>
      </c>
      <c r="AF879" t="s">
        <v>74</v>
      </c>
      <c r="AG879">
        <v>79</v>
      </c>
      <c r="AH879">
        <v>8</v>
      </c>
      <c r="AI879">
        <v>8</v>
      </c>
      <c r="AJ879">
        <v>6</v>
      </c>
      <c r="AK879">
        <v>18</v>
      </c>
      <c r="AL879" t="s">
        <v>310</v>
      </c>
      <c r="AM879" t="s">
        <v>311</v>
      </c>
      <c r="AN879" t="s">
        <v>312</v>
      </c>
      <c r="AO879" t="s">
        <v>16561</v>
      </c>
      <c r="AP879" t="s">
        <v>16562</v>
      </c>
      <c r="AQ879" t="s">
        <v>74</v>
      </c>
      <c r="AR879" t="s">
        <v>16563</v>
      </c>
      <c r="AS879" t="s">
        <v>16564</v>
      </c>
      <c r="AT879" t="s">
        <v>2125</v>
      </c>
      <c r="AU879">
        <v>2021</v>
      </c>
      <c r="AV879">
        <v>30</v>
      </c>
      <c r="AW879" t="s">
        <v>74</v>
      </c>
      <c r="AX879" t="s">
        <v>74</v>
      </c>
      <c r="AY879" t="s">
        <v>74</v>
      </c>
      <c r="AZ879" t="s">
        <v>74</v>
      </c>
      <c r="BA879" t="s">
        <v>74</v>
      </c>
      <c r="BB879" t="s">
        <v>74</v>
      </c>
      <c r="BC879" t="s">
        <v>74</v>
      </c>
      <c r="BD879">
        <v>100641</v>
      </c>
      <c r="BE879" t="s">
        <v>16767</v>
      </c>
      <c r="BF879" t="str">
        <f>HYPERLINK("http://dx.doi.org/10.1016/j.polar.2021.100641","http://dx.doi.org/10.1016/j.polar.2021.100641")</f>
        <v>http://dx.doi.org/10.1016/j.polar.2021.100641</v>
      </c>
      <c r="BG879" t="s">
        <v>74</v>
      </c>
      <c r="BH879" t="s">
        <v>14486</v>
      </c>
      <c r="BI879">
        <v>21</v>
      </c>
      <c r="BJ879" t="s">
        <v>416</v>
      </c>
      <c r="BK879" t="s">
        <v>103</v>
      </c>
      <c r="BL879" t="s">
        <v>417</v>
      </c>
      <c r="BM879" t="s">
        <v>16768</v>
      </c>
      <c r="BN879" t="s">
        <v>74</v>
      </c>
      <c r="BO879" t="s">
        <v>948</v>
      </c>
      <c r="BP879" t="s">
        <v>74</v>
      </c>
      <c r="BQ879" t="s">
        <v>74</v>
      </c>
      <c r="BR879" t="s">
        <v>106</v>
      </c>
      <c r="BS879" t="s">
        <v>16769</v>
      </c>
      <c r="BT879" t="str">
        <f>HYPERLINK("https%3A%2F%2Fwww.webofscience.com%2Fwos%2Fwoscc%2Ffull-record%2FWOS:000729935500001","View Full Record in Web of Science")</f>
        <v>View Full Record in Web of Science</v>
      </c>
    </row>
    <row r="880" spans="1:72" x14ac:dyDescent="0.15">
      <c r="A880" t="s">
        <v>72</v>
      </c>
      <c r="B880" t="s">
        <v>16770</v>
      </c>
      <c r="C880" t="s">
        <v>74</v>
      </c>
      <c r="D880" t="s">
        <v>74</v>
      </c>
      <c r="E880" t="s">
        <v>74</v>
      </c>
      <c r="F880" t="s">
        <v>16771</v>
      </c>
      <c r="G880" t="s">
        <v>74</v>
      </c>
      <c r="H880" t="s">
        <v>74</v>
      </c>
      <c r="I880" t="s">
        <v>16772</v>
      </c>
      <c r="J880" t="s">
        <v>16549</v>
      </c>
      <c r="K880" t="s">
        <v>74</v>
      </c>
      <c r="L880" t="s">
        <v>74</v>
      </c>
      <c r="M880" t="s">
        <v>78</v>
      </c>
      <c r="N880" t="s">
        <v>79</v>
      </c>
      <c r="O880" t="s">
        <v>74</v>
      </c>
      <c r="P880" t="s">
        <v>74</v>
      </c>
      <c r="Q880" t="s">
        <v>74</v>
      </c>
      <c r="R880" t="s">
        <v>74</v>
      </c>
      <c r="S880" t="s">
        <v>74</v>
      </c>
      <c r="T880" t="s">
        <v>16773</v>
      </c>
      <c r="U880" t="s">
        <v>16774</v>
      </c>
      <c r="V880" t="s">
        <v>16775</v>
      </c>
      <c r="W880" t="s">
        <v>16776</v>
      </c>
      <c r="X880" t="s">
        <v>16777</v>
      </c>
      <c r="Y880" t="s">
        <v>16778</v>
      </c>
      <c r="Z880" t="s">
        <v>16779</v>
      </c>
      <c r="AA880" t="s">
        <v>16702</v>
      </c>
      <c r="AB880" t="s">
        <v>16780</v>
      </c>
      <c r="AC880" t="s">
        <v>16781</v>
      </c>
      <c r="AD880" t="s">
        <v>16782</v>
      </c>
      <c r="AE880" t="s">
        <v>16783</v>
      </c>
      <c r="AF880" t="s">
        <v>74</v>
      </c>
      <c r="AG880">
        <v>63</v>
      </c>
      <c r="AH880">
        <v>7</v>
      </c>
      <c r="AI880">
        <v>7</v>
      </c>
      <c r="AJ880">
        <v>0</v>
      </c>
      <c r="AK880">
        <v>8</v>
      </c>
      <c r="AL880" t="s">
        <v>310</v>
      </c>
      <c r="AM880" t="s">
        <v>311</v>
      </c>
      <c r="AN880" t="s">
        <v>312</v>
      </c>
      <c r="AO880" t="s">
        <v>16561</v>
      </c>
      <c r="AP880" t="s">
        <v>16562</v>
      </c>
      <c r="AQ880" t="s">
        <v>74</v>
      </c>
      <c r="AR880" t="s">
        <v>16563</v>
      </c>
      <c r="AS880" t="s">
        <v>16564</v>
      </c>
      <c r="AT880" t="s">
        <v>2125</v>
      </c>
      <c r="AU880">
        <v>2021</v>
      </c>
      <c r="AV880">
        <v>30</v>
      </c>
      <c r="AW880" t="s">
        <v>74</v>
      </c>
      <c r="AX880" t="s">
        <v>74</v>
      </c>
      <c r="AY880" t="s">
        <v>74</v>
      </c>
      <c r="AZ880" t="s">
        <v>74</v>
      </c>
      <c r="BA880" t="s">
        <v>74</v>
      </c>
      <c r="BB880" t="s">
        <v>74</v>
      </c>
      <c r="BC880" t="s">
        <v>74</v>
      </c>
      <c r="BD880">
        <v>100636</v>
      </c>
      <c r="BE880" t="s">
        <v>16784</v>
      </c>
      <c r="BF880" t="str">
        <f>HYPERLINK("http://dx.doi.org/10.1016/j.polar.2021.100636","http://dx.doi.org/10.1016/j.polar.2021.100636")</f>
        <v>http://dx.doi.org/10.1016/j.polar.2021.100636</v>
      </c>
      <c r="BG880" t="s">
        <v>74</v>
      </c>
      <c r="BH880" t="s">
        <v>14486</v>
      </c>
      <c r="BI880">
        <v>7</v>
      </c>
      <c r="BJ880" t="s">
        <v>416</v>
      </c>
      <c r="BK880" t="s">
        <v>103</v>
      </c>
      <c r="BL880" t="s">
        <v>417</v>
      </c>
      <c r="BM880" t="s">
        <v>16768</v>
      </c>
      <c r="BN880" t="s">
        <v>74</v>
      </c>
      <c r="BO880" t="s">
        <v>948</v>
      </c>
      <c r="BP880" t="s">
        <v>74</v>
      </c>
      <c r="BQ880" t="s">
        <v>74</v>
      </c>
      <c r="BR880" t="s">
        <v>106</v>
      </c>
      <c r="BS880" t="s">
        <v>16785</v>
      </c>
      <c r="BT880" t="str">
        <f>HYPERLINK("https%3A%2F%2Fwww.webofscience.com%2Fwos%2Fwoscc%2Ffull-record%2FWOS:000729935500004","View Full Record in Web of Science")</f>
        <v>View Full Record in Web of Science</v>
      </c>
    </row>
    <row r="881" spans="1:72" x14ac:dyDescent="0.15">
      <c r="A881" t="s">
        <v>72</v>
      </c>
      <c r="B881" t="s">
        <v>16786</v>
      </c>
      <c r="C881" t="s">
        <v>74</v>
      </c>
      <c r="D881" t="s">
        <v>74</v>
      </c>
      <c r="E881" t="s">
        <v>74</v>
      </c>
      <c r="F881" t="s">
        <v>16787</v>
      </c>
      <c r="G881" t="s">
        <v>74</v>
      </c>
      <c r="H881" t="s">
        <v>74</v>
      </c>
      <c r="I881" t="s">
        <v>16788</v>
      </c>
      <c r="J881" t="s">
        <v>16789</v>
      </c>
      <c r="K881" t="s">
        <v>74</v>
      </c>
      <c r="L881" t="s">
        <v>74</v>
      </c>
      <c r="M881" t="s">
        <v>78</v>
      </c>
      <c r="N881" t="s">
        <v>79</v>
      </c>
      <c r="O881" t="s">
        <v>74</v>
      </c>
      <c r="P881" t="s">
        <v>74</v>
      </c>
      <c r="Q881" t="s">
        <v>74</v>
      </c>
      <c r="R881" t="s">
        <v>74</v>
      </c>
      <c r="S881" t="s">
        <v>74</v>
      </c>
      <c r="T881" t="s">
        <v>16790</v>
      </c>
      <c r="U881" t="s">
        <v>16791</v>
      </c>
      <c r="V881" t="s">
        <v>16792</v>
      </c>
      <c r="W881" t="s">
        <v>16793</v>
      </c>
      <c r="X881" t="s">
        <v>16794</v>
      </c>
      <c r="Y881" t="s">
        <v>16795</v>
      </c>
      <c r="Z881" t="s">
        <v>16796</v>
      </c>
      <c r="AA881" t="s">
        <v>16797</v>
      </c>
      <c r="AB881" t="s">
        <v>16798</v>
      </c>
      <c r="AC881" t="s">
        <v>74</v>
      </c>
      <c r="AD881" t="s">
        <v>74</v>
      </c>
      <c r="AE881" t="s">
        <v>74</v>
      </c>
      <c r="AF881" t="s">
        <v>74</v>
      </c>
      <c r="AG881">
        <v>52</v>
      </c>
      <c r="AH881">
        <v>3</v>
      </c>
      <c r="AI881">
        <v>3</v>
      </c>
      <c r="AJ881">
        <v>2</v>
      </c>
      <c r="AK881">
        <v>10</v>
      </c>
      <c r="AL881" t="s">
        <v>171</v>
      </c>
      <c r="AM881" t="s">
        <v>172</v>
      </c>
      <c r="AN881" t="s">
        <v>173</v>
      </c>
      <c r="AO881" t="s">
        <v>16799</v>
      </c>
      <c r="AP881" t="s">
        <v>16800</v>
      </c>
      <c r="AQ881" t="s">
        <v>74</v>
      </c>
      <c r="AR881" t="s">
        <v>16801</v>
      </c>
      <c r="AS881" t="s">
        <v>16802</v>
      </c>
      <c r="AT881" t="s">
        <v>99</v>
      </c>
      <c r="AU881">
        <v>2022</v>
      </c>
      <c r="AV881">
        <v>59</v>
      </c>
      <c r="AW881">
        <v>3</v>
      </c>
      <c r="AX881" t="s">
        <v>74</v>
      </c>
      <c r="AY881" t="s">
        <v>74</v>
      </c>
      <c r="AZ881" t="s">
        <v>74</v>
      </c>
      <c r="BA881" t="s">
        <v>74</v>
      </c>
      <c r="BB881">
        <v>715</v>
      </c>
      <c r="BC881">
        <v>728</v>
      </c>
      <c r="BD881" t="s">
        <v>74</v>
      </c>
      <c r="BE881" t="s">
        <v>16803</v>
      </c>
      <c r="BF881" t="str">
        <f>HYPERLINK("http://dx.doi.org/10.1111/1365-2664.14086","http://dx.doi.org/10.1111/1365-2664.14086")</f>
        <v>http://dx.doi.org/10.1111/1365-2664.14086</v>
      </c>
      <c r="BG881" t="s">
        <v>74</v>
      </c>
      <c r="BH881" t="s">
        <v>14486</v>
      </c>
      <c r="BI881">
        <v>14</v>
      </c>
      <c r="BJ881" t="s">
        <v>1081</v>
      </c>
      <c r="BK881" t="s">
        <v>1034</v>
      </c>
      <c r="BL881" t="s">
        <v>1082</v>
      </c>
      <c r="BM881" t="s">
        <v>16804</v>
      </c>
      <c r="BN881" t="s">
        <v>74</v>
      </c>
      <c r="BO881" t="s">
        <v>74</v>
      </c>
      <c r="BP881" t="s">
        <v>74</v>
      </c>
      <c r="BQ881" t="s">
        <v>74</v>
      </c>
      <c r="BR881" t="s">
        <v>106</v>
      </c>
      <c r="BS881" t="s">
        <v>16805</v>
      </c>
      <c r="BT881" t="str">
        <f>HYPERLINK("https%3A%2F%2Fwww.webofscience.com%2Fwos%2Fwoscc%2Ffull-record%2FWOS:000728052500001","View Full Record in Web of Science")</f>
        <v>View Full Record in Web of Science</v>
      </c>
    </row>
    <row r="882" spans="1:72" x14ac:dyDescent="0.15">
      <c r="A882" t="s">
        <v>72</v>
      </c>
      <c r="B882" t="s">
        <v>16806</v>
      </c>
      <c r="C882" t="s">
        <v>74</v>
      </c>
      <c r="D882" t="s">
        <v>74</v>
      </c>
      <c r="E882" t="s">
        <v>74</v>
      </c>
      <c r="F882" t="s">
        <v>16807</v>
      </c>
      <c r="G882" t="s">
        <v>74</v>
      </c>
      <c r="H882" t="s">
        <v>74</v>
      </c>
      <c r="I882" t="s">
        <v>16808</v>
      </c>
      <c r="J882" t="s">
        <v>351</v>
      </c>
      <c r="K882" t="s">
        <v>74</v>
      </c>
      <c r="L882" t="s">
        <v>74</v>
      </c>
      <c r="M882" t="s">
        <v>78</v>
      </c>
      <c r="N882" t="s">
        <v>79</v>
      </c>
      <c r="O882" t="s">
        <v>74</v>
      </c>
      <c r="P882" t="s">
        <v>74</v>
      </c>
      <c r="Q882" t="s">
        <v>74</v>
      </c>
      <c r="R882" t="s">
        <v>74</v>
      </c>
      <c r="S882" t="s">
        <v>74</v>
      </c>
      <c r="T882" t="s">
        <v>16809</v>
      </c>
      <c r="U882" t="s">
        <v>16810</v>
      </c>
      <c r="V882" t="s">
        <v>16811</v>
      </c>
      <c r="W882" t="s">
        <v>16812</v>
      </c>
      <c r="X882" t="s">
        <v>16813</v>
      </c>
      <c r="Y882" t="s">
        <v>16814</v>
      </c>
      <c r="Z882" t="s">
        <v>16815</v>
      </c>
      <c r="AA882" t="s">
        <v>16816</v>
      </c>
      <c r="AB882" t="s">
        <v>16817</v>
      </c>
      <c r="AC882" t="s">
        <v>16818</v>
      </c>
      <c r="AD882" t="s">
        <v>5373</v>
      </c>
      <c r="AE882" t="s">
        <v>74</v>
      </c>
      <c r="AF882" t="s">
        <v>74</v>
      </c>
      <c r="AG882">
        <v>85</v>
      </c>
      <c r="AH882">
        <v>2</v>
      </c>
      <c r="AI882">
        <v>2</v>
      </c>
      <c r="AJ882">
        <v>1</v>
      </c>
      <c r="AK882">
        <v>8</v>
      </c>
      <c r="AL882" t="s">
        <v>363</v>
      </c>
      <c r="AM882" t="s">
        <v>364</v>
      </c>
      <c r="AN882" t="s">
        <v>365</v>
      </c>
      <c r="AO882" t="s">
        <v>74</v>
      </c>
      <c r="AP882" t="s">
        <v>366</v>
      </c>
      <c r="AQ882" t="s">
        <v>74</v>
      </c>
      <c r="AR882" t="s">
        <v>367</v>
      </c>
      <c r="AS882" t="s">
        <v>368</v>
      </c>
      <c r="AT882" t="s">
        <v>16500</v>
      </c>
      <c r="AU882">
        <v>2021</v>
      </c>
      <c r="AV882">
        <v>8</v>
      </c>
      <c r="AW882" t="s">
        <v>74</v>
      </c>
      <c r="AX882" t="s">
        <v>74</v>
      </c>
      <c r="AY882" t="s">
        <v>74</v>
      </c>
      <c r="AZ882" t="s">
        <v>74</v>
      </c>
      <c r="BA882" t="s">
        <v>74</v>
      </c>
      <c r="BB882" t="s">
        <v>74</v>
      </c>
      <c r="BC882" t="s">
        <v>74</v>
      </c>
      <c r="BD882">
        <v>771369</v>
      </c>
      <c r="BE882" t="s">
        <v>16819</v>
      </c>
      <c r="BF882" t="str">
        <f>HYPERLINK("http://dx.doi.org/10.3389/fmars.2021.771369","http://dx.doi.org/10.3389/fmars.2021.771369")</f>
        <v>http://dx.doi.org/10.3389/fmars.2021.771369</v>
      </c>
      <c r="BG882" t="s">
        <v>74</v>
      </c>
      <c r="BH882" t="s">
        <v>74</v>
      </c>
      <c r="BI882">
        <v>13</v>
      </c>
      <c r="BJ882" t="s">
        <v>102</v>
      </c>
      <c r="BK882" t="s">
        <v>103</v>
      </c>
      <c r="BL882" t="s">
        <v>104</v>
      </c>
      <c r="BM882" t="s">
        <v>16820</v>
      </c>
      <c r="BN882" t="s">
        <v>74</v>
      </c>
      <c r="BO882" t="s">
        <v>4294</v>
      </c>
      <c r="BP882" t="s">
        <v>74</v>
      </c>
      <c r="BQ882" t="s">
        <v>74</v>
      </c>
      <c r="BR882" t="s">
        <v>106</v>
      </c>
      <c r="BS882" t="s">
        <v>16821</v>
      </c>
      <c r="BT882" t="str">
        <f>HYPERLINK("https%3A%2F%2Fwww.webofscience.com%2Fwos%2Fwoscc%2Ffull-record%2FWOS:000732750500001","View Full Record in Web of Science")</f>
        <v>View Full Record in Web of Science</v>
      </c>
    </row>
    <row r="883" spans="1:72" x14ac:dyDescent="0.15">
      <c r="A883" t="s">
        <v>72</v>
      </c>
      <c r="B883" t="s">
        <v>16822</v>
      </c>
      <c r="C883" t="s">
        <v>74</v>
      </c>
      <c r="D883" t="s">
        <v>74</v>
      </c>
      <c r="E883" t="s">
        <v>74</v>
      </c>
      <c r="F883" t="s">
        <v>16823</v>
      </c>
      <c r="G883" t="s">
        <v>74</v>
      </c>
      <c r="H883" t="s">
        <v>74</v>
      </c>
      <c r="I883" t="s">
        <v>16824</v>
      </c>
      <c r="J883" t="s">
        <v>16549</v>
      </c>
      <c r="K883" t="s">
        <v>74</v>
      </c>
      <c r="L883" t="s">
        <v>74</v>
      </c>
      <c r="M883" t="s">
        <v>78</v>
      </c>
      <c r="N883" t="s">
        <v>79</v>
      </c>
      <c r="O883" t="s">
        <v>74</v>
      </c>
      <c r="P883" t="s">
        <v>74</v>
      </c>
      <c r="Q883" t="s">
        <v>74</v>
      </c>
      <c r="R883" t="s">
        <v>74</v>
      </c>
      <c r="S883" t="s">
        <v>74</v>
      </c>
      <c r="T883" t="s">
        <v>16825</v>
      </c>
      <c r="U883" t="s">
        <v>16826</v>
      </c>
      <c r="V883" t="s">
        <v>16827</v>
      </c>
      <c r="W883" t="s">
        <v>16828</v>
      </c>
      <c r="X883" t="s">
        <v>16829</v>
      </c>
      <c r="Y883" t="s">
        <v>16830</v>
      </c>
      <c r="Z883" t="s">
        <v>16831</v>
      </c>
      <c r="AA883" t="s">
        <v>16651</v>
      </c>
      <c r="AB883" t="s">
        <v>16832</v>
      </c>
      <c r="AC883" t="s">
        <v>16833</v>
      </c>
      <c r="AD883" t="s">
        <v>16834</v>
      </c>
      <c r="AE883" t="s">
        <v>16835</v>
      </c>
      <c r="AF883" t="s">
        <v>74</v>
      </c>
      <c r="AG883">
        <v>111</v>
      </c>
      <c r="AH883">
        <v>4</v>
      </c>
      <c r="AI883">
        <v>4</v>
      </c>
      <c r="AJ883">
        <v>1</v>
      </c>
      <c r="AK883">
        <v>12</v>
      </c>
      <c r="AL883" t="s">
        <v>310</v>
      </c>
      <c r="AM883" t="s">
        <v>311</v>
      </c>
      <c r="AN883" t="s">
        <v>312</v>
      </c>
      <c r="AO883" t="s">
        <v>16561</v>
      </c>
      <c r="AP883" t="s">
        <v>16562</v>
      </c>
      <c r="AQ883" t="s">
        <v>74</v>
      </c>
      <c r="AR883" t="s">
        <v>16563</v>
      </c>
      <c r="AS883" t="s">
        <v>16564</v>
      </c>
      <c r="AT883" t="s">
        <v>2125</v>
      </c>
      <c r="AU883">
        <v>2021</v>
      </c>
      <c r="AV883">
        <v>30</v>
      </c>
      <c r="AW883" t="s">
        <v>74</v>
      </c>
      <c r="AX883" t="s">
        <v>74</v>
      </c>
      <c r="AY883" t="s">
        <v>74</v>
      </c>
      <c r="AZ883" t="s">
        <v>233</v>
      </c>
      <c r="BA883" t="s">
        <v>74</v>
      </c>
      <c r="BB883" t="s">
        <v>74</v>
      </c>
      <c r="BC883" t="s">
        <v>74</v>
      </c>
      <c r="BD883">
        <v>100737</v>
      </c>
      <c r="BE883" t="s">
        <v>16836</v>
      </c>
      <c r="BF883" t="str">
        <f>HYPERLINK("http://dx.doi.org/10.1016/j.polar.2021.100737","http://dx.doi.org/10.1016/j.polar.2021.100737")</f>
        <v>http://dx.doi.org/10.1016/j.polar.2021.100737</v>
      </c>
      <c r="BG883" t="s">
        <v>74</v>
      </c>
      <c r="BH883" t="s">
        <v>14486</v>
      </c>
      <c r="BI883">
        <v>16</v>
      </c>
      <c r="BJ883" t="s">
        <v>416</v>
      </c>
      <c r="BK883" t="s">
        <v>103</v>
      </c>
      <c r="BL883" t="s">
        <v>417</v>
      </c>
      <c r="BM883" t="s">
        <v>16707</v>
      </c>
      <c r="BN883" t="s">
        <v>74</v>
      </c>
      <c r="BO883" t="s">
        <v>948</v>
      </c>
      <c r="BP883" t="s">
        <v>74</v>
      </c>
      <c r="BQ883" t="s">
        <v>74</v>
      </c>
      <c r="BR883" t="s">
        <v>106</v>
      </c>
      <c r="BS883" t="s">
        <v>16837</v>
      </c>
      <c r="BT883" t="str">
        <f>HYPERLINK("https%3A%2F%2Fwww.webofscience.com%2Fwos%2Fwoscc%2Ffull-record%2FWOS:000729943900005","View Full Record in Web of Science")</f>
        <v>View Full Record in Web of Science</v>
      </c>
    </row>
    <row r="884" spans="1:72" x14ac:dyDescent="0.15">
      <c r="A884" t="s">
        <v>72</v>
      </c>
      <c r="B884" t="s">
        <v>16838</v>
      </c>
      <c r="C884" t="s">
        <v>74</v>
      </c>
      <c r="D884" t="s">
        <v>74</v>
      </c>
      <c r="E884" t="s">
        <v>74</v>
      </c>
      <c r="F884" t="s">
        <v>16839</v>
      </c>
      <c r="G884" t="s">
        <v>74</v>
      </c>
      <c r="H884" t="s">
        <v>74</v>
      </c>
      <c r="I884" t="s">
        <v>16840</v>
      </c>
      <c r="J884" t="s">
        <v>2532</v>
      </c>
      <c r="K884" t="s">
        <v>74</v>
      </c>
      <c r="L884" t="s">
        <v>74</v>
      </c>
      <c r="M884" t="s">
        <v>78</v>
      </c>
      <c r="N884" t="s">
        <v>79</v>
      </c>
      <c r="O884" t="s">
        <v>74</v>
      </c>
      <c r="P884" t="s">
        <v>74</v>
      </c>
      <c r="Q884" t="s">
        <v>74</v>
      </c>
      <c r="R884" t="s">
        <v>74</v>
      </c>
      <c r="S884" t="s">
        <v>74</v>
      </c>
      <c r="T884" t="s">
        <v>74</v>
      </c>
      <c r="U884" t="s">
        <v>16841</v>
      </c>
      <c r="V884" t="s">
        <v>16842</v>
      </c>
      <c r="W884" t="s">
        <v>16843</v>
      </c>
      <c r="X884" t="s">
        <v>16844</v>
      </c>
      <c r="Y884" t="s">
        <v>16845</v>
      </c>
      <c r="Z884" t="s">
        <v>16846</v>
      </c>
      <c r="AA884" t="s">
        <v>16847</v>
      </c>
      <c r="AB884" t="s">
        <v>16848</v>
      </c>
      <c r="AC884" t="s">
        <v>16849</v>
      </c>
      <c r="AD884" t="s">
        <v>16850</v>
      </c>
      <c r="AE884" t="s">
        <v>16851</v>
      </c>
      <c r="AF884" t="s">
        <v>74</v>
      </c>
      <c r="AG884">
        <v>75</v>
      </c>
      <c r="AH884">
        <v>0</v>
      </c>
      <c r="AI884">
        <v>0</v>
      </c>
      <c r="AJ884">
        <v>2</v>
      </c>
      <c r="AK884">
        <v>2</v>
      </c>
      <c r="AL884" t="s">
        <v>337</v>
      </c>
      <c r="AM884" t="s">
        <v>338</v>
      </c>
      <c r="AN884" t="s">
        <v>339</v>
      </c>
      <c r="AO884" t="s">
        <v>2543</v>
      </c>
      <c r="AP884" t="s">
        <v>74</v>
      </c>
      <c r="AQ884" t="s">
        <v>74</v>
      </c>
      <c r="AR884" t="s">
        <v>2544</v>
      </c>
      <c r="AS884" t="s">
        <v>2545</v>
      </c>
      <c r="AT884" t="s">
        <v>16500</v>
      </c>
      <c r="AU884">
        <v>2021</v>
      </c>
      <c r="AV884">
        <v>11</v>
      </c>
      <c r="AW884">
        <v>1</v>
      </c>
      <c r="AX884" t="s">
        <v>74</v>
      </c>
      <c r="AY884" t="s">
        <v>74</v>
      </c>
      <c r="AZ884" t="s">
        <v>74</v>
      </c>
      <c r="BA884" t="s">
        <v>74</v>
      </c>
      <c r="BB884" t="s">
        <v>74</v>
      </c>
      <c r="BC884" t="s">
        <v>74</v>
      </c>
      <c r="BD884" t="s">
        <v>74</v>
      </c>
      <c r="BE884" t="s">
        <v>74</v>
      </c>
      <c r="BF884" t="s">
        <v>74</v>
      </c>
      <c r="BG884" t="s">
        <v>74</v>
      </c>
      <c r="BH884" t="s">
        <v>74</v>
      </c>
      <c r="BI884">
        <v>12</v>
      </c>
      <c r="BJ884" t="s">
        <v>289</v>
      </c>
      <c r="BK884" t="s">
        <v>103</v>
      </c>
      <c r="BL884" t="s">
        <v>290</v>
      </c>
      <c r="BM884" t="s">
        <v>16852</v>
      </c>
      <c r="BN884" t="s">
        <v>74</v>
      </c>
      <c r="BO884" t="s">
        <v>74</v>
      </c>
      <c r="BP884" t="s">
        <v>74</v>
      </c>
      <c r="BQ884" t="s">
        <v>74</v>
      </c>
      <c r="BR884" t="s">
        <v>106</v>
      </c>
      <c r="BS884" t="s">
        <v>16853</v>
      </c>
      <c r="BT884" t="str">
        <f>HYPERLINK("https%3A%2F%2Fwww.webofscience.com%2Fwos%2Fwoscc%2Ffull-record%2FWOS:000734524200124","View Full Record in Web of Science")</f>
        <v>View Full Record in Web of Science</v>
      </c>
    </row>
    <row r="885" spans="1:72" x14ac:dyDescent="0.15">
      <c r="A885" t="s">
        <v>72</v>
      </c>
      <c r="B885" t="s">
        <v>16854</v>
      </c>
      <c r="C885" t="s">
        <v>74</v>
      </c>
      <c r="D885" t="s">
        <v>74</v>
      </c>
      <c r="E885" t="s">
        <v>74</v>
      </c>
      <c r="F885" t="s">
        <v>16855</v>
      </c>
      <c r="G885" t="s">
        <v>74</v>
      </c>
      <c r="H885" t="s">
        <v>74</v>
      </c>
      <c r="I885" t="s">
        <v>16856</v>
      </c>
      <c r="J885" t="s">
        <v>16857</v>
      </c>
      <c r="K885" t="s">
        <v>74</v>
      </c>
      <c r="L885" t="s">
        <v>74</v>
      </c>
      <c r="M885" t="s">
        <v>78</v>
      </c>
      <c r="N885" t="s">
        <v>79</v>
      </c>
      <c r="O885" t="s">
        <v>74</v>
      </c>
      <c r="P885" t="s">
        <v>74</v>
      </c>
      <c r="Q885" t="s">
        <v>74</v>
      </c>
      <c r="R885" t="s">
        <v>74</v>
      </c>
      <c r="S885" t="s">
        <v>74</v>
      </c>
      <c r="T885" t="s">
        <v>16858</v>
      </c>
      <c r="U885" t="s">
        <v>16859</v>
      </c>
      <c r="V885" t="s">
        <v>16860</v>
      </c>
      <c r="W885" t="s">
        <v>16861</v>
      </c>
      <c r="X885" t="s">
        <v>16862</v>
      </c>
      <c r="Y885" t="s">
        <v>16863</v>
      </c>
      <c r="Z885" t="s">
        <v>16864</v>
      </c>
      <c r="AA885" t="s">
        <v>16865</v>
      </c>
      <c r="AB885" t="s">
        <v>16866</v>
      </c>
      <c r="AC885" t="s">
        <v>16867</v>
      </c>
      <c r="AD885" t="s">
        <v>16868</v>
      </c>
      <c r="AE885" t="s">
        <v>16869</v>
      </c>
      <c r="AF885" t="s">
        <v>74</v>
      </c>
      <c r="AG885">
        <v>48</v>
      </c>
      <c r="AH885">
        <v>11</v>
      </c>
      <c r="AI885">
        <v>12</v>
      </c>
      <c r="AJ885">
        <v>23</v>
      </c>
      <c r="AK885">
        <v>67</v>
      </c>
      <c r="AL885" t="s">
        <v>690</v>
      </c>
      <c r="AM885" t="s">
        <v>606</v>
      </c>
      <c r="AN885" t="s">
        <v>691</v>
      </c>
      <c r="AO885" t="s">
        <v>16870</v>
      </c>
      <c r="AP885" t="s">
        <v>16871</v>
      </c>
      <c r="AQ885" t="s">
        <v>74</v>
      </c>
      <c r="AR885" t="s">
        <v>16872</v>
      </c>
      <c r="AS885" t="s">
        <v>16873</v>
      </c>
      <c r="AT885" t="s">
        <v>16874</v>
      </c>
      <c r="AU885">
        <v>2021</v>
      </c>
      <c r="AV885">
        <v>55</v>
      </c>
      <c r="AW885">
        <v>23</v>
      </c>
      <c r="AX885" t="s">
        <v>74</v>
      </c>
      <c r="AY885" t="s">
        <v>74</v>
      </c>
      <c r="AZ885" t="s">
        <v>74</v>
      </c>
      <c r="BA885" t="s">
        <v>74</v>
      </c>
      <c r="BB885">
        <v>15853</v>
      </c>
      <c r="BC885">
        <v>15861</v>
      </c>
      <c r="BD885" t="s">
        <v>74</v>
      </c>
      <c r="BE885" t="s">
        <v>16875</v>
      </c>
      <c r="BF885" t="str">
        <f>HYPERLINK("http://dx.doi.org/10.1021/acs.est.1c04776","http://dx.doi.org/10.1021/acs.est.1c04776")</f>
        <v>http://dx.doi.org/10.1021/acs.est.1c04776</v>
      </c>
      <c r="BG885" t="s">
        <v>74</v>
      </c>
      <c r="BH885" t="s">
        <v>74</v>
      </c>
      <c r="BI885">
        <v>9</v>
      </c>
      <c r="BJ885" t="s">
        <v>6937</v>
      </c>
      <c r="BK885" t="s">
        <v>103</v>
      </c>
      <c r="BL885" t="s">
        <v>6938</v>
      </c>
      <c r="BM885" t="s">
        <v>16876</v>
      </c>
      <c r="BN885">
        <v>34779623</v>
      </c>
      <c r="BO885" t="s">
        <v>3263</v>
      </c>
      <c r="BP885" t="s">
        <v>74</v>
      </c>
      <c r="BQ885" t="s">
        <v>74</v>
      </c>
      <c r="BR885" t="s">
        <v>106</v>
      </c>
      <c r="BS885" t="s">
        <v>16877</v>
      </c>
      <c r="BT885" t="str">
        <f>HYPERLINK("https%3A%2F%2Fwww.webofscience.com%2Fwos%2Fwoscc%2Ffull-record%2FWOS:000758717600030","View Full Record in Web of Science")</f>
        <v>View Full Record in Web of Science</v>
      </c>
    </row>
    <row r="886" spans="1:72" x14ac:dyDescent="0.15">
      <c r="A886" t="s">
        <v>72</v>
      </c>
      <c r="B886" t="s">
        <v>16878</v>
      </c>
      <c r="C886" t="s">
        <v>74</v>
      </c>
      <c r="D886" t="s">
        <v>74</v>
      </c>
      <c r="E886" t="s">
        <v>74</v>
      </c>
      <c r="F886" t="s">
        <v>16879</v>
      </c>
      <c r="G886" t="s">
        <v>74</v>
      </c>
      <c r="H886" t="s">
        <v>74</v>
      </c>
      <c r="I886" t="s">
        <v>16880</v>
      </c>
      <c r="J886" t="s">
        <v>16857</v>
      </c>
      <c r="K886" t="s">
        <v>74</v>
      </c>
      <c r="L886" t="s">
        <v>74</v>
      </c>
      <c r="M886" t="s">
        <v>78</v>
      </c>
      <c r="N886" t="s">
        <v>79</v>
      </c>
      <c r="O886" t="s">
        <v>74</v>
      </c>
      <c r="P886" t="s">
        <v>74</v>
      </c>
      <c r="Q886" t="s">
        <v>74</v>
      </c>
      <c r="R886" t="s">
        <v>74</v>
      </c>
      <c r="S886" t="s">
        <v>74</v>
      </c>
      <c r="T886" t="s">
        <v>16881</v>
      </c>
      <c r="U886" t="s">
        <v>16882</v>
      </c>
      <c r="V886" t="s">
        <v>16883</v>
      </c>
      <c r="W886" t="s">
        <v>16884</v>
      </c>
      <c r="X886" t="s">
        <v>16885</v>
      </c>
      <c r="Y886" t="s">
        <v>16886</v>
      </c>
      <c r="Z886" t="s">
        <v>16887</v>
      </c>
      <c r="AA886" t="s">
        <v>16888</v>
      </c>
      <c r="AB886" t="s">
        <v>16889</v>
      </c>
      <c r="AC886" t="s">
        <v>16890</v>
      </c>
      <c r="AD886" t="s">
        <v>16891</v>
      </c>
      <c r="AE886" t="s">
        <v>16892</v>
      </c>
      <c r="AF886" t="s">
        <v>74</v>
      </c>
      <c r="AG886">
        <v>86</v>
      </c>
      <c r="AH886">
        <v>44</v>
      </c>
      <c r="AI886">
        <v>46</v>
      </c>
      <c r="AJ886">
        <v>10</v>
      </c>
      <c r="AK886">
        <v>81</v>
      </c>
      <c r="AL886" t="s">
        <v>690</v>
      </c>
      <c r="AM886" t="s">
        <v>606</v>
      </c>
      <c r="AN886" t="s">
        <v>691</v>
      </c>
      <c r="AO886" t="s">
        <v>16870</v>
      </c>
      <c r="AP886" t="s">
        <v>16871</v>
      </c>
      <c r="AQ886" t="s">
        <v>74</v>
      </c>
      <c r="AR886" t="s">
        <v>16872</v>
      </c>
      <c r="AS886" t="s">
        <v>16873</v>
      </c>
      <c r="AT886" t="s">
        <v>16874</v>
      </c>
      <c r="AU886">
        <v>2021</v>
      </c>
      <c r="AV886">
        <v>55</v>
      </c>
      <c r="AW886">
        <v>23</v>
      </c>
      <c r="AX886" t="s">
        <v>74</v>
      </c>
      <c r="AY886" t="s">
        <v>74</v>
      </c>
      <c r="AZ886" t="s">
        <v>74</v>
      </c>
      <c r="BA886" t="s">
        <v>74</v>
      </c>
      <c r="BB886">
        <v>15900</v>
      </c>
      <c r="BC886">
        <v>15911</v>
      </c>
      <c r="BD886" t="s">
        <v>74</v>
      </c>
      <c r="BE886" t="s">
        <v>16893</v>
      </c>
      <c r="BF886" t="str">
        <f>HYPERLINK("http://dx.doi.org/10.1021/acs.est.1c05207","http://dx.doi.org/10.1021/acs.est.1c05207")</f>
        <v>http://dx.doi.org/10.1021/acs.est.1c05207</v>
      </c>
      <c r="BG886" t="s">
        <v>74</v>
      </c>
      <c r="BH886" t="s">
        <v>74</v>
      </c>
      <c r="BI886">
        <v>12</v>
      </c>
      <c r="BJ886" t="s">
        <v>6937</v>
      </c>
      <c r="BK886" t="s">
        <v>103</v>
      </c>
      <c r="BL886" t="s">
        <v>6938</v>
      </c>
      <c r="BM886" t="s">
        <v>16876</v>
      </c>
      <c r="BN886">
        <v>34841863</v>
      </c>
      <c r="BO886" t="s">
        <v>74</v>
      </c>
      <c r="BP886" t="s">
        <v>74</v>
      </c>
      <c r="BQ886" t="s">
        <v>74</v>
      </c>
      <c r="BR886" t="s">
        <v>106</v>
      </c>
      <c r="BS886" t="s">
        <v>16894</v>
      </c>
      <c r="BT886" t="str">
        <f>HYPERLINK("https%3A%2F%2Fwww.webofscience.com%2Fwos%2Fwoscc%2Ffull-record%2FWOS:000758717600035","View Full Record in Web of Science")</f>
        <v>View Full Record in Web of Science</v>
      </c>
    </row>
    <row r="887" spans="1:72" x14ac:dyDescent="0.15">
      <c r="A887" t="s">
        <v>72</v>
      </c>
      <c r="B887" t="s">
        <v>16895</v>
      </c>
      <c r="C887" t="s">
        <v>74</v>
      </c>
      <c r="D887" t="s">
        <v>74</v>
      </c>
      <c r="E887" t="s">
        <v>74</v>
      </c>
      <c r="F887" t="s">
        <v>16896</v>
      </c>
      <c r="G887" t="s">
        <v>74</v>
      </c>
      <c r="H887" t="s">
        <v>74</v>
      </c>
      <c r="I887" t="s">
        <v>16897</v>
      </c>
      <c r="J887" t="s">
        <v>351</v>
      </c>
      <c r="K887" t="s">
        <v>74</v>
      </c>
      <c r="L887" t="s">
        <v>74</v>
      </c>
      <c r="M887" t="s">
        <v>78</v>
      </c>
      <c r="N887" t="s">
        <v>79</v>
      </c>
      <c r="O887" t="s">
        <v>74</v>
      </c>
      <c r="P887" t="s">
        <v>74</v>
      </c>
      <c r="Q887" t="s">
        <v>74</v>
      </c>
      <c r="R887" t="s">
        <v>74</v>
      </c>
      <c r="S887" t="s">
        <v>74</v>
      </c>
      <c r="T887" t="s">
        <v>16898</v>
      </c>
      <c r="U887" t="s">
        <v>16899</v>
      </c>
      <c r="V887" t="s">
        <v>16900</v>
      </c>
      <c r="W887" t="s">
        <v>16901</v>
      </c>
      <c r="X887" t="s">
        <v>16902</v>
      </c>
      <c r="Y887" t="s">
        <v>16903</v>
      </c>
      <c r="Z887" t="s">
        <v>16904</v>
      </c>
      <c r="AA887" t="s">
        <v>16905</v>
      </c>
      <c r="AB887" t="s">
        <v>16906</v>
      </c>
      <c r="AC887" t="s">
        <v>16907</v>
      </c>
      <c r="AD887" t="s">
        <v>16908</v>
      </c>
      <c r="AE887" t="s">
        <v>16909</v>
      </c>
      <c r="AF887" t="s">
        <v>74</v>
      </c>
      <c r="AG887">
        <v>114</v>
      </c>
      <c r="AH887">
        <v>11</v>
      </c>
      <c r="AI887">
        <v>11</v>
      </c>
      <c r="AJ887">
        <v>0</v>
      </c>
      <c r="AK887">
        <v>11</v>
      </c>
      <c r="AL887" t="s">
        <v>363</v>
      </c>
      <c r="AM887" t="s">
        <v>364</v>
      </c>
      <c r="AN887" t="s">
        <v>365</v>
      </c>
      <c r="AO887" t="s">
        <v>74</v>
      </c>
      <c r="AP887" t="s">
        <v>366</v>
      </c>
      <c r="AQ887" t="s">
        <v>74</v>
      </c>
      <c r="AR887" t="s">
        <v>367</v>
      </c>
      <c r="AS887" t="s">
        <v>368</v>
      </c>
      <c r="AT887" t="s">
        <v>16874</v>
      </c>
      <c r="AU887">
        <v>2021</v>
      </c>
      <c r="AV887">
        <v>8</v>
      </c>
      <c r="AW887" t="s">
        <v>74</v>
      </c>
      <c r="AX887" t="s">
        <v>74</v>
      </c>
      <c r="AY887" t="s">
        <v>74</v>
      </c>
      <c r="AZ887" t="s">
        <v>74</v>
      </c>
      <c r="BA887" t="s">
        <v>74</v>
      </c>
      <c r="BB887" t="s">
        <v>74</v>
      </c>
      <c r="BC887" t="s">
        <v>74</v>
      </c>
      <c r="BD887">
        <v>750180</v>
      </c>
      <c r="BE887" t="s">
        <v>16910</v>
      </c>
      <c r="BF887" t="str">
        <f>HYPERLINK("http://dx.doi.org/10.3389/fmars.2021.750180","http://dx.doi.org/10.3389/fmars.2021.750180")</f>
        <v>http://dx.doi.org/10.3389/fmars.2021.750180</v>
      </c>
      <c r="BG887" t="s">
        <v>74</v>
      </c>
      <c r="BH887" t="s">
        <v>74</v>
      </c>
      <c r="BI887">
        <v>22</v>
      </c>
      <c r="BJ887" t="s">
        <v>102</v>
      </c>
      <c r="BK887" t="s">
        <v>103</v>
      </c>
      <c r="BL887" t="s">
        <v>104</v>
      </c>
      <c r="BM887" t="s">
        <v>16911</v>
      </c>
      <c r="BN887" t="s">
        <v>74</v>
      </c>
      <c r="BO887" t="s">
        <v>1204</v>
      </c>
      <c r="BP887" t="s">
        <v>74</v>
      </c>
      <c r="BQ887" t="s">
        <v>74</v>
      </c>
      <c r="BR887" t="s">
        <v>106</v>
      </c>
      <c r="BS887" t="s">
        <v>16912</v>
      </c>
      <c r="BT887" t="str">
        <f>HYPERLINK("https%3A%2F%2Fwww.webofscience.com%2Fwos%2Fwoscc%2Ffull-record%2FWOS:000744710100001","View Full Record in Web of Science")</f>
        <v>View Full Record in Web of Science</v>
      </c>
    </row>
    <row r="888" spans="1:72" x14ac:dyDescent="0.15">
      <c r="A888" t="s">
        <v>72</v>
      </c>
      <c r="B888" t="s">
        <v>16913</v>
      </c>
      <c r="C888" t="s">
        <v>74</v>
      </c>
      <c r="D888" t="s">
        <v>74</v>
      </c>
      <c r="E888" t="s">
        <v>74</v>
      </c>
      <c r="F888" t="s">
        <v>16914</v>
      </c>
      <c r="G888" t="s">
        <v>74</v>
      </c>
      <c r="H888" t="s">
        <v>74</v>
      </c>
      <c r="I888" t="s">
        <v>16915</v>
      </c>
      <c r="J888" t="s">
        <v>5416</v>
      </c>
      <c r="K888" t="s">
        <v>74</v>
      </c>
      <c r="L888" t="s">
        <v>74</v>
      </c>
      <c r="M888" t="s">
        <v>78</v>
      </c>
      <c r="N888" t="s">
        <v>79</v>
      </c>
      <c r="O888" t="s">
        <v>74</v>
      </c>
      <c r="P888" t="s">
        <v>74</v>
      </c>
      <c r="Q888" t="s">
        <v>74</v>
      </c>
      <c r="R888" t="s">
        <v>74</v>
      </c>
      <c r="S888" t="s">
        <v>74</v>
      </c>
      <c r="T888" t="s">
        <v>16916</v>
      </c>
      <c r="U888" t="s">
        <v>16917</v>
      </c>
      <c r="V888" t="s">
        <v>16918</v>
      </c>
      <c r="W888" t="s">
        <v>16919</v>
      </c>
      <c r="X888" t="s">
        <v>16920</v>
      </c>
      <c r="Y888" t="s">
        <v>16921</v>
      </c>
      <c r="Z888" t="s">
        <v>16922</v>
      </c>
      <c r="AA888" t="s">
        <v>16923</v>
      </c>
      <c r="AB888" t="s">
        <v>16924</v>
      </c>
      <c r="AC888" t="s">
        <v>16925</v>
      </c>
      <c r="AD888" t="s">
        <v>16926</v>
      </c>
      <c r="AE888" t="s">
        <v>16927</v>
      </c>
      <c r="AF888" t="s">
        <v>74</v>
      </c>
      <c r="AG888">
        <v>70</v>
      </c>
      <c r="AH888">
        <v>8</v>
      </c>
      <c r="AI888">
        <v>8</v>
      </c>
      <c r="AJ888">
        <v>2</v>
      </c>
      <c r="AK888">
        <v>15</v>
      </c>
      <c r="AL888" t="s">
        <v>310</v>
      </c>
      <c r="AM888" t="s">
        <v>311</v>
      </c>
      <c r="AN888" t="s">
        <v>312</v>
      </c>
      <c r="AO888" t="s">
        <v>5429</v>
      </c>
      <c r="AP888" t="s">
        <v>5430</v>
      </c>
      <c r="AQ888" t="s">
        <v>74</v>
      </c>
      <c r="AR888" t="s">
        <v>5431</v>
      </c>
      <c r="AS888" t="s">
        <v>5432</v>
      </c>
      <c r="AT888" t="s">
        <v>4645</v>
      </c>
      <c r="AU888">
        <v>2022</v>
      </c>
      <c r="AV888">
        <v>208</v>
      </c>
      <c r="AW888" t="s">
        <v>74</v>
      </c>
      <c r="AX888" t="s">
        <v>74</v>
      </c>
      <c r="AY888" t="s">
        <v>74</v>
      </c>
      <c r="AZ888" t="s">
        <v>74</v>
      </c>
      <c r="BA888" t="s">
        <v>74</v>
      </c>
      <c r="BB888" t="s">
        <v>74</v>
      </c>
      <c r="BC888" t="s">
        <v>74</v>
      </c>
      <c r="BD888">
        <v>103718</v>
      </c>
      <c r="BE888" t="s">
        <v>16928</v>
      </c>
      <c r="BF888" t="str">
        <f>HYPERLINK("http://dx.doi.org/10.1016/j.gloplacha.2021.103718","http://dx.doi.org/10.1016/j.gloplacha.2021.103718")</f>
        <v>http://dx.doi.org/10.1016/j.gloplacha.2021.103718</v>
      </c>
      <c r="BG888" t="s">
        <v>74</v>
      </c>
      <c r="BH888" t="s">
        <v>14486</v>
      </c>
      <c r="BI888">
        <v>12</v>
      </c>
      <c r="BJ888" t="s">
        <v>208</v>
      </c>
      <c r="BK888" t="s">
        <v>103</v>
      </c>
      <c r="BL888" t="s">
        <v>209</v>
      </c>
      <c r="BM888" t="s">
        <v>16929</v>
      </c>
      <c r="BN888" t="s">
        <v>74</v>
      </c>
      <c r="BO888" t="s">
        <v>16930</v>
      </c>
      <c r="BP888" t="s">
        <v>74</v>
      </c>
      <c r="BQ888" t="s">
        <v>74</v>
      </c>
      <c r="BR888" t="s">
        <v>106</v>
      </c>
      <c r="BS888" t="s">
        <v>16931</v>
      </c>
      <c r="BT888" t="str">
        <f>HYPERLINK("https%3A%2F%2Fwww.webofscience.com%2Fwos%2Fwoscc%2Ffull-record%2FWOS:000740506800004","View Full Record in Web of Science")</f>
        <v>View Full Record in Web of Science</v>
      </c>
    </row>
    <row r="889" spans="1:72" x14ac:dyDescent="0.15">
      <c r="A889" t="s">
        <v>72</v>
      </c>
      <c r="B889" t="s">
        <v>16932</v>
      </c>
      <c r="C889" t="s">
        <v>74</v>
      </c>
      <c r="D889" t="s">
        <v>74</v>
      </c>
      <c r="E889" t="s">
        <v>74</v>
      </c>
      <c r="F889" t="s">
        <v>16933</v>
      </c>
      <c r="G889" t="s">
        <v>74</v>
      </c>
      <c r="H889" t="s">
        <v>74</v>
      </c>
      <c r="I889" t="s">
        <v>16934</v>
      </c>
      <c r="J889" t="s">
        <v>77</v>
      </c>
      <c r="K889" t="s">
        <v>74</v>
      </c>
      <c r="L889" t="s">
        <v>74</v>
      </c>
      <c r="M889" t="s">
        <v>78</v>
      </c>
      <c r="N889" t="s">
        <v>79</v>
      </c>
      <c r="O889" t="s">
        <v>74</v>
      </c>
      <c r="P889" t="s">
        <v>74</v>
      </c>
      <c r="Q889" t="s">
        <v>74</v>
      </c>
      <c r="R889" t="s">
        <v>74</v>
      </c>
      <c r="S889" t="s">
        <v>74</v>
      </c>
      <c r="T889" t="s">
        <v>16935</v>
      </c>
      <c r="U889" t="s">
        <v>16936</v>
      </c>
      <c r="V889" t="s">
        <v>16937</v>
      </c>
      <c r="W889" t="s">
        <v>16938</v>
      </c>
      <c r="X889" t="s">
        <v>16939</v>
      </c>
      <c r="Y889" t="s">
        <v>16940</v>
      </c>
      <c r="Z889" t="s">
        <v>16941</v>
      </c>
      <c r="AA889" t="s">
        <v>16942</v>
      </c>
      <c r="AB889" t="s">
        <v>16943</v>
      </c>
      <c r="AC889" t="s">
        <v>16944</v>
      </c>
      <c r="AD889" t="s">
        <v>16945</v>
      </c>
      <c r="AE889" t="s">
        <v>16946</v>
      </c>
      <c r="AF889" t="s">
        <v>74</v>
      </c>
      <c r="AG889">
        <v>47</v>
      </c>
      <c r="AH889">
        <v>12</v>
      </c>
      <c r="AI889">
        <v>13</v>
      </c>
      <c r="AJ889">
        <v>2</v>
      </c>
      <c r="AK889">
        <v>24</v>
      </c>
      <c r="AL889" t="s">
        <v>92</v>
      </c>
      <c r="AM889" t="s">
        <v>93</v>
      </c>
      <c r="AN889" t="s">
        <v>94</v>
      </c>
      <c r="AO889" t="s">
        <v>95</v>
      </c>
      <c r="AP889" t="s">
        <v>96</v>
      </c>
      <c r="AQ889" t="s">
        <v>74</v>
      </c>
      <c r="AR889" t="s">
        <v>97</v>
      </c>
      <c r="AS889" t="s">
        <v>98</v>
      </c>
      <c r="AT889" t="s">
        <v>4645</v>
      </c>
      <c r="AU889">
        <v>2022</v>
      </c>
      <c r="AV889">
        <v>174</v>
      </c>
      <c r="AW889" t="s">
        <v>74</v>
      </c>
      <c r="AX889" t="s">
        <v>74</v>
      </c>
      <c r="AY889" t="s">
        <v>74</v>
      </c>
      <c r="AZ889" t="s">
        <v>74</v>
      </c>
      <c r="BA889" t="s">
        <v>74</v>
      </c>
      <c r="BB889" t="s">
        <v>74</v>
      </c>
      <c r="BC889" t="s">
        <v>74</v>
      </c>
      <c r="BD889">
        <v>113176</v>
      </c>
      <c r="BE889" t="s">
        <v>16947</v>
      </c>
      <c r="BF889" t="str">
        <f>HYPERLINK("http://dx.doi.org/10.1016/j.marpolbul.2021.113176","http://dx.doi.org/10.1016/j.marpolbul.2021.113176")</f>
        <v>http://dx.doi.org/10.1016/j.marpolbul.2021.113176</v>
      </c>
      <c r="BG889" t="s">
        <v>74</v>
      </c>
      <c r="BH889" t="s">
        <v>14486</v>
      </c>
      <c r="BI889">
        <v>5</v>
      </c>
      <c r="BJ889" t="s">
        <v>102</v>
      </c>
      <c r="BK889" t="s">
        <v>103</v>
      </c>
      <c r="BL889" t="s">
        <v>104</v>
      </c>
      <c r="BM889" t="s">
        <v>16948</v>
      </c>
      <c r="BN889">
        <v>34890891</v>
      </c>
      <c r="BO889" t="s">
        <v>1745</v>
      </c>
      <c r="BP889" t="s">
        <v>74</v>
      </c>
      <c r="BQ889" t="s">
        <v>74</v>
      </c>
      <c r="BR889" t="s">
        <v>106</v>
      </c>
      <c r="BS889" t="s">
        <v>16949</v>
      </c>
      <c r="BT889" t="str">
        <f>HYPERLINK("https%3A%2F%2Fwww.webofscience.com%2Fwos%2Fwoscc%2Ffull-record%2FWOS:000737263600004","View Full Record in Web of Science")</f>
        <v>View Full Record in Web of Science</v>
      </c>
    </row>
    <row r="890" spans="1:72" x14ac:dyDescent="0.15">
      <c r="A890" t="s">
        <v>72</v>
      </c>
      <c r="B890" t="s">
        <v>16950</v>
      </c>
      <c r="C890" t="s">
        <v>74</v>
      </c>
      <c r="D890" t="s">
        <v>74</v>
      </c>
      <c r="E890" t="s">
        <v>74</v>
      </c>
      <c r="F890" t="s">
        <v>16951</v>
      </c>
      <c r="G890" t="s">
        <v>74</v>
      </c>
      <c r="H890" t="s">
        <v>74</v>
      </c>
      <c r="I890" t="s">
        <v>16952</v>
      </c>
      <c r="J890" t="s">
        <v>1397</v>
      </c>
      <c r="K890" t="s">
        <v>74</v>
      </c>
      <c r="L890" t="s">
        <v>74</v>
      </c>
      <c r="M890" t="s">
        <v>78</v>
      </c>
      <c r="N890" t="s">
        <v>79</v>
      </c>
      <c r="O890" t="s">
        <v>74</v>
      </c>
      <c r="P890" t="s">
        <v>74</v>
      </c>
      <c r="Q890" t="s">
        <v>74</v>
      </c>
      <c r="R890" t="s">
        <v>74</v>
      </c>
      <c r="S890" t="s">
        <v>74</v>
      </c>
      <c r="T890" t="s">
        <v>74</v>
      </c>
      <c r="U890" t="s">
        <v>16953</v>
      </c>
      <c r="V890" t="s">
        <v>16954</v>
      </c>
      <c r="W890" t="s">
        <v>16955</v>
      </c>
      <c r="X890" t="s">
        <v>16956</v>
      </c>
      <c r="Y890" t="s">
        <v>16957</v>
      </c>
      <c r="Z890" t="s">
        <v>16958</v>
      </c>
      <c r="AA890" t="s">
        <v>16959</v>
      </c>
      <c r="AB890" t="s">
        <v>16960</v>
      </c>
      <c r="AC890" t="s">
        <v>16961</v>
      </c>
      <c r="AD890" t="s">
        <v>16962</v>
      </c>
      <c r="AE890" t="s">
        <v>16963</v>
      </c>
      <c r="AF890" t="s">
        <v>74</v>
      </c>
      <c r="AG890">
        <v>137</v>
      </c>
      <c r="AH890">
        <v>7</v>
      </c>
      <c r="AI890">
        <v>9</v>
      </c>
      <c r="AJ890">
        <v>3</v>
      </c>
      <c r="AK890">
        <v>7</v>
      </c>
      <c r="AL890" t="s">
        <v>120</v>
      </c>
      <c r="AM890" t="s">
        <v>121</v>
      </c>
      <c r="AN890" t="s">
        <v>122</v>
      </c>
      <c r="AO890" t="s">
        <v>1409</v>
      </c>
      <c r="AP890" t="s">
        <v>1410</v>
      </c>
      <c r="AQ890" t="s">
        <v>74</v>
      </c>
      <c r="AR890" t="s">
        <v>1397</v>
      </c>
      <c r="AS890" t="s">
        <v>1411</v>
      </c>
      <c r="AT890" t="s">
        <v>16874</v>
      </c>
      <c r="AU890">
        <v>2021</v>
      </c>
      <c r="AV890">
        <v>15</v>
      </c>
      <c r="AW890">
        <v>12</v>
      </c>
      <c r="AX890" t="s">
        <v>74</v>
      </c>
      <c r="AY890" t="s">
        <v>74</v>
      </c>
      <c r="AZ890" t="s">
        <v>74</v>
      </c>
      <c r="BA890" t="s">
        <v>74</v>
      </c>
      <c r="BB890">
        <v>5447</v>
      </c>
      <c r="BC890">
        <v>5471</v>
      </c>
      <c r="BD890" t="s">
        <v>74</v>
      </c>
      <c r="BE890" t="s">
        <v>16964</v>
      </c>
      <c r="BF890" t="str">
        <f>HYPERLINK("http://dx.doi.org/10.5194/tc-15-5447-2021","http://dx.doi.org/10.5194/tc-15-5447-2021")</f>
        <v>http://dx.doi.org/10.5194/tc-15-5447-2021</v>
      </c>
      <c r="BG890" t="s">
        <v>74</v>
      </c>
      <c r="BH890" t="s">
        <v>74</v>
      </c>
      <c r="BI890">
        <v>25</v>
      </c>
      <c r="BJ890" t="s">
        <v>208</v>
      </c>
      <c r="BK890" t="s">
        <v>103</v>
      </c>
      <c r="BL890" t="s">
        <v>209</v>
      </c>
      <c r="BM890" t="s">
        <v>16965</v>
      </c>
      <c r="BN890" t="s">
        <v>74</v>
      </c>
      <c r="BO890" t="s">
        <v>5849</v>
      </c>
      <c r="BP890" t="s">
        <v>74</v>
      </c>
      <c r="BQ890" t="s">
        <v>74</v>
      </c>
      <c r="BR890" t="s">
        <v>106</v>
      </c>
      <c r="BS890" t="s">
        <v>16966</v>
      </c>
      <c r="BT890" t="str">
        <f>HYPERLINK("https%3A%2F%2Fwww.webofscience.com%2Fwos%2Fwoscc%2Ffull-record%2FWOS:000728469500001","View Full Record in Web of Science")</f>
        <v>View Full Record in Web of Science</v>
      </c>
    </row>
    <row r="891" spans="1:72" x14ac:dyDescent="0.15">
      <c r="A891" t="s">
        <v>72</v>
      </c>
      <c r="B891" t="s">
        <v>16967</v>
      </c>
      <c r="C891" t="s">
        <v>74</v>
      </c>
      <c r="D891" t="s">
        <v>74</v>
      </c>
      <c r="E891" t="s">
        <v>74</v>
      </c>
      <c r="F891" t="s">
        <v>16968</v>
      </c>
      <c r="G891" t="s">
        <v>74</v>
      </c>
      <c r="H891" t="s">
        <v>74</v>
      </c>
      <c r="I891" t="s">
        <v>16969</v>
      </c>
      <c r="J891" t="s">
        <v>16970</v>
      </c>
      <c r="K891" t="s">
        <v>74</v>
      </c>
      <c r="L891" t="s">
        <v>74</v>
      </c>
      <c r="M891" t="s">
        <v>78</v>
      </c>
      <c r="N891" t="s">
        <v>79</v>
      </c>
      <c r="O891" t="s">
        <v>74</v>
      </c>
      <c r="P891" t="s">
        <v>74</v>
      </c>
      <c r="Q891" t="s">
        <v>74</v>
      </c>
      <c r="R891" t="s">
        <v>74</v>
      </c>
      <c r="S891" t="s">
        <v>74</v>
      </c>
      <c r="T891" t="s">
        <v>16971</v>
      </c>
      <c r="U891" t="s">
        <v>16972</v>
      </c>
      <c r="V891" t="s">
        <v>16973</v>
      </c>
      <c r="W891" t="s">
        <v>16974</v>
      </c>
      <c r="X891" t="s">
        <v>8595</v>
      </c>
      <c r="Y891" t="s">
        <v>16975</v>
      </c>
      <c r="Z891" t="s">
        <v>16976</v>
      </c>
      <c r="AA891" t="s">
        <v>16977</v>
      </c>
      <c r="AB891" t="s">
        <v>16978</v>
      </c>
      <c r="AC891" t="s">
        <v>16979</v>
      </c>
      <c r="AD891" t="s">
        <v>12368</v>
      </c>
      <c r="AE891" t="s">
        <v>16980</v>
      </c>
      <c r="AF891" t="s">
        <v>74</v>
      </c>
      <c r="AG891">
        <v>85</v>
      </c>
      <c r="AH891">
        <v>6</v>
      </c>
      <c r="AI891">
        <v>6</v>
      </c>
      <c r="AJ891">
        <v>1</v>
      </c>
      <c r="AK891">
        <v>17</v>
      </c>
      <c r="AL891" t="s">
        <v>171</v>
      </c>
      <c r="AM891" t="s">
        <v>172</v>
      </c>
      <c r="AN891" t="s">
        <v>173</v>
      </c>
      <c r="AO891" t="s">
        <v>16981</v>
      </c>
      <c r="AP891" t="s">
        <v>16982</v>
      </c>
      <c r="AQ891" t="s">
        <v>74</v>
      </c>
      <c r="AR891" t="s">
        <v>16983</v>
      </c>
      <c r="AS891" t="s">
        <v>16984</v>
      </c>
      <c r="AT891" t="s">
        <v>99</v>
      </c>
      <c r="AU891">
        <v>2022</v>
      </c>
      <c r="AV891">
        <v>31</v>
      </c>
      <c r="AW891">
        <v>3</v>
      </c>
      <c r="AX891" t="s">
        <v>74</v>
      </c>
      <c r="AY891" t="s">
        <v>74</v>
      </c>
      <c r="AZ891" t="s">
        <v>74</v>
      </c>
      <c r="BA891" t="s">
        <v>74</v>
      </c>
      <c r="BB891">
        <v>405</v>
      </c>
      <c r="BC891">
        <v>424</v>
      </c>
      <c r="BD891" t="s">
        <v>74</v>
      </c>
      <c r="BE891" t="s">
        <v>16985</v>
      </c>
      <c r="BF891" t="str">
        <f>HYPERLINK("http://dx.doi.org/10.1111/geb.13435","http://dx.doi.org/10.1111/geb.13435")</f>
        <v>http://dx.doi.org/10.1111/geb.13435</v>
      </c>
      <c r="BG891" t="s">
        <v>74</v>
      </c>
      <c r="BH891" t="s">
        <v>14486</v>
      </c>
      <c r="BI891">
        <v>20</v>
      </c>
      <c r="BJ891" t="s">
        <v>16986</v>
      </c>
      <c r="BK891" t="s">
        <v>103</v>
      </c>
      <c r="BL891" t="s">
        <v>16987</v>
      </c>
      <c r="BM891" t="s">
        <v>16988</v>
      </c>
      <c r="BN891" t="s">
        <v>74</v>
      </c>
      <c r="BO891" t="s">
        <v>74</v>
      </c>
      <c r="BP891" t="s">
        <v>74</v>
      </c>
      <c r="BQ891" t="s">
        <v>74</v>
      </c>
      <c r="BR891" t="s">
        <v>106</v>
      </c>
      <c r="BS891" t="s">
        <v>16989</v>
      </c>
      <c r="BT891" t="str">
        <f>HYPERLINK("https%3A%2F%2Fwww.webofscience.com%2Fwos%2Fwoscc%2Ffull-record%2FWOS:000727322000001","View Full Record in Web of Science")</f>
        <v>View Full Record in Web of Science</v>
      </c>
    </row>
    <row r="892" spans="1:72" x14ac:dyDescent="0.15">
      <c r="A892" t="s">
        <v>72</v>
      </c>
      <c r="B892" t="s">
        <v>16990</v>
      </c>
      <c r="C892" t="s">
        <v>74</v>
      </c>
      <c r="D892" t="s">
        <v>74</v>
      </c>
      <c r="E892" t="s">
        <v>74</v>
      </c>
      <c r="F892" t="s">
        <v>16991</v>
      </c>
      <c r="G892" t="s">
        <v>74</v>
      </c>
      <c r="H892" t="s">
        <v>74</v>
      </c>
      <c r="I892" t="s">
        <v>16992</v>
      </c>
      <c r="J892" t="s">
        <v>1682</v>
      </c>
      <c r="K892" t="s">
        <v>74</v>
      </c>
      <c r="L892" t="s">
        <v>74</v>
      </c>
      <c r="M892" t="s">
        <v>78</v>
      </c>
      <c r="N892" t="s">
        <v>79</v>
      </c>
      <c r="O892" t="s">
        <v>74</v>
      </c>
      <c r="P892" t="s">
        <v>74</v>
      </c>
      <c r="Q892" t="s">
        <v>74</v>
      </c>
      <c r="R892" t="s">
        <v>74</v>
      </c>
      <c r="S892" t="s">
        <v>74</v>
      </c>
      <c r="T892" t="s">
        <v>16993</v>
      </c>
      <c r="U892" t="s">
        <v>16994</v>
      </c>
      <c r="V892" t="s">
        <v>16995</v>
      </c>
      <c r="W892" t="s">
        <v>16996</v>
      </c>
      <c r="X892" t="s">
        <v>16997</v>
      </c>
      <c r="Y892" t="s">
        <v>16998</v>
      </c>
      <c r="Z892" t="s">
        <v>16999</v>
      </c>
      <c r="AA892" t="s">
        <v>17000</v>
      </c>
      <c r="AB892" t="s">
        <v>17001</v>
      </c>
      <c r="AC892" t="s">
        <v>17002</v>
      </c>
      <c r="AD892" t="s">
        <v>17003</v>
      </c>
      <c r="AE892" t="s">
        <v>17004</v>
      </c>
      <c r="AF892" t="s">
        <v>74</v>
      </c>
      <c r="AG892">
        <v>93</v>
      </c>
      <c r="AH892">
        <v>9</v>
      </c>
      <c r="AI892">
        <v>9</v>
      </c>
      <c r="AJ892">
        <v>0</v>
      </c>
      <c r="AK892">
        <v>12</v>
      </c>
      <c r="AL892" t="s">
        <v>198</v>
      </c>
      <c r="AM892" t="s">
        <v>506</v>
      </c>
      <c r="AN892" t="s">
        <v>1695</v>
      </c>
      <c r="AO892" t="s">
        <v>1696</v>
      </c>
      <c r="AP892" t="s">
        <v>1697</v>
      </c>
      <c r="AQ892" t="s">
        <v>74</v>
      </c>
      <c r="AR892" t="s">
        <v>1698</v>
      </c>
      <c r="AS892" t="s">
        <v>1699</v>
      </c>
      <c r="AT892" t="s">
        <v>840</v>
      </c>
      <c r="AU892">
        <v>2022</v>
      </c>
      <c r="AV892">
        <v>34</v>
      </c>
      <c r="AW892">
        <v>1</v>
      </c>
      <c r="AX892" t="s">
        <v>74</v>
      </c>
      <c r="AY892" t="s">
        <v>74</v>
      </c>
      <c r="AZ892" t="s">
        <v>74</v>
      </c>
      <c r="BA892" t="s">
        <v>74</v>
      </c>
      <c r="BB892">
        <v>79</v>
      </c>
      <c r="BC892">
        <v>96</v>
      </c>
      <c r="BD892" t="s">
        <v>17005</v>
      </c>
      <c r="BE892" t="s">
        <v>17006</v>
      </c>
      <c r="BF892" t="str">
        <f>HYPERLINK("http://dx.doi.org/10.1017/S0954102021000535","http://dx.doi.org/10.1017/S0954102021000535")</f>
        <v>http://dx.doi.org/10.1017/S0954102021000535</v>
      </c>
      <c r="BG892" t="s">
        <v>74</v>
      </c>
      <c r="BH892" t="s">
        <v>14486</v>
      </c>
      <c r="BI892">
        <v>18</v>
      </c>
      <c r="BJ892" t="s">
        <v>1702</v>
      </c>
      <c r="BK892" t="s">
        <v>103</v>
      </c>
      <c r="BL892" t="s">
        <v>1703</v>
      </c>
      <c r="BM892" t="s">
        <v>1704</v>
      </c>
      <c r="BN892" t="s">
        <v>74</v>
      </c>
      <c r="BO892" t="s">
        <v>948</v>
      </c>
      <c r="BP892" t="s">
        <v>74</v>
      </c>
      <c r="BQ892" t="s">
        <v>74</v>
      </c>
      <c r="BR892" t="s">
        <v>106</v>
      </c>
      <c r="BS892" t="s">
        <v>17007</v>
      </c>
      <c r="BT892" t="str">
        <f>HYPERLINK("https%3A%2F%2Fwww.webofscience.com%2Fwos%2Fwoscc%2Ffull-record%2FWOS:000727537300001","View Full Record in Web of Science")</f>
        <v>View Full Record in Web of Science</v>
      </c>
    </row>
    <row r="893" spans="1:72" x14ac:dyDescent="0.15">
      <c r="A893" t="s">
        <v>72</v>
      </c>
      <c r="B893" t="s">
        <v>17008</v>
      </c>
      <c r="C893" t="s">
        <v>74</v>
      </c>
      <c r="D893" t="s">
        <v>74</v>
      </c>
      <c r="E893" t="s">
        <v>74</v>
      </c>
      <c r="F893" t="s">
        <v>17009</v>
      </c>
      <c r="G893" t="s">
        <v>74</v>
      </c>
      <c r="H893" t="s">
        <v>74</v>
      </c>
      <c r="I893" t="s">
        <v>17010</v>
      </c>
      <c r="J893" t="s">
        <v>351</v>
      </c>
      <c r="K893" t="s">
        <v>74</v>
      </c>
      <c r="L893" t="s">
        <v>74</v>
      </c>
      <c r="M893" t="s">
        <v>78</v>
      </c>
      <c r="N893" t="s">
        <v>79</v>
      </c>
      <c r="O893" t="s">
        <v>74</v>
      </c>
      <c r="P893" t="s">
        <v>74</v>
      </c>
      <c r="Q893" t="s">
        <v>74</v>
      </c>
      <c r="R893" t="s">
        <v>74</v>
      </c>
      <c r="S893" t="s">
        <v>74</v>
      </c>
      <c r="T893" t="s">
        <v>17011</v>
      </c>
      <c r="U893" t="s">
        <v>17012</v>
      </c>
      <c r="V893" t="s">
        <v>17013</v>
      </c>
      <c r="W893" t="s">
        <v>17014</v>
      </c>
      <c r="X893" t="s">
        <v>17015</v>
      </c>
      <c r="Y893" t="s">
        <v>17016</v>
      </c>
      <c r="Z893" t="s">
        <v>17017</v>
      </c>
      <c r="AA893" t="s">
        <v>17018</v>
      </c>
      <c r="AB893" t="s">
        <v>17019</v>
      </c>
      <c r="AC893" t="s">
        <v>17020</v>
      </c>
      <c r="AD893" t="s">
        <v>17021</v>
      </c>
      <c r="AE893" t="s">
        <v>17022</v>
      </c>
      <c r="AF893" t="s">
        <v>74</v>
      </c>
      <c r="AG893">
        <v>61</v>
      </c>
      <c r="AH893">
        <v>9</v>
      </c>
      <c r="AI893">
        <v>9</v>
      </c>
      <c r="AJ893">
        <v>5</v>
      </c>
      <c r="AK893">
        <v>45</v>
      </c>
      <c r="AL893" t="s">
        <v>363</v>
      </c>
      <c r="AM893" t="s">
        <v>364</v>
      </c>
      <c r="AN893" t="s">
        <v>365</v>
      </c>
      <c r="AO893" t="s">
        <v>74</v>
      </c>
      <c r="AP893" t="s">
        <v>366</v>
      </c>
      <c r="AQ893" t="s">
        <v>74</v>
      </c>
      <c r="AR893" t="s">
        <v>367</v>
      </c>
      <c r="AS893" t="s">
        <v>368</v>
      </c>
      <c r="AT893" t="s">
        <v>17023</v>
      </c>
      <c r="AU893">
        <v>2021</v>
      </c>
      <c r="AV893">
        <v>8</v>
      </c>
      <c r="AW893" t="s">
        <v>74</v>
      </c>
      <c r="AX893" t="s">
        <v>74</v>
      </c>
      <c r="AY893" t="s">
        <v>74</v>
      </c>
      <c r="AZ893" t="s">
        <v>74</v>
      </c>
      <c r="BA893" t="s">
        <v>74</v>
      </c>
      <c r="BB893" t="s">
        <v>74</v>
      </c>
      <c r="BC893" t="s">
        <v>74</v>
      </c>
      <c r="BD893">
        <v>768715</v>
      </c>
      <c r="BE893" t="s">
        <v>17024</v>
      </c>
      <c r="BF893" t="str">
        <f>HYPERLINK("http://dx.doi.org/10.3389/fmars.2021.768715","http://dx.doi.org/10.3389/fmars.2021.768715")</f>
        <v>http://dx.doi.org/10.3389/fmars.2021.768715</v>
      </c>
      <c r="BG893" t="s">
        <v>74</v>
      </c>
      <c r="BH893" t="s">
        <v>74</v>
      </c>
      <c r="BI893">
        <v>14</v>
      </c>
      <c r="BJ893" t="s">
        <v>102</v>
      </c>
      <c r="BK893" t="s">
        <v>103</v>
      </c>
      <c r="BL893" t="s">
        <v>104</v>
      </c>
      <c r="BM893" t="s">
        <v>17025</v>
      </c>
      <c r="BN893" t="s">
        <v>74</v>
      </c>
      <c r="BO893" t="s">
        <v>292</v>
      </c>
      <c r="BP893" t="s">
        <v>74</v>
      </c>
      <c r="BQ893" t="s">
        <v>74</v>
      </c>
      <c r="BR893" t="s">
        <v>106</v>
      </c>
      <c r="BS893" t="s">
        <v>17026</v>
      </c>
      <c r="BT893" t="str">
        <f>HYPERLINK("https%3A%2F%2Fwww.webofscience.com%2Fwos%2Fwoscc%2Ffull-record%2FWOS:000732252500001","View Full Record in Web of Science")</f>
        <v>View Full Record in Web of Science</v>
      </c>
    </row>
    <row r="894" spans="1:72" x14ac:dyDescent="0.15">
      <c r="A894" t="s">
        <v>72</v>
      </c>
      <c r="B894" t="s">
        <v>17027</v>
      </c>
      <c r="C894" t="s">
        <v>74</v>
      </c>
      <c r="D894" t="s">
        <v>74</v>
      </c>
      <c r="E894" t="s">
        <v>74</v>
      </c>
      <c r="F894" t="s">
        <v>17028</v>
      </c>
      <c r="G894" t="s">
        <v>74</v>
      </c>
      <c r="H894" t="s">
        <v>74</v>
      </c>
      <c r="I894" t="s">
        <v>17029</v>
      </c>
      <c r="J894" t="s">
        <v>2532</v>
      </c>
      <c r="K894" t="s">
        <v>74</v>
      </c>
      <c r="L894" t="s">
        <v>74</v>
      </c>
      <c r="M894" t="s">
        <v>78</v>
      </c>
      <c r="N894" t="s">
        <v>79</v>
      </c>
      <c r="O894" t="s">
        <v>74</v>
      </c>
      <c r="P894" t="s">
        <v>74</v>
      </c>
      <c r="Q894" t="s">
        <v>74</v>
      </c>
      <c r="R894" t="s">
        <v>74</v>
      </c>
      <c r="S894" t="s">
        <v>74</v>
      </c>
      <c r="T894" t="s">
        <v>74</v>
      </c>
      <c r="U894" t="s">
        <v>17030</v>
      </c>
      <c r="V894" t="s">
        <v>17031</v>
      </c>
      <c r="W894" t="s">
        <v>17032</v>
      </c>
      <c r="X894" t="s">
        <v>17033</v>
      </c>
      <c r="Y894" t="s">
        <v>17034</v>
      </c>
      <c r="Z894" t="s">
        <v>17035</v>
      </c>
      <c r="AA894" t="s">
        <v>17036</v>
      </c>
      <c r="AB894" t="s">
        <v>17037</v>
      </c>
      <c r="AC894" t="s">
        <v>17038</v>
      </c>
      <c r="AD894" t="s">
        <v>17039</v>
      </c>
      <c r="AE894" t="s">
        <v>17040</v>
      </c>
      <c r="AF894" t="s">
        <v>74</v>
      </c>
      <c r="AG894">
        <v>75</v>
      </c>
      <c r="AH894">
        <v>5</v>
      </c>
      <c r="AI894">
        <v>5</v>
      </c>
      <c r="AJ894">
        <v>2</v>
      </c>
      <c r="AK894">
        <v>6</v>
      </c>
      <c r="AL894" t="s">
        <v>337</v>
      </c>
      <c r="AM894" t="s">
        <v>338</v>
      </c>
      <c r="AN894" t="s">
        <v>339</v>
      </c>
      <c r="AO894" t="s">
        <v>2543</v>
      </c>
      <c r="AP894" t="s">
        <v>74</v>
      </c>
      <c r="AQ894" t="s">
        <v>74</v>
      </c>
      <c r="AR894" t="s">
        <v>2544</v>
      </c>
      <c r="AS894" t="s">
        <v>2545</v>
      </c>
      <c r="AT894" t="s">
        <v>17023</v>
      </c>
      <c r="AU894">
        <v>2021</v>
      </c>
      <c r="AV894">
        <v>11</v>
      </c>
      <c r="AW894">
        <v>1</v>
      </c>
      <c r="AX894" t="s">
        <v>74</v>
      </c>
      <c r="AY894" t="s">
        <v>74</v>
      </c>
      <c r="AZ894" t="s">
        <v>74</v>
      </c>
      <c r="BA894" t="s">
        <v>74</v>
      </c>
      <c r="BB894" t="s">
        <v>74</v>
      </c>
      <c r="BC894" t="s">
        <v>74</v>
      </c>
      <c r="BD894">
        <v>23460</v>
      </c>
      <c r="BE894" t="s">
        <v>17041</v>
      </c>
      <c r="BF894" t="str">
        <f>HYPERLINK("http://dx.doi.org/10.1038/s41598-021-02940-6","http://dx.doi.org/10.1038/s41598-021-02940-6")</f>
        <v>http://dx.doi.org/10.1038/s41598-021-02940-6</v>
      </c>
      <c r="BG894" t="s">
        <v>74</v>
      </c>
      <c r="BH894" t="s">
        <v>74</v>
      </c>
      <c r="BI894">
        <v>15</v>
      </c>
      <c r="BJ894" t="s">
        <v>289</v>
      </c>
      <c r="BK894" t="s">
        <v>103</v>
      </c>
      <c r="BL894" t="s">
        <v>290</v>
      </c>
      <c r="BM894" t="s">
        <v>17042</v>
      </c>
      <c r="BN894">
        <v>34873261</v>
      </c>
      <c r="BO894" t="s">
        <v>4992</v>
      </c>
      <c r="BP894" t="s">
        <v>74</v>
      </c>
      <c r="BQ894" t="s">
        <v>74</v>
      </c>
      <c r="BR894" t="s">
        <v>106</v>
      </c>
      <c r="BS894" t="s">
        <v>17043</v>
      </c>
      <c r="BT894" t="str">
        <f>HYPERLINK("https%3A%2F%2Fwww.webofscience.com%2Fwos%2Fwoscc%2Ffull-record%2FWOS:000727615800052","View Full Record in Web of Science")</f>
        <v>View Full Record in Web of Science</v>
      </c>
    </row>
    <row r="895" spans="1:72" x14ac:dyDescent="0.15">
      <c r="A895" t="s">
        <v>72</v>
      </c>
      <c r="B895" t="s">
        <v>17044</v>
      </c>
      <c r="C895" t="s">
        <v>74</v>
      </c>
      <c r="D895" t="s">
        <v>74</v>
      </c>
      <c r="E895" t="s">
        <v>74</v>
      </c>
      <c r="F895" t="s">
        <v>17045</v>
      </c>
      <c r="G895" t="s">
        <v>74</v>
      </c>
      <c r="H895" t="s">
        <v>74</v>
      </c>
      <c r="I895" t="s">
        <v>17046</v>
      </c>
      <c r="J895" t="s">
        <v>17047</v>
      </c>
      <c r="K895" t="s">
        <v>74</v>
      </c>
      <c r="L895" t="s">
        <v>74</v>
      </c>
      <c r="M895" t="s">
        <v>78</v>
      </c>
      <c r="N895" t="s">
        <v>79</v>
      </c>
      <c r="O895" t="s">
        <v>74</v>
      </c>
      <c r="P895" t="s">
        <v>74</v>
      </c>
      <c r="Q895" t="s">
        <v>74</v>
      </c>
      <c r="R895" t="s">
        <v>74</v>
      </c>
      <c r="S895" t="s">
        <v>74</v>
      </c>
      <c r="T895" t="s">
        <v>74</v>
      </c>
      <c r="U895" t="s">
        <v>17048</v>
      </c>
      <c r="V895" t="s">
        <v>17049</v>
      </c>
      <c r="W895" t="s">
        <v>17050</v>
      </c>
      <c r="X895" t="s">
        <v>17051</v>
      </c>
      <c r="Y895" t="s">
        <v>17052</v>
      </c>
      <c r="Z895" t="s">
        <v>17053</v>
      </c>
      <c r="AA895" t="s">
        <v>17054</v>
      </c>
      <c r="AB895" t="s">
        <v>17055</v>
      </c>
      <c r="AC895" t="s">
        <v>17056</v>
      </c>
      <c r="AD895" t="s">
        <v>17057</v>
      </c>
      <c r="AE895" t="s">
        <v>17058</v>
      </c>
      <c r="AF895" t="s">
        <v>74</v>
      </c>
      <c r="AG895">
        <v>83</v>
      </c>
      <c r="AH895">
        <v>11</v>
      </c>
      <c r="AI895">
        <v>11</v>
      </c>
      <c r="AJ895">
        <v>2</v>
      </c>
      <c r="AK895">
        <v>9</v>
      </c>
      <c r="AL895" t="s">
        <v>17059</v>
      </c>
      <c r="AM895" t="s">
        <v>506</v>
      </c>
      <c r="AN895" t="s">
        <v>17060</v>
      </c>
      <c r="AO895" t="s">
        <v>17061</v>
      </c>
      <c r="AP895" t="s">
        <v>17062</v>
      </c>
      <c r="AQ895" t="s">
        <v>74</v>
      </c>
      <c r="AR895" t="s">
        <v>17063</v>
      </c>
      <c r="AS895" t="s">
        <v>17064</v>
      </c>
      <c r="AT895" t="s">
        <v>17023</v>
      </c>
      <c r="AU895">
        <v>2021</v>
      </c>
      <c r="AV895">
        <v>220</v>
      </c>
      <c r="AW895">
        <v>12</v>
      </c>
      <c r="AX895" t="s">
        <v>74</v>
      </c>
      <c r="AY895" t="s">
        <v>74</v>
      </c>
      <c r="AZ895" t="s">
        <v>74</v>
      </c>
      <c r="BA895" t="s">
        <v>74</v>
      </c>
      <c r="BB895" t="s">
        <v>74</v>
      </c>
      <c r="BC895" t="s">
        <v>74</v>
      </c>
      <c r="BD895" t="s">
        <v>17065</v>
      </c>
      <c r="BE895" t="s">
        <v>17066</v>
      </c>
      <c r="BF895" t="str">
        <f>HYPERLINK("http://dx.doi.org/10.1083/jcb.201905065","http://dx.doi.org/10.1083/jcb.201905065")</f>
        <v>http://dx.doi.org/10.1083/jcb.201905065</v>
      </c>
      <c r="BG895" t="s">
        <v>74</v>
      </c>
      <c r="BH895" t="s">
        <v>74</v>
      </c>
      <c r="BI895">
        <v>28</v>
      </c>
      <c r="BJ895" t="s">
        <v>17067</v>
      </c>
      <c r="BK895" t="s">
        <v>103</v>
      </c>
      <c r="BL895" t="s">
        <v>17067</v>
      </c>
      <c r="BM895" t="s">
        <v>17068</v>
      </c>
      <c r="BN895">
        <v>34633413</v>
      </c>
      <c r="BO895" t="s">
        <v>749</v>
      </c>
      <c r="BP895" t="s">
        <v>74</v>
      </c>
      <c r="BQ895" t="s">
        <v>74</v>
      </c>
      <c r="BR895" t="s">
        <v>106</v>
      </c>
      <c r="BS895" t="s">
        <v>17069</v>
      </c>
      <c r="BT895" t="str">
        <f>HYPERLINK("https%3A%2F%2Fwww.webofscience.com%2Fwos%2Fwoscc%2Ffull-record%2FWOS:000707562600001","View Full Record in Web of Science")</f>
        <v>View Full Record in Web of Science</v>
      </c>
    </row>
    <row r="896" spans="1:72" x14ac:dyDescent="0.15">
      <c r="A896" t="s">
        <v>72</v>
      </c>
      <c r="B896" t="s">
        <v>17070</v>
      </c>
      <c r="C896" t="s">
        <v>74</v>
      </c>
      <c r="D896" t="s">
        <v>74</v>
      </c>
      <c r="E896" t="s">
        <v>74</v>
      </c>
      <c r="F896" t="s">
        <v>17071</v>
      </c>
      <c r="G896" t="s">
        <v>74</v>
      </c>
      <c r="H896" t="s">
        <v>74</v>
      </c>
      <c r="I896" t="s">
        <v>17072</v>
      </c>
      <c r="J896" t="s">
        <v>17073</v>
      </c>
      <c r="K896" t="s">
        <v>74</v>
      </c>
      <c r="L896" t="s">
        <v>74</v>
      </c>
      <c r="M896" t="s">
        <v>78</v>
      </c>
      <c r="N896" t="s">
        <v>79</v>
      </c>
      <c r="O896" t="s">
        <v>74</v>
      </c>
      <c r="P896" t="s">
        <v>74</v>
      </c>
      <c r="Q896" t="s">
        <v>74</v>
      </c>
      <c r="R896" t="s">
        <v>74</v>
      </c>
      <c r="S896" t="s">
        <v>74</v>
      </c>
      <c r="T896" t="s">
        <v>17074</v>
      </c>
      <c r="U896" t="s">
        <v>17075</v>
      </c>
      <c r="V896" t="s">
        <v>17076</v>
      </c>
      <c r="W896" t="s">
        <v>17077</v>
      </c>
      <c r="X896" t="s">
        <v>17078</v>
      </c>
      <c r="Y896" t="s">
        <v>17079</v>
      </c>
      <c r="Z896" t="s">
        <v>17080</v>
      </c>
      <c r="AA896" t="s">
        <v>17081</v>
      </c>
      <c r="AB896" t="s">
        <v>17082</v>
      </c>
      <c r="AC896" t="s">
        <v>74</v>
      </c>
      <c r="AD896" t="s">
        <v>74</v>
      </c>
      <c r="AE896" t="s">
        <v>74</v>
      </c>
      <c r="AF896" t="s">
        <v>74</v>
      </c>
      <c r="AG896">
        <v>97</v>
      </c>
      <c r="AH896">
        <v>6</v>
      </c>
      <c r="AI896">
        <v>7</v>
      </c>
      <c r="AJ896">
        <v>0</v>
      </c>
      <c r="AK896">
        <v>3</v>
      </c>
      <c r="AL896" t="s">
        <v>171</v>
      </c>
      <c r="AM896" t="s">
        <v>172</v>
      </c>
      <c r="AN896" t="s">
        <v>173</v>
      </c>
      <c r="AO896" t="s">
        <v>17083</v>
      </c>
      <c r="AP896" t="s">
        <v>17084</v>
      </c>
      <c r="AQ896" t="s">
        <v>74</v>
      </c>
      <c r="AR896" t="s">
        <v>17085</v>
      </c>
      <c r="AS896" t="s">
        <v>17086</v>
      </c>
      <c r="AT896" t="s">
        <v>99</v>
      </c>
      <c r="AU896">
        <v>2022</v>
      </c>
      <c r="AV896">
        <v>51</v>
      </c>
      <c r="AW896">
        <v>2</v>
      </c>
      <c r="AX896" t="s">
        <v>74</v>
      </c>
      <c r="AY896" t="s">
        <v>74</v>
      </c>
      <c r="AZ896" t="s">
        <v>74</v>
      </c>
      <c r="BA896" t="s">
        <v>74</v>
      </c>
      <c r="BB896">
        <v>217</v>
      </c>
      <c r="BC896">
        <v>231</v>
      </c>
      <c r="BD896" t="s">
        <v>74</v>
      </c>
      <c r="BE896" t="s">
        <v>17087</v>
      </c>
      <c r="BF896" t="str">
        <f>HYPERLINK("http://dx.doi.org/10.1111/zsc.12521","http://dx.doi.org/10.1111/zsc.12521")</f>
        <v>http://dx.doi.org/10.1111/zsc.12521</v>
      </c>
      <c r="BG896" t="s">
        <v>74</v>
      </c>
      <c r="BH896" t="s">
        <v>14486</v>
      </c>
      <c r="BI896">
        <v>15</v>
      </c>
      <c r="BJ896" t="s">
        <v>5204</v>
      </c>
      <c r="BK896" t="s">
        <v>103</v>
      </c>
      <c r="BL896" t="s">
        <v>5204</v>
      </c>
      <c r="BM896" t="s">
        <v>17088</v>
      </c>
      <c r="BN896" t="s">
        <v>74</v>
      </c>
      <c r="BO896" t="s">
        <v>74</v>
      </c>
      <c r="BP896" t="s">
        <v>74</v>
      </c>
      <c r="BQ896" t="s">
        <v>74</v>
      </c>
      <c r="BR896" t="s">
        <v>106</v>
      </c>
      <c r="BS896" t="s">
        <v>17089</v>
      </c>
      <c r="BT896" t="str">
        <f>HYPERLINK("https%3A%2F%2Fwww.webofscience.com%2Fwos%2Fwoscc%2Ffull-record%2FWOS:000726319500001","View Full Record in Web of Science")</f>
        <v>View Full Record in Web of Science</v>
      </c>
    </row>
    <row r="897" spans="1:72" x14ac:dyDescent="0.15">
      <c r="A897" t="s">
        <v>72</v>
      </c>
      <c r="B897" t="s">
        <v>844</v>
      </c>
      <c r="C897" t="s">
        <v>74</v>
      </c>
      <c r="D897" t="s">
        <v>74</v>
      </c>
      <c r="E897" t="s">
        <v>74</v>
      </c>
      <c r="F897" t="s">
        <v>845</v>
      </c>
      <c r="G897" t="s">
        <v>74</v>
      </c>
      <c r="H897" t="s">
        <v>74</v>
      </c>
      <c r="I897" t="s">
        <v>17090</v>
      </c>
      <c r="J897" t="s">
        <v>847</v>
      </c>
      <c r="K897" t="s">
        <v>74</v>
      </c>
      <c r="L897" t="s">
        <v>74</v>
      </c>
      <c r="M897" t="s">
        <v>78</v>
      </c>
      <c r="N897" t="s">
        <v>79</v>
      </c>
      <c r="O897" t="s">
        <v>74</v>
      </c>
      <c r="P897" t="s">
        <v>74</v>
      </c>
      <c r="Q897" t="s">
        <v>74</v>
      </c>
      <c r="R897" t="s">
        <v>74</v>
      </c>
      <c r="S897" t="s">
        <v>74</v>
      </c>
      <c r="T897" t="s">
        <v>17091</v>
      </c>
      <c r="U897" t="s">
        <v>17092</v>
      </c>
      <c r="V897" t="s">
        <v>17093</v>
      </c>
      <c r="W897" t="s">
        <v>17094</v>
      </c>
      <c r="X897" t="s">
        <v>852</v>
      </c>
      <c r="Y897" t="s">
        <v>17095</v>
      </c>
      <c r="Z897" t="s">
        <v>854</v>
      </c>
      <c r="AA897" t="s">
        <v>855</v>
      </c>
      <c r="AB897" t="s">
        <v>856</v>
      </c>
      <c r="AC897" t="s">
        <v>17096</v>
      </c>
      <c r="AD897" t="s">
        <v>17097</v>
      </c>
      <c r="AE897" t="s">
        <v>17098</v>
      </c>
      <c r="AF897" t="s">
        <v>74</v>
      </c>
      <c r="AG897">
        <v>50</v>
      </c>
      <c r="AH897">
        <v>15</v>
      </c>
      <c r="AI897">
        <v>15</v>
      </c>
      <c r="AJ897">
        <v>1</v>
      </c>
      <c r="AK897">
        <v>5</v>
      </c>
      <c r="AL897" t="s">
        <v>814</v>
      </c>
      <c r="AM897" t="s">
        <v>93</v>
      </c>
      <c r="AN897" t="s">
        <v>815</v>
      </c>
      <c r="AO897" t="s">
        <v>857</v>
      </c>
      <c r="AP897" t="s">
        <v>858</v>
      </c>
      <c r="AQ897" t="s">
        <v>74</v>
      </c>
      <c r="AR897" t="s">
        <v>859</v>
      </c>
      <c r="AS897" t="s">
        <v>860</v>
      </c>
      <c r="AT897" t="s">
        <v>840</v>
      </c>
      <c r="AU897">
        <v>2022</v>
      </c>
      <c r="AV897">
        <v>136</v>
      </c>
      <c r="AW897" t="s">
        <v>74</v>
      </c>
      <c r="AX897" t="s">
        <v>74</v>
      </c>
      <c r="AY897" t="s">
        <v>74</v>
      </c>
      <c r="AZ897" t="s">
        <v>74</v>
      </c>
      <c r="BA897" t="s">
        <v>74</v>
      </c>
      <c r="BB897" t="s">
        <v>74</v>
      </c>
      <c r="BC897" t="s">
        <v>74</v>
      </c>
      <c r="BD897">
        <v>104867</v>
      </c>
      <c r="BE897" t="s">
        <v>17099</v>
      </c>
      <c r="BF897" t="str">
        <f>HYPERLINK("http://dx.doi.org/10.1016/j.marpol.2021.104867","http://dx.doi.org/10.1016/j.marpol.2021.104867")</f>
        <v>http://dx.doi.org/10.1016/j.marpol.2021.104867</v>
      </c>
      <c r="BG897" t="s">
        <v>74</v>
      </c>
      <c r="BH897" t="s">
        <v>14486</v>
      </c>
      <c r="BI897">
        <v>8</v>
      </c>
      <c r="BJ897" t="s">
        <v>862</v>
      </c>
      <c r="BK897" t="s">
        <v>863</v>
      </c>
      <c r="BL897" t="s">
        <v>864</v>
      </c>
      <c r="BM897" t="s">
        <v>17100</v>
      </c>
      <c r="BN897" t="s">
        <v>74</v>
      </c>
      <c r="BO897" t="s">
        <v>74</v>
      </c>
      <c r="BP897" t="s">
        <v>74</v>
      </c>
      <c r="BQ897" t="s">
        <v>74</v>
      </c>
      <c r="BR897" t="s">
        <v>106</v>
      </c>
      <c r="BS897" t="s">
        <v>17101</v>
      </c>
      <c r="BT897" t="str">
        <f>HYPERLINK("https%3A%2F%2Fwww.webofscience.com%2Fwos%2Fwoscc%2Ffull-record%2FWOS:000736651100002","View Full Record in Web of Science")</f>
        <v>View Full Record in Web of Science</v>
      </c>
    </row>
    <row r="898" spans="1:72" x14ac:dyDescent="0.15">
      <c r="A898" t="s">
        <v>72</v>
      </c>
      <c r="B898" t="s">
        <v>17102</v>
      </c>
      <c r="C898" t="s">
        <v>74</v>
      </c>
      <c r="D898" t="s">
        <v>74</v>
      </c>
      <c r="E898" t="s">
        <v>74</v>
      </c>
      <c r="F898" t="s">
        <v>17103</v>
      </c>
      <c r="G898" t="s">
        <v>74</v>
      </c>
      <c r="H898" t="s">
        <v>74</v>
      </c>
      <c r="I898" t="s">
        <v>17104</v>
      </c>
      <c r="J898" t="s">
        <v>17105</v>
      </c>
      <c r="K898" t="s">
        <v>74</v>
      </c>
      <c r="L898" t="s">
        <v>74</v>
      </c>
      <c r="M898" t="s">
        <v>78</v>
      </c>
      <c r="N898" t="s">
        <v>79</v>
      </c>
      <c r="O898" t="s">
        <v>74</v>
      </c>
      <c r="P898" t="s">
        <v>74</v>
      </c>
      <c r="Q898" t="s">
        <v>74</v>
      </c>
      <c r="R898" t="s">
        <v>74</v>
      </c>
      <c r="S898" t="s">
        <v>74</v>
      </c>
      <c r="T898" t="s">
        <v>17106</v>
      </c>
      <c r="U898" t="s">
        <v>17107</v>
      </c>
      <c r="V898" t="s">
        <v>17108</v>
      </c>
      <c r="W898" t="s">
        <v>17109</v>
      </c>
      <c r="X898" t="s">
        <v>17110</v>
      </c>
      <c r="Y898" t="s">
        <v>17111</v>
      </c>
      <c r="Z898" t="s">
        <v>17112</v>
      </c>
      <c r="AA898" t="s">
        <v>17113</v>
      </c>
      <c r="AB898" t="s">
        <v>17114</v>
      </c>
      <c r="AC898" t="s">
        <v>17115</v>
      </c>
      <c r="AD898" t="s">
        <v>17116</v>
      </c>
      <c r="AE898" t="s">
        <v>17117</v>
      </c>
      <c r="AF898" t="s">
        <v>74</v>
      </c>
      <c r="AG898">
        <v>60</v>
      </c>
      <c r="AH898">
        <v>5</v>
      </c>
      <c r="AI898">
        <v>5</v>
      </c>
      <c r="AJ898">
        <v>1</v>
      </c>
      <c r="AK898">
        <v>14</v>
      </c>
      <c r="AL898" t="s">
        <v>310</v>
      </c>
      <c r="AM898" t="s">
        <v>311</v>
      </c>
      <c r="AN898" t="s">
        <v>312</v>
      </c>
      <c r="AO898" t="s">
        <v>17118</v>
      </c>
      <c r="AP898" t="s">
        <v>17119</v>
      </c>
      <c r="AQ898" t="s">
        <v>74</v>
      </c>
      <c r="AR898" t="s">
        <v>17120</v>
      </c>
      <c r="AS898" t="s">
        <v>17121</v>
      </c>
      <c r="AT898" t="s">
        <v>840</v>
      </c>
      <c r="AU898">
        <v>2022</v>
      </c>
      <c r="AV898">
        <v>464</v>
      </c>
      <c r="AW898" t="s">
        <v>74</v>
      </c>
      <c r="AX898" t="s">
        <v>74</v>
      </c>
      <c r="AY898" t="s">
        <v>74</v>
      </c>
      <c r="AZ898" t="s">
        <v>74</v>
      </c>
      <c r="BA898" t="s">
        <v>74</v>
      </c>
      <c r="BB898" t="s">
        <v>74</v>
      </c>
      <c r="BC898" t="s">
        <v>74</v>
      </c>
      <c r="BD898">
        <v>109827</v>
      </c>
      <c r="BE898" t="s">
        <v>17122</v>
      </c>
      <c r="BF898" t="str">
        <f>HYPERLINK("http://dx.doi.org/10.1016/j.ecolmodel.2021.109827","http://dx.doi.org/10.1016/j.ecolmodel.2021.109827")</f>
        <v>http://dx.doi.org/10.1016/j.ecolmodel.2021.109827</v>
      </c>
      <c r="BG898" t="s">
        <v>74</v>
      </c>
      <c r="BH898" t="s">
        <v>14486</v>
      </c>
      <c r="BI898">
        <v>11</v>
      </c>
      <c r="BJ898" t="s">
        <v>1723</v>
      </c>
      <c r="BK898" t="s">
        <v>103</v>
      </c>
      <c r="BL898" t="s">
        <v>1561</v>
      </c>
      <c r="BM898" t="s">
        <v>17123</v>
      </c>
      <c r="BN898" t="s">
        <v>74</v>
      </c>
      <c r="BO898" t="s">
        <v>74</v>
      </c>
      <c r="BP898" t="s">
        <v>74</v>
      </c>
      <c r="BQ898" t="s">
        <v>74</v>
      </c>
      <c r="BR898" t="s">
        <v>106</v>
      </c>
      <c r="BS898" t="s">
        <v>17124</v>
      </c>
      <c r="BT898" t="str">
        <f>HYPERLINK("https%3A%2F%2Fwww.webofscience.com%2Fwos%2Fwoscc%2Ffull-record%2FWOS:000728786900009","View Full Record in Web of Science")</f>
        <v>View Full Record in Web of Science</v>
      </c>
    </row>
    <row r="899" spans="1:72" x14ac:dyDescent="0.15">
      <c r="A899" t="s">
        <v>72</v>
      </c>
      <c r="B899" t="s">
        <v>17125</v>
      </c>
      <c r="C899" t="s">
        <v>74</v>
      </c>
      <c r="D899" t="s">
        <v>74</v>
      </c>
      <c r="E899" t="s">
        <v>74</v>
      </c>
      <c r="F899" t="s">
        <v>17126</v>
      </c>
      <c r="G899" t="s">
        <v>74</v>
      </c>
      <c r="H899" t="s">
        <v>74</v>
      </c>
      <c r="I899" t="s">
        <v>17127</v>
      </c>
      <c r="J899" t="s">
        <v>14533</v>
      </c>
      <c r="K899" t="s">
        <v>74</v>
      </c>
      <c r="L899" t="s">
        <v>74</v>
      </c>
      <c r="M899" t="s">
        <v>78</v>
      </c>
      <c r="N899" t="s">
        <v>79</v>
      </c>
      <c r="O899" t="s">
        <v>74</v>
      </c>
      <c r="P899" t="s">
        <v>74</v>
      </c>
      <c r="Q899" t="s">
        <v>74</v>
      </c>
      <c r="R899" t="s">
        <v>74</v>
      </c>
      <c r="S899" t="s">
        <v>74</v>
      </c>
      <c r="T899" t="s">
        <v>74</v>
      </c>
      <c r="U899" t="s">
        <v>17128</v>
      </c>
      <c r="V899" t="s">
        <v>17129</v>
      </c>
      <c r="W899" t="s">
        <v>17130</v>
      </c>
      <c r="X899" t="s">
        <v>17131</v>
      </c>
      <c r="Y899" t="s">
        <v>17132</v>
      </c>
      <c r="Z899" t="s">
        <v>17133</v>
      </c>
      <c r="AA899" t="s">
        <v>17134</v>
      </c>
      <c r="AB899" t="s">
        <v>17135</v>
      </c>
      <c r="AC899" t="s">
        <v>17136</v>
      </c>
      <c r="AD899" t="s">
        <v>17137</v>
      </c>
      <c r="AE899" t="s">
        <v>17138</v>
      </c>
      <c r="AF899" t="s">
        <v>74</v>
      </c>
      <c r="AG899">
        <v>105</v>
      </c>
      <c r="AH899">
        <v>11</v>
      </c>
      <c r="AI899">
        <v>11</v>
      </c>
      <c r="AJ899">
        <v>3</v>
      </c>
      <c r="AK899">
        <v>34</v>
      </c>
      <c r="AL899" t="s">
        <v>337</v>
      </c>
      <c r="AM899" t="s">
        <v>338</v>
      </c>
      <c r="AN899" t="s">
        <v>339</v>
      </c>
      <c r="AO899" t="s">
        <v>14541</v>
      </c>
      <c r="AP899" t="s">
        <v>14542</v>
      </c>
      <c r="AQ899" t="s">
        <v>74</v>
      </c>
      <c r="AR899" t="s">
        <v>14543</v>
      </c>
      <c r="AS899" t="s">
        <v>14544</v>
      </c>
      <c r="AT899" t="s">
        <v>2125</v>
      </c>
      <c r="AU899">
        <v>2021</v>
      </c>
      <c r="AV899">
        <v>14</v>
      </c>
      <c r="AW899">
        <v>12</v>
      </c>
      <c r="AX899" t="s">
        <v>74</v>
      </c>
      <c r="AY899" t="s">
        <v>74</v>
      </c>
      <c r="AZ899" t="s">
        <v>74</v>
      </c>
      <c r="BA899" t="s">
        <v>74</v>
      </c>
      <c r="BB899">
        <v>930</v>
      </c>
      <c r="BC899" t="s">
        <v>5868</v>
      </c>
      <c r="BD899" t="s">
        <v>74</v>
      </c>
      <c r="BE899" t="s">
        <v>17139</v>
      </c>
      <c r="BF899" t="str">
        <f>HYPERLINK("http://dx.doi.org/10.1038/s41561-021-00857-3","http://dx.doi.org/10.1038/s41561-021-00857-3")</f>
        <v>http://dx.doi.org/10.1038/s41561-021-00857-3</v>
      </c>
      <c r="BG899" t="s">
        <v>74</v>
      </c>
      <c r="BH899" t="s">
        <v>14486</v>
      </c>
      <c r="BI899">
        <v>24</v>
      </c>
      <c r="BJ899" t="s">
        <v>151</v>
      </c>
      <c r="BK899" t="s">
        <v>103</v>
      </c>
      <c r="BL899" t="s">
        <v>152</v>
      </c>
      <c r="BM899" t="s">
        <v>17140</v>
      </c>
      <c r="BN899" t="s">
        <v>74</v>
      </c>
      <c r="BO899" t="s">
        <v>487</v>
      </c>
      <c r="BP899" t="s">
        <v>74</v>
      </c>
      <c r="BQ899" t="s">
        <v>74</v>
      </c>
      <c r="BR899" t="s">
        <v>106</v>
      </c>
      <c r="BS899" t="s">
        <v>17141</v>
      </c>
      <c r="BT899" t="str">
        <f>HYPERLINK("https%3A%2F%2Fwww.webofscience.com%2Fwos%2Fwoscc%2Ffull-record%2FWOS:000725987700001","View Full Record in Web of Science")</f>
        <v>View Full Record in Web of Science</v>
      </c>
    </row>
    <row r="900" spans="1:72" x14ac:dyDescent="0.15">
      <c r="A900" t="s">
        <v>72</v>
      </c>
      <c r="B900" t="s">
        <v>17142</v>
      </c>
      <c r="C900" t="s">
        <v>74</v>
      </c>
      <c r="D900" t="s">
        <v>74</v>
      </c>
      <c r="E900" t="s">
        <v>74</v>
      </c>
      <c r="F900" t="s">
        <v>17143</v>
      </c>
      <c r="G900" t="s">
        <v>74</v>
      </c>
      <c r="H900" t="s">
        <v>74</v>
      </c>
      <c r="I900" t="s">
        <v>17144</v>
      </c>
      <c r="J900" t="s">
        <v>1635</v>
      </c>
      <c r="K900" t="s">
        <v>74</v>
      </c>
      <c r="L900" t="s">
        <v>74</v>
      </c>
      <c r="M900" t="s">
        <v>78</v>
      </c>
      <c r="N900" t="s">
        <v>79</v>
      </c>
      <c r="O900" t="s">
        <v>74</v>
      </c>
      <c r="P900" t="s">
        <v>74</v>
      </c>
      <c r="Q900" t="s">
        <v>74</v>
      </c>
      <c r="R900" t="s">
        <v>74</v>
      </c>
      <c r="S900" t="s">
        <v>74</v>
      </c>
      <c r="T900" t="s">
        <v>74</v>
      </c>
      <c r="U900" t="s">
        <v>17145</v>
      </c>
      <c r="V900" t="s">
        <v>17146</v>
      </c>
      <c r="W900" t="s">
        <v>17147</v>
      </c>
      <c r="X900" t="s">
        <v>17148</v>
      </c>
      <c r="Y900" t="s">
        <v>17149</v>
      </c>
      <c r="Z900" t="s">
        <v>17150</v>
      </c>
      <c r="AA900" t="s">
        <v>17151</v>
      </c>
      <c r="AB900" t="s">
        <v>17152</v>
      </c>
      <c r="AC900" t="s">
        <v>17153</v>
      </c>
      <c r="AD900" t="s">
        <v>17154</v>
      </c>
      <c r="AE900" t="s">
        <v>17155</v>
      </c>
      <c r="AF900" t="s">
        <v>74</v>
      </c>
      <c r="AG900">
        <v>64</v>
      </c>
      <c r="AH900">
        <v>54</v>
      </c>
      <c r="AI900">
        <v>57</v>
      </c>
      <c r="AJ900">
        <v>4</v>
      </c>
      <c r="AK900">
        <v>20</v>
      </c>
      <c r="AL900" t="s">
        <v>120</v>
      </c>
      <c r="AM900" t="s">
        <v>121</v>
      </c>
      <c r="AN900" t="s">
        <v>122</v>
      </c>
      <c r="AO900" t="s">
        <v>1646</v>
      </c>
      <c r="AP900" t="s">
        <v>1647</v>
      </c>
      <c r="AQ900" t="s">
        <v>74</v>
      </c>
      <c r="AR900" t="s">
        <v>1648</v>
      </c>
      <c r="AS900" t="s">
        <v>1649</v>
      </c>
      <c r="AT900" t="s">
        <v>17156</v>
      </c>
      <c r="AU900">
        <v>2021</v>
      </c>
      <c r="AV900">
        <v>13</v>
      </c>
      <c r="AW900">
        <v>12</v>
      </c>
      <c r="AX900" t="s">
        <v>74</v>
      </c>
      <c r="AY900" t="s">
        <v>74</v>
      </c>
      <c r="AZ900" t="s">
        <v>74</v>
      </c>
      <c r="BA900" t="s">
        <v>74</v>
      </c>
      <c r="BB900">
        <v>5565</v>
      </c>
      <c r="BC900">
        <v>5589</v>
      </c>
      <c r="BD900" t="s">
        <v>74</v>
      </c>
      <c r="BE900" t="s">
        <v>17157</v>
      </c>
      <c r="BF900" t="str">
        <f>HYPERLINK("http://dx.doi.org/10.5194/essd-13-5565-2021","http://dx.doi.org/10.5194/essd-13-5565-2021")</f>
        <v>http://dx.doi.org/10.5194/essd-13-5565-2021</v>
      </c>
      <c r="BG900" t="s">
        <v>74</v>
      </c>
      <c r="BH900" t="s">
        <v>74</v>
      </c>
      <c r="BI900">
        <v>25</v>
      </c>
      <c r="BJ900" t="s">
        <v>1201</v>
      </c>
      <c r="BK900" t="s">
        <v>103</v>
      </c>
      <c r="BL900" t="s">
        <v>1202</v>
      </c>
      <c r="BM900" t="s">
        <v>17158</v>
      </c>
      <c r="BN900" t="s">
        <v>74</v>
      </c>
      <c r="BO900" t="s">
        <v>17159</v>
      </c>
      <c r="BP900" t="s">
        <v>74</v>
      </c>
      <c r="BQ900" t="s">
        <v>74</v>
      </c>
      <c r="BR900" t="s">
        <v>106</v>
      </c>
      <c r="BS900" t="s">
        <v>17160</v>
      </c>
      <c r="BT900" t="str">
        <f>HYPERLINK("https%3A%2F%2Fwww.webofscience.com%2Fwos%2Fwoscc%2Ffull-record%2FWOS:000727094000001","View Full Record in Web of Science")</f>
        <v>View Full Record in Web of Science</v>
      </c>
    </row>
    <row r="901" spans="1:72" x14ac:dyDescent="0.15">
      <c r="A901" t="s">
        <v>72</v>
      </c>
      <c r="B901" t="s">
        <v>17161</v>
      </c>
      <c r="C901" t="s">
        <v>74</v>
      </c>
      <c r="D901" t="s">
        <v>74</v>
      </c>
      <c r="E901" t="s">
        <v>74</v>
      </c>
      <c r="F901" t="s">
        <v>17162</v>
      </c>
      <c r="G901" t="s">
        <v>74</v>
      </c>
      <c r="H901" t="s">
        <v>74</v>
      </c>
      <c r="I901" t="s">
        <v>17163</v>
      </c>
      <c r="J901" t="s">
        <v>351</v>
      </c>
      <c r="K901" t="s">
        <v>74</v>
      </c>
      <c r="L901" t="s">
        <v>74</v>
      </c>
      <c r="M901" t="s">
        <v>78</v>
      </c>
      <c r="N901" t="s">
        <v>79</v>
      </c>
      <c r="O901" t="s">
        <v>74</v>
      </c>
      <c r="P901" t="s">
        <v>74</v>
      </c>
      <c r="Q901" t="s">
        <v>74</v>
      </c>
      <c r="R901" t="s">
        <v>74</v>
      </c>
      <c r="S901" t="s">
        <v>74</v>
      </c>
      <c r="T901" t="s">
        <v>17164</v>
      </c>
      <c r="U901" t="s">
        <v>17165</v>
      </c>
      <c r="V901" t="s">
        <v>17166</v>
      </c>
      <c r="W901" t="s">
        <v>17167</v>
      </c>
      <c r="X901" t="s">
        <v>17168</v>
      </c>
      <c r="Y901" t="s">
        <v>17169</v>
      </c>
      <c r="Z901" t="s">
        <v>17170</v>
      </c>
      <c r="AA901" t="s">
        <v>17171</v>
      </c>
      <c r="AB901" t="s">
        <v>17172</v>
      </c>
      <c r="AC901" t="s">
        <v>17173</v>
      </c>
      <c r="AD901" t="s">
        <v>17174</v>
      </c>
      <c r="AE901" t="s">
        <v>17175</v>
      </c>
      <c r="AF901" t="s">
        <v>74</v>
      </c>
      <c r="AG901">
        <v>116</v>
      </c>
      <c r="AH901">
        <v>5</v>
      </c>
      <c r="AI901">
        <v>5</v>
      </c>
      <c r="AJ901">
        <v>1</v>
      </c>
      <c r="AK901">
        <v>44</v>
      </c>
      <c r="AL901" t="s">
        <v>363</v>
      </c>
      <c r="AM901" t="s">
        <v>364</v>
      </c>
      <c r="AN901" t="s">
        <v>365</v>
      </c>
      <c r="AO901" t="s">
        <v>74</v>
      </c>
      <c r="AP901" t="s">
        <v>366</v>
      </c>
      <c r="AQ901" t="s">
        <v>74</v>
      </c>
      <c r="AR901" t="s">
        <v>367</v>
      </c>
      <c r="AS901" t="s">
        <v>368</v>
      </c>
      <c r="AT901" t="s">
        <v>17156</v>
      </c>
      <c r="AU901">
        <v>2021</v>
      </c>
      <c r="AV901">
        <v>8</v>
      </c>
      <c r="AW901" t="s">
        <v>74</v>
      </c>
      <c r="AX901" t="s">
        <v>74</v>
      </c>
      <c r="AY901" t="s">
        <v>74</v>
      </c>
      <c r="AZ901" t="s">
        <v>74</v>
      </c>
      <c r="BA901" t="s">
        <v>74</v>
      </c>
      <c r="BB901" t="s">
        <v>74</v>
      </c>
      <c r="BC901" t="s">
        <v>74</v>
      </c>
      <c r="BD901">
        <v>780268</v>
      </c>
      <c r="BE901" t="s">
        <v>17176</v>
      </c>
      <c r="BF901" t="str">
        <f>HYPERLINK("http://dx.doi.org/10.3389/fmars.2021.780268","http://dx.doi.org/10.3389/fmars.2021.780268")</f>
        <v>http://dx.doi.org/10.3389/fmars.2021.780268</v>
      </c>
      <c r="BG901" t="s">
        <v>74</v>
      </c>
      <c r="BH901" t="s">
        <v>74</v>
      </c>
      <c r="BI901">
        <v>13</v>
      </c>
      <c r="BJ901" t="s">
        <v>102</v>
      </c>
      <c r="BK901" t="s">
        <v>103</v>
      </c>
      <c r="BL901" t="s">
        <v>104</v>
      </c>
      <c r="BM901" t="s">
        <v>17177</v>
      </c>
      <c r="BN901" t="s">
        <v>74</v>
      </c>
      <c r="BO901" t="s">
        <v>74</v>
      </c>
      <c r="BP901" t="s">
        <v>74</v>
      </c>
      <c r="BQ901" t="s">
        <v>74</v>
      </c>
      <c r="BR901" t="s">
        <v>106</v>
      </c>
      <c r="BS901" t="s">
        <v>17178</v>
      </c>
      <c r="BT901" t="str">
        <f>HYPERLINK("https%3A%2F%2Fwww.webofscience.com%2Fwos%2Fwoscc%2Ffull-record%2FWOS:000731440400001","View Full Record in Web of Science")</f>
        <v>View Full Record in Web of Science</v>
      </c>
    </row>
    <row r="902" spans="1:72" x14ac:dyDescent="0.15">
      <c r="A902" t="s">
        <v>72</v>
      </c>
      <c r="B902" t="s">
        <v>17179</v>
      </c>
      <c r="C902" t="s">
        <v>74</v>
      </c>
      <c r="D902" t="s">
        <v>74</v>
      </c>
      <c r="E902" t="s">
        <v>74</v>
      </c>
      <c r="F902" t="s">
        <v>17180</v>
      </c>
      <c r="G902" t="s">
        <v>74</v>
      </c>
      <c r="H902" t="s">
        <v>74</v>
      </c>
      <c r="I902" t="s">
        <v>17181</v>
      </c>
      <c r="J902" t="s">
        <v>1397</v>
      </c>
      <c r="K902" t="s">
        <v>74</v>
      </c>
      <c r="L902" t="s">
        <v>74</v>
      </c>
      <c r="M902" t="s">
        <v>78</v>
      </c>
      <c r="N902" t="s">
        <v>79</v>
      </c>
      <c r="O902" t="s">
        <v>74</v>
      </c>
      <c r="P902" t="s">
        <v>74</v>
      </c>
      <c r="Q902" t="s">
        <v>74</v>
      </c>
      <c r="R902" t="s">
        <v>74</v>
      </c>
      <c r="S902" t="s">
        <v>74</v>
      </c>
      <c r="T902" t="s">
        <v>74</v>
      </c>
      <c r="U902" t="s">
        <v>17182</v>
      </c>
      <c r="V902" t="s">
        <v>17183</v>
      </c>
      <c r="W902" t="s">
        <v>17184</v>
      </c>
      <c r="X902" t="s">
        <v>17185</v>
      </c>
      <c r="Y902" t="s">
        <v>17186</v>
      </c>
      <c r="Z902" t="s">
        <v>17187</v>
      </c>
      <c r="AA902" t="s">
        <v>17188</v>
      </c>
      <c r="AB902" t="s">
        <v>17189</v>
      </c>
      <c r="AC902" t="s">
        <v>74</v>
      </c>
      <c r="AD902" t="s">
        <v>74</v>
      </c>
      <c r="AE902" t="s">
        <v>74</v>
      </c>
      <c r="AF902" t="s">
        <v>74</v>
      </c>
      <c r="AG902">
        <v>77</v>
      </c>
      <c r="AH902">
        <v>3</v>
      </c>
      <c r="AI902">
        <v>3</v>
      </c>
      <c r="AJ902">
        <v>2</v>
      </c>
      <c r="AK902">
        <v>25</v>
      </c>
      <c r="AL902" t="s">
        <v>120</v>
      </c>
      <c r="AM902" t="s">
        <v>121</v>
      </c>
      <c r="AN902" t="s">
        <v>122</v>
      </c>
      <c r="AO902" t="s">
        <v>1409</v>
      </c>
      <c r="AP902" t="s">
        <v>1410</v>
      </c>
      <c r="AQ902" t="s">
        <v>74</v>
      </c>
      <c r="AR902" t="s">
        <v>1397</v>
      </c>
      <c r="AS902" t="s">
        <v>1411</v>
      </c>
      <c r="AT902" t="s">
        <v>15328</v>
      </c>
      <c r="AU902">
        <v>2021</v>
      </c>
      <c r="AV902">
        <v>15</v>
      </c>
      <c r="AW902">
        <v>12</v>
      </c>
      <c r="AX902" t="s">
        <v>74</v>
      </c>
      <c r="AY902" t="s">
        <v>74</v>
      </c>
      <c r="AZ902" t="s">
        <v>74</v>
      </c>
      <c r="BA902" t="s">
        <v>74</v>
      </c>
      <c r="BB902">
        <v>5323</v>
      </c>
      <c r="BC902">
        <v>5344</v>
      </c>
      <c r="BD902" t="s">
        <v>74</v>
      </c>
      <c r="BE902" t="s">
        <v>17190</v>
      </c>
      <c r="BF902" t="str">
        <f>HYPERLINK("http://dx.doi.org/10.5194/tc-15-5323-2021","http://dx.doi.org/10.5194/tc-15-5323-2021")</f>
        <v>http://dx.doi.org/10.5194/tc-15-5323-2021</v>
      </c>
      <c r="BG902" t="s">
        <v>74</v>
      </c>
      <c r="BH902" t="s">
        <v>74</v>
      </c>
      <c r="BI902">
        <v>22</v>
      </c>
      <c r="BJ902" t="s">
        <v>208</v>
      </c>
      <c r="BK902" t="s">
        <v>103</v>
      </c>
      <c r="BL902" t="s">
        <v>209</v>
      </c>
      <c r="BM902" t="s">
        <v>17191</v>
      </c>
      <c r="BN902" t="s">
        <v>74</v>
      </c>
      <c r="BO902" t="s">
        <v>16503</v>
      </c>
      <c r="BP902" t="s">
        <v>74</v>
      </c>
      <c r="BQ902" t="s">
        <v>74</v>
      </c>
      <c r="BR902" t="s">
        <v>106</v>
      </c>
      <c r="BS902" t="s">
        <v>17192</v>
      </c>
      <c r="BT902" t="str">
        <f>HYPERLINK("https%3A%2F%2Fwww.webofscience.com%2Fwos%2Fwoscc%2Ffull-record%2FWOS:000726421200001","View Full Record in Web of Science")</f>
        <v>View Full Record in Web of Science</v>
      </c>
    </row>
    <row r="903" spans="1:72" x14ac:dyDescent="0.15">
      <c r="A903" t="s">
        <v>72</v>
      </c>
      <c r="B903" t="s">
        <v>17193</v>
      </c>
      <c r="C903" t="s">
        <v>74</v>
      </c>
      <c r="D903" t="s">
        <v>74</v>
      </c>
      <c r="E903" t="s">
        <v>74</v>
      </c>
      <c r="F903" t="s">
        <v>17194</v>
      </c>
      <c r="G903" t="s">
        <v>74</v>
      </c>
      <c r="H903" t="s">
        <v>74</v>
      </c>
      <c r="I903" t="s">
        <v>17195</v>
      </c>
      <c r="J903" t="s">
        <v>17196</v>
      </c>
      <c r="K903" t="s">
        <v>74</v>
      </c>
      <c r="L903" t="s">
        <v>74</v>
      </c>
      <c r="M903" t="s">
        <v>78</v>
      </c>
      <c r="N903" t="s">
        <v>79</v>
      </c>
      <c r="O903" t="s">
        <v>74</v>
      </c>
      <c r="P903" t="s">
        <v>74</v>
      </c>
      <c r="Q903" t="s">
        <v>74</v>
      </c>
      <c r="R903" t="s">
        <v>74</v>
      </c>
      <c r="S903" t="s">
        <v>74</v>
      </c>
      <c r="T903" t="s">
        <v>17197</v>
      </c>
      <c r="U903" t="s">
        <v>17198</v>
      </c>
      <c r="V903" t="s">
        <v>17199</v>
      </c>
      <c r="W903" t="s">
        <v>17200</v>
      </c>
      <c r="X903" t="s">
        <v>10436</v>
      </c>
      <c r="Y903" t="s">
        <v>17201</v>
      </c>
      <c r="Z903" t="s">
        <v>17202</v>
      </c>
      <c r="AA903" t="s">
        <v>17203</v>
      </c>
      <c r="AB903" t="s">
        <v>17204</v>
      </c>
      <c r="AC903" t="s">
        <v>17205</v>
      </c>
      <c r="AD903" t="s">
        <v>17206</v>
      </c>
      <c r="AE903" t="s">
        <v>17207</v>
      </c>
      <c r="AF903" t="s">
        <v>74</v>
      </c>
      <c r="AG903">
        <v>51</v>
      </c>
      <c r="AH903">
        <v>1</v>
      </c>
      <c r="AI903">
        <v>1</v>
      </c>
      <c r="AJ903">
        <v>4</v>
      </c>
      <c r="AK903">
        <v>9</v>
      </c>
      <c r="AL903" t="s">
        <v>4587</v>
      </c>
      <c r="AM903" t="s">
        <v>4588</v>
      </c>
      <c r="AN903" t="s">
        <v>4589</v>
      </c>
      <c r="AO903" t="s">
        <v>17208</v>
      </c>
      <c r="AP903" t="s">
        <v>17209</v>
      </c>
      <c r="AQ903" t="s">
        <v>74</v>
      </c>
      <c r="AR903" t="s">
        <v>17210</v>
      </c>
      <c r="AS903" t="s">
        <v>17211</v>
      </c>
      <c r="AT903" t="s">
        <v>7680</v>
      </c>
      <c r="AU903">
        <v>2022</v>
      </c>
      <c r="AV903">
        <v>104</v>
      </c>
      <c r="AW903">
        <v>1</v>
      </c>
      <c r="AX903" t="s">
        <v>74</v>
      </c>
      <c r="AY903" t="s">
        <v>74</v>
      </c>
      <c r="AZ903" t="s">
        <v>74</v>
      </c>
      <c r="BA903" t="s">
        <v>74</v>
      </c>
      <c r="BB903">
        <v>1</v>
      </c>
      <c r="BC903">
        <v>10</v>
      </c>
      <c r="BD903" t="s">
        <v>74</v>
      </c>
      <c r="BE903" t="s">
        <v>17212</v>
      </c>
      <c r="BF903" t="str">
        <f>HYPERLINK("http://dx.doi.org/10.1080/04353676.2021.2010401","http://dx.doi.org/10.1080/04353676.2021.2010401")</f>
        <v>http://dx.doi.org/10.1080/04353676.2021.2010401</v>
      </c>
      <c r="BG903" t="s">
        <v>74</v>
      </c>
      <c r="BH903" t="s">
        <v>14486</v>
      </c>
      <c r="BI903">
        <v>10</v>
      </c>
      <c r="BJ903" t="s">
        <v>17213</v>
      </c>
      <c r="BK903" t="s">
        <v>103</v>
      </c>
      <c r="BL903" t="s">
        <v>209</v>
      </c>
      <c r="BM903" t="s">
        <v>17214</v>
      </c>
      <c r="BN903" t="s">
        <v>74</v>
      </c>
      <c r="BO903" t="s">
        <v>74</v>
      </c>
      <c r="BP903" t="s">
        <v>74</v>
      </c>
      <c r="BQ903" t="s">
        <v>74</v>
      </c>
      <c r="BR903" t="s">
        <v>106</v>
      </c>
      <c r="BS903" t="s">
        <v>17215</v>
      </c>
      <c r="BT903" t="str">
        <f>HYPERLINK("https%3A%2F%2Fwww.webofscience.com%2Fwos%2Fwoscc%2Ffull-record%2FWOS:000724680700001","View Full Record in Web of Science")</f>
        <v>View Full Record in Web of Science</v>
      </c>
    </row>
    <row r="904" spans="1:72" x14ac:dyDescent="0.15">
      <c r="A904" t="s">
        <v>72</v>
      </c>
      <c r="B904" t="s">
        <v>17216</v>
      </c>
      <c r="C904" t="s">
        <v>74</v>
      </c>
      <c r="D904" t="s">
        <v>74</v>
      </c>
      <c r="E904" t="s">
        <v>74</v>
      </c>
      <c r="F904" t="s">
        <v>17217</v>
      </c>
      <c r="G904" t="s">
        <v>74</v>
      </c>
      <c r="H904" t="s">
        <v>74</v>
      </c>
      <c r="I904" t="s">
        <v>17218</v>
      </c>
      <c r="J904" t="s">
        <v>17219</v>
      </c>
      <c r="K904" t="s">
        <v>74</v>
      </c>
      <c r="L904" t="s">
        <v>74</v>
      </c>
      <c r="M904" t="s">
        <v>78</v>
      </c>
      <c r="N904" t="s">
        <v>17220</v>
      </c>
      <c r="O904" t="s">
        <v>17221</v>
      </c>
      <c r="P904" t="s">
        <v>17222</v>
      </c>
      <c r="Q904" t="s">
        <v>17223</v>
      </c>
      <c r="R904" t="s">
        <v>74</v>
      </c>
      <c r="S904" t="s">
        <v>74</v>
      </c>
      <c r="T904" t="s">
        <v>17224</v>
      </c>
      <c r="U904" t="s">
        <v>74</v>
      </c>
      <c r="V904" t="s">
        <v>17225</v>
      </c>
      <c r="W904" t="s">
        <v>17226</v>
      </c>
      <c r="X904" t="s">
        <v>17227</v>
      </c>
      <c r="Y904" t="s">
        <v>17228</v>
      </c>
      <c r="Z904" t="s">
        <v>17229</v>
      </c>
      <c r="AA904" t="s">
        <v>17230</v>
      </c>
      <c r="AB904" t="s">
        <v>17231</v>
      </c>
      <c r="AC904" t="s">
        <v>74</v>
      </c>
      <c r="AD904" t="s">
        <v>74</v>
      </c>
      <c r="AE904" t="s">
        <v>74</v>
      </c>
      <c r="AF904" t="s">
        <v>74</v>
      </c>
      <c r="AG904">
        <v>9</v>
      </c>
      <c r="AH904">
        <v>0</v>
      </c>
      <c r="AI904">
        <v>0</v>
      </c>
      <c r="AJ904">
        <v>0</v>
      </c>
      <c r="AK904">
        <v>0</v>
      </c>
      <c r="AL904" t="s">
        <v>3816</v>
      </c>
      <c r="AM904" t="s">
        <v>3817</v>
      </c>
      <c r="AN904" t="s">
        <v>3818</v>
      </c>
      <c r="AO904" t="s">
        <v>17232</v>
      </c>
      <c r="AP904" t="s">
        <v>74</v>
      </c>
      <c r="AQ904" t="s">
        <v>74</v>
      </c>
      <c r="AR904" t="s">
        <v>17233</v>
      </c>
      <c r="AS904" t="s">
        <v>17234</v>
      </c>
      <c r="AT904" t="s">
        <v>2125</v>
      </c>
      <c r="AU904">
        <v>2021</v>
      </c>
      <c r="AV904">
        <v>16</v>
      </c>
      <c r="AW904">
        <v>12</v>
      </c>
      <c r="AX904" t="s">
        <v>74</v>
      </c>
      <c r="AY904" t="s">
        <v>74</v>
      </c>
      <c r="AZ904" t="s">
        <v>74</v>
      </c>
      <c r="BA904" t="s">
        <v>74</v>
      </c>
      <c r="BB904" t="s">
        <v>74</v>
      </c>
      <c r="BC904" t="s">
        <v>74</v>
      </c>
      <c r="BD904" t="s">
        <v>17235</v>
      </c>
      <c r="BE904" t="s">
        <v>17236</v>
      </c>
      <c r="BF904" t="str">
        <f>HYPERLINK("http://dx.doi.org/10.1088/1748-0221/16/12/C12007","http://dx.doi.org/10.1088/1748-0221/16/12/C12007")</f>
        <v>http://dx.doi.org/10.1088/1748-0221/16/12/C12007</v>
      </c>
      <c r="BG904" t="s">
        <v>74</v>
      </c>
      <c r="BH904" t="s">
        <v>74</v>
      </c>
      <c r="BI904">
        <v>7</v>
      </c>
      <c r="BJ904" t="s">
        <v>17237</v>
      </c>
      <c r="BK904" t="s">
        <v>17238</v>
      </c>
      <c r="BL904" t="s">
        <v>17237</v>
      </c>
      <c r="BM904" t="s">
        <v>17239</v>
      </c>
      <c r="BN904" t="s">
        <v>74</v>
      </c>
      <c r="BO904" t="s">
        <v>74</v>
      </c>
      <c r="BP904" t="s">
        <v>74</v>
      </c>
      <c r="BQ904" t="s">
        <v>74</v>
      </c>
      <c r="BR904" t="s">
        <v>106</v>
      </c>
      <c r="BS904" t="s">
        <v>17240</v>
      </c>
      <c r="BT904" t="str">
        <f>HYPERLINK("https%3A%2F%2Fwww.webofscience.com%2Fwos%2Fwoscc%2Ffull-record%2FWOS:000768860400001","View Full Record in Web of Science")</f>
        <v>View Full Record in Web of Science</v>
      </c>
    </row>
    <row r="905" spans="1:72" x14ac:dyDescent="0.15">
      <c r="A905" t="s">
        <v>72</v>
      </c>
      <c r="B905" t="s">
        <v>17241</v>
      </c>
      <c r="C905" t="s">
        <v>74</v>
      </c>
      <c r="D905" t="s">
        <v>74</v>
      </c>
      <c r="E905" t="s">
        <v>74</v>
      </c>
      <c r="F905" t="s">
        <v>17242</v>
      </c>
      <c r="G905" t="s">
        <v>74</v>
      </c>
      <c r="H905" t="s">
        <v>74</v>
      </c>
      <c r="I905" t="s">
        <v>17243</v>
      </c>
      <c r="J905" t="s">
        <v>17244</v>
      </c>
      <c r="K905" t="s">
        <v>74</v>
      </c>
      <c r="L905" t="s">
        <v>74</v>
      </c>
      <c r="M905" t="s">
        <v>78</v>
      </c>
      <c r="N905" t="s">
        <v>79</v>
      </c>
      <c r="O905" t="s">
        <v>74</v>
      </c>
      <c r="P905" t="s">
        <v>74</v>
      </c>
      <c r="Q905" t="s">
        <v>74</v>
      </c>
      <c r="R905" t="s">
        <v>74</v>
      </c>
      <c r="S905" t="s">
        <v>74</v>
      </c>
      <c r="T905" t="s">
        <v>74</v>
      </c>
      <c r="U905" t="s">
        <v>17245</v>
      </c>
      <c r="V905" t="s">
        <v>17246</v>
      </c>
      <c r="W905" t="s">
        <v>17247</v>
      </c>
      <c r="X905" t="s">
        <v>17248</v>
      </c>
      <c r="Y905" t="s">
        <v>17249</v>
      </c>
      <c r="Z905" t="s">
        <v>74</v>
      </c>
      <c r="AA905" t="s">
        <v>17250</v>
      </c>
      <c r="AB905" t="s">
        <v>74</v>
      </c>
      <c r="AC905" t="s">
        <v>74</v>
      </c>
      <c r="AD905" t="s">
        <v>74</v>
      </c>
      <c r="AE905" t="s">
        <v>74</v>
      </c>
      <c r="AF905" t="s">
        <v>74</v>
      </c>
      <c r="AG905">
        <v>119</v>
      </c>
      <c r="AH905">
        <v>3</v>
      </c>
      <c r="AI905">
        <v>3</v>
      </c>
      <c r="AJ905">
        <v>1</v>
      </c>
      <c r="AK905">
        <v>5</v>
      </c>
      <c r="AL905" t="s">
        <v>17251</v>
      </c>
      <c r="AM905" t="s">
        <v>17252</v>
      </c>
      <c r="AN905" t="s">
        <v>17253</v>
      </c>
      <c r="AO905" t="s">
        <v>17254</v>
      </c>
      <c r="AP905" t="s">
        <v>17255</v>
      </c>
      <c r="AQ905" t="s">
        <v>74</v>
      </c>
      <c r="AR905" t="s">
        <v>17256</v>
      </c>
      <c r="AS905" t="s">
        <v>17257</v>
      </c>
      <c r="AT905" t="s">
        <v>2125</v>
      </c>
      <c r="AU905">
        <v>2021</v>
      </c>
      <c r="AV905">
        <v>22</v>
      </c>
      <c r="AW905">
        <v>2</v>
      </c>
      <c r="AX905" t="s">
        <v>74</v>
      </c>
      <c r="AY905" t="s">
        <v>74</v>
      </c>
      <c r="AZ905" t="s">
        <v>74</v>
      </c>
      <c r="BA905" t="s">
        <v>74</v>
      </c>
      <c r="BB905" t="s">
        <v>74</v>
      </c>
      <c r="BC905" t="s">
        <v>74</v>
      </c>
      <c r="BD905" t="s">
        <v>74</v>
      </c>
      <c r="BE905" t="s">
        <v>74</v>
      </c>
      <c r="BF905" t="s">
        <v>74</v>
      </c>
      <c r="BG905" t="s">
        <v>74</v>
      </c>
      <c r="BH905" t="s">
        <v>74</v>
      </c>
      <c r="BI905">
        <v>25</v>
      </c>
      <c r="BJ905" t="s">
        <v>17258</v>
      </c>
      <c r="BK905" t="s">
        <v>724</v>
      </c>
      <c r="BL905" t="s">
        <v>4873</v>
      </c>
      <c r="BM905" t="s">
        <v>17259</v>
      </c>
      <c r="BN905" t="s">
        <v>74</v>
      </c>
      <c r="BO905" t="s">
        <v>74</v>
      </c>
      <c r="BP905" t="s">
        <v>74</v>
      </c>
      <c r="BQ905" t="s">
        <v>74</v>
      </c>
      <c r="BR905" t="s">
        <v>106</v>
      </c>
      <c r="BS905" t="s">
        <v>17260</v>
      </c>
      <c r="BT905" t="str">
        <f>HYPERLINK("https%3A%2F%2Fwww.webofscience.com%2Fwos%2Fwoscc%2Ffull-record%2FWOS:000864654000007","View Full Record in Web of Science")</f>
        <v>View Full Record in Web of Science</v>
      </c>
    </row>
    <row r="906" spans="1:72" x14ac:dyDescent="0.15">
      <c r="A906" t="s">
        <v>72</v>
      </c>
      <c r="B906" t="s">
        <v>17261</v>
      </c>
      <c r="C906" t="s">
        <v>74</v>
      </c>
      <c r="D906" t="s">
        <v>74</v>
      </c>
      <c r="E906" t="s">
        <v>74</v>
      </c>
      <c r="F906" t="s">
        <v>17262</v>
      </c>
      <c r="G906" t="s">
        <v>74</v>
      </c>
      <c r="H906" t="s">
        <v>74</v>
      </c>
      <c r="I906" t="s">
        <v>17263</v>
      </c>
      <c r="J906" t="s">
        <v>2724</v>
      </c>
      <c r="K906" t="s">
        <v>74</v>
      </c>
      <c r="L906" t="s">
        <v>74</v>
      </c>
      <c r="M906" t="s">
        <v>78</v>
      </c>
      <c r="N906" t="s">
        <v>79</v>
      </c>
      <c r="O906" t="s">
        <v>74</v>
      </c>
      <c r="P906" t="s">
        <v>74</v>
      </c>
      <c r="Q906" t="s">
        <v>74</v>
      </c>
      <c r="R906" t="s">
        <v>74</v>
      </c>
      <c r="S906" t="s">
        <v>74</v>
      </c>
      <c r="T906" t="s">
        <v>17264</v>
      </c>
      <c r="U906" t="s">
        <v>17265</v>
      </c>
      <c r="V906" t="s">
        <v>17266</v>
      </c>
      <c r="W906" t="s">
        <v>17267</v>
      </c>
      <c r="X906" t="s">
        <v>6485</v>
      </c>
      <c r="Y906" t="s">
        <v>17268</v>
      </c>
      <c r="Z906" t="s">
        <v>17269</v>
      </c>
      <c r="AA906" t="s">
        <v>74</v>
      </c>
      <c r="AB906" t="s">
        <v>17270</v>
      </c>
      <c r="AC906" t="s">
        <v>17271</v>
      </c>
      <c r="AD906" t="s">
        <v>17272</v>
      </c>
      <c r="AE906" t="s">
        <v>17273</v>
      </c>
      <c r="AF906" t="s">
        <v>74</v>
      </c>
      <c r="AG906">
        <v>34</v>
      </c>
      <c r="AH906">
        <v>3</v>
      </c>
      <c r="AI906">
        <v>4</v>
      </c>
      <c r="AJ906">
        <v>6</v>
      </c>
      <c r="AK906">
        <v>18</v>
      </c>
      <c r="AL906" t="s">
        <v>2632</v>
      </c>
      <c r="AM906" t="s">
        <v>2633</v>
      </c>
      <c r="AN906" t="s">
        <v>2634</v>
      </c>
      <c r="AO906" t="s">
        <v>74</v>
      </c>
      <c r="AP906" t="s">
        <v>2737</v>
      </c>
      <c r="AQ906" t="s">
        <v>74</v>
      </c>
      <c r="AR906" t="s">
        <v>2738</v>
      </c>
      <c r="AS906" t="s">
        <v>2739</v>
      </c>
      <c r="AT906" t="s">
        <v>2125</v>
      </c>
      <c r="AU906">
        <v>2021</v>
      </c>
      <c r="AV906">
        <v>13</v>
      </c>
      <c r="AW906">
        <v>24</v>
      </c>
      <c r="AX906" t="s">
        <v>74</v>
      </c>
      <c r="AY906" t="s">
        <v>74</v>
      </c>
      <c r="AZ906" t="s">
        <v>74</v>
      </c>
      <c r="BA906" t="s">
        <v>74</v>
      </c>
      <c r="BB906" t="s">
        <v>74</v>
      </c>
      <c r="BC906" t="s">
        <v>74</v>
      </c>
      <c r="BD906">
        <v>5089</v>
      </c>
      <c r="BE906" t="s">
        <v>17274</v>
      </c>
      <c r="BF906" t="str">
        <f>HYPERLINK("http://dx.doi.org/10.3390/rs13245089","http://dx.doi.org/10.3390/rs13245089")</f>
        <v>http://dx.doi.org/10.3390/rs13245089</v>
      </c>
      <c r="BG906" t="s">
        <v>74</v>
      </c>
      <c r="BH906" t="s">
        <v>74</v>
      </c>
      <c r="BI906">
        <v>21</v>
      </c>
      <c r="BJ906" t="s">
        <v>2741</v>
      </c>
      <c r="BK906" t="s">
        <v>103</v>
      </c>
      <c r="BL906" t="s">
        <v>2742</v>
      </c>
      <c r="BM906" t="s">
        <v>17275</v>
      </c>
      <c r="BN906" t="s">
        <v>74</v>
      </c>
      <c r="BO906" t="s">
        <v>445</v>
      </c>
      <c r="BP906" t="s">
        <v>74</v>
      </c>
      <c r="BQ906" t="s">
        <v>74</v>
      </c>
      <c r="BR906" t="s">
        <v>106</v>
      </c>
      <c r="BS906" t="s">
        <v>17276</v>
      </c>
      <c r="BT906" t="str">
        <f>HYPERLINK("https%3A%2F%2Fwww.webofscience.com%2Fwos%2Fwoscc%2Ffull-record%2FWOS:000771728900019","View Full Record in Web of Science")</f>
        <v>View Full Record in Web of Science</v>
      </c>
    </row>
    <row r="907" spans="1:72" x14ac:dyDescent="0.15">
      <c r="A907" t="s">
        <v>72</v>
      </c>
      <c r="B907" t="s">
        <v>17277</v>
      </c>
      <c r="C907" t="s">
        <v>74</v>
      </c>
      <c r="D907" t="s">
        <v>74</v>
      </c>
      <c r="E907" t="s">
        <v>74</v>
      </c>
      <c r="F907" t="s">
        <v>17278</v>
      </c>
      <c r="G907" t="s">
        <v>74</v>
      </c>
      <c r="H907" t="s">
        <v>74</v>
      </c>
      <c r="I907" t="s">
        <v>17279</v>
      </c>
      <c r="J907" t="s">
        <v>17280</v>
      </c>
      <c r="K907" t="s">
        <v>74</v>
      </c>
      <c r="L907" t="s">
        <v>74</v>
      </c>
      <c r="M907" t="s">
        <v>78</v>
      </c>
      <c r="N907" t="s">
        <v>79</v>
      </c>
      <c r="O907" t="s">
        <v>74</v>
      </c>
      <c r="P907" t="s">
        <v>74</v>
      </c>
      <c r="Q907" t="s">
        <v>74</v>
      </c>
      <c r="R907" t="s">
        <v>74</v>
      </c>
      <c r="S907" t="s">
        <v>74</v>
      </c>
      <c r="T907" t="s">
        <v>17281</v>
      </c>
      <c r="U907" t="s">
        <v>17282</v>
      </c>
      <c r="V907" t="s">
        <v>17283</v>
      </c>
      <c r="W907" t="s">
        <v>17284</v>
      </c>
      <c r="X907" t="s">
        <v>17285</v>
      </c>
      <c r="Y907" t="s">
        <v>17286</v>
      </c>
      <c r="Z907" t="s">
        <v>17287</v>
      </c>
      <c r="AA907" t="s">
        <v>17288</v>
      </c>
      <c r="AB907" t="s">
        <v>74</v>
      </c>
      <c r="AC907" t="s">
        <v>17289</v>
      </c>
      <c r="AD907" t="s">
        <v>17290</v>
      </c>
      <c r="AE907" t="s">
        <v>17291</v>
      </c>
      <c r="AF907" t="s">
        <v>74</v>
      </c>
      <c r="AG907">
        <v>23</v>
      </c>
      <c r="AH907">
        <v>2</v>
      </c>
      <c r="AI907">
        <v>2</v>
      </c>
      <c r="AJ907">
        <v>6</v>
      </c>
      <c r="AK907">
        <v>17</v>
      </c>
      <c r="AL907" t="s">
        <v>9799</v>
      </c>
      <c r="AM907" t="s">
        <v>9528</v>
      </c>
      <c r="AN907" t="s">
        <v>9800</v>
      </c>
      <c r="AO907" t="s">
        <v>17292</v>
      </c>
      <c r="AP907" t="s">
        <v>17293</v>
      </c>
      <c r="AQ907" t="s">
        <v>74</v>
      </c>
      <c r="AR907" t="s">
        <v>17294</v>
      </c>
      <c r="AS907" t="s">
        <v>17295</v>
      </c>
      <c r="AT907" t="s">
        <v>17296</v>
      </c>
      <c r="AU907">
        <v>2021</v>
      </c>
      <c r="AV907">
        <v>28</v>
      </c>
      <c r="AW907">
        <v>4</v>
      </c>
      <c r="AX907" t="s">
        <v>74</v>
      </c>
      <c r="AY907" t="s">
        <v>74</v>
      </c>
      <c r="AZ907" t="s">
        <v>74</v>
      </c>
      <c r="BA907" t="s">
        <v>74</v>
      </c>
      <c r="BB907">
        <v>471</v>
      </c>
      <c r="BC907">
        <v>485</v>
      </c>
      <c r="BD907" t="s">
        <v>74</v>
      </c>
      <c r="BE907" t="s">
        <v>17297</v>
      </c>
      <c r="BF907" t="str">
        <f>HYPERLINK("http://dx.doi.org/10.2478/eces-2021-0031","http://dx.doi.org/10.2478/eces-2021-0031")</f>
        <v>http://dx.doi.org/10.2478/eces-2021-0031</v>
      </c>
      <c r="BG907" t="s">
        <v>74</v>
      </c>
      <c r="BH907" t="s">
        <v>74</v>
      </c>
      <c r="BI907">
        <v>15</v>
      </c>
      <c r="BJ907" t="s">
        <v>1560</v>
      </c>
      <c r="BK907" t="s">
        <v>103</v>
      </c>
      <c r="BL907" t="s">
        <v>1561</v>
      </c>
      <c r="BM907" t="s">
        <v>17298</v>
      </c>
      <c r="BN907" t="s">
        <v>74</v>
      </c>
      <c r="BO907" t="s">
        <v>445</v>
      </c>
      <c r="BP907" t="s">
        <v>74</v>
      </c>
      <c r="BQ907" t="s">
        <v>74</v>
      </c>
      <c r="BR907" t="s">
        <v>106</v>
      </c>
      <c r="BS907" t="s">
        <v>17299</v>
      </c>
      <c r="BT907" t="str">
        <f>HYPERLINK("https%3A%2F%2Fwww.webofscience.com%2Fwos%2Fwoscc%2Ffull-record%2FWOS:000776300700002","View Full Record in Web of Science")</f>
        <v>View Full Record in Web of Science</v>
      </c>
    </row>
    <row r="908" spans="1:72" x14ac:dyDescent="0.15">
      <c r="A908" t="s">
        <v>72</v>
      </c>
      <c r="B908" t="s">
        <v>17300</v>
      </c>
      <c r="C908" t="s">
        <v>74</v>
      </c>
      <c r="D908" t="s">
        <v>74</v>
      </c>
      <c r="E908" t="s">
        <v>74</v>
      </c>
      <c r="F908" t="s">
        <v>17301</v>
      </c>
      <c r="G908" t="s">
        <v>74</v>
      </c>
      <c r="H908" t="s">
        <v>74</v>
      </c>
      <c r="I908" t="s">
        <v>17302</v>
      </c>
      <c r="J908" t="s">
        <v>17303</v>
      </c>
      <c r="K908" t="s">
        <v>74</v>
      </c>
      <c r="L908" t="s">
        <v>74</v>
      </c>
      <c r="M908" t="s">
        <v>78</v>
      </c>
      <c r="N908" t="s">
        <v>79</v>
      </c>
      <c r="O908" t="s">
        <v>74</v>
      </c>
      <c r="P908" t="s">
        <v>74</v>
      </c>
      <c r="Q908" t="s">
        <v>74</v>
      </c>
      <c r="R908" t="s">
        <v>74</v>
      </c>
      <c r="S908" t="s">
        <v>74</v>
      </c>
      <c r="T908" t="s">
        <v>17304</v>
      </c>
      <c r="U908" t="s">
        <v>74</v>
      </c>
      <c r="V908" t="s">
        <v>17305</v>
      </c>
      <c r="W908" t="s">
        <v>17306</v>
      </c>
      <c r="X908" t="s">
        <v>9368</v>
      </c>
      <c r="Y908" t="s">
        <v>17307</v>
      </c>
      <c r="Z908" t="s">
        <v>17308</v>
      </c>
      <c r="AA908" t="s">
        <v>74</v>
      </c>
      <c r="AB908" t="s">
        <v>74</v>
      </c>
      <c r="AC908" t="s">
        <v>17309</v>
      </c>
      <c r="AD908" t="s">
        <v>74</v>
      </c>
      <c r="AE908" t="s">
        <v>17310</v>
      </c>
      <c r="AF908" t="s">
        <v>74</v>
      </c>
      <c r="AG908">
        <v>8</v>
      </c>
      <c r="AH908">
        <v>0</v>
      </c>
      <c r="AI908">
        <v>0</v>
      </c>
      <c r="AJ908">
        <v>0</v>
      </c>
      <c r="AK908">
        <v>4</v>
      </c>
      <c r="AL908" t="s">
        <v>17311</v>
      </c>
      <c r="AM908" t="s">
        <v>506</v>
      </c>
      <c r="AN908" t="s">
        <v>17312</v>
      </c>
      <c r="AO908" t="s">
        <v>17313</v>
      </c>
      <c r="AP908" t="s">
        <v>17314</v>
      </c>
      <c r="AQ908" t="s">
        <v>74</v>
      </c>
      <c r="AR908" t="s">
        <v>17315</v>
      </c>
      <c r="AS908" t="s">
        <v>17316</v>
      </c>
      <c r="AT908" t="s">
        <v>2125</v>
      </c>
      <c r="AU908">
        <v>2021</v>
      </c>
      <c r="AV908">
        <v>57</v>
      </c>
      <c r="AW908">
        <v>12</v>
      </c>
      <c r="AX908" t="s">
        <v>74</v>
      </c>
      <c r="AY908" t="s">
        <v>74</v>
      </c>
      <c r="AZ908" t="s">
        <v>74</v>
      </c>
      <c r="BA908" t="s">
        <v>74</v>
      </c>
      <c r="BB908">
        <v>1561</v>
      </c>
      <c r="BC908">
        <v>1565</v>
      </c>
      <c r="BD908" t="s">
        <v>74</v>
      </c>
      <c r="BE908" t="s">
        <v>17317</v>
      </c>
      <c r="BF908" t="str">
        <f>HYPERLINK("http://dx.doi.org/10.1134/S0001433821120252","http://dx.doi.org/10.1134/S0001433821120252")</f>
        <v>http://dx.doi.org/10.1134/S0001433821120252</v>
      </c>
      <c r="BG908" t="s">
        <v>74</v>
      </c>
      <c r="BH908" t="s">
        <v>74</v>
      </c>
      <c r="BI908">
        <v>5</v>
      </c>
      <c r="BJ908" t="s">
        <v>6342</v>
      </c>
      <c r="BK908" t="s">
        <v>103</v>
      </c>
      <c r="BL908" t="s">
        <v>6342</v>
      </c>
      <c r="BM908" t="s">
        <v>17318</v>
      </c>
      <c r="BN908" t="s">
        <v>74</v>
      </c>
      <c r="BO908" t="s">
        <v>74</v>
      </c>
      <c r="BP908" t="s">
        <v>74</v>
      </c>
      <c r="BQ908" t="s">
        <v>74</v>
      </c>
      <c r="BR908" t="s">
        <v>106</v>
      </c>
      <c r="BS908" t="s">
        <v>17319</v>
      </c>
      <c r="BT908" t="str">
        <f>HYPERLINK("https%3A%2F%2Fwww.webofscience.com%2Fwos%2Fwoscc%2Ffull-record%2FWOS:000775125100005","View Full Record in Web of Science")</f>
        <v>View Full Record in Web of Science</v>
      </c>
    </row>
    <row r="909" spans="1:72" x14ac:dyDescent="0.15">
      <c r="A909" t="s">
        <v>72</v>
      </c>
      <c r="B909" t="s">
        <v>17320</v>
      </c>
      <c r="C909" t="s">
        <v>74</v>
      </c>
      <c r="D909" t="s">
        <v>74</v>
      </c>
      <c r="E909" t="s">
        <v>74</v>
      </c>
      <c r="F909" t="s">
        <v>17321</v>
      </c>
      <c r="G909" t="s">
        <v>74</v>
      </c>
      <c r="H909" t="s">
        <v>74</v>
      </c>
      <c r="I909" t="s">
        <v>17322</v>
      </c>
      <c r="J909" t="s">
        <v>17303</v>
      </c>
      <c r="K909" t="s">
        <v>74</v>
      </c>
      <c r="L909" t="s">
        <v>74</v>
      </c>
      <c r="M909" t="s">
        <v>78</v>
      </c>
      <c r="N909" t="s">
        <v>79</v>
      </c>
      <c r="O909" t="s">
        <v>74</v>
      </c>
      <c r="P909" t="s">
        <v>74</v>
      </c>
      <c r="Q909" t="s">
        <v>74</v>
      </c>
      <c r="R909" t="s">
        <v>74</v>
      </c>
      <c r="S909" t="s">
        <v>74</v>
      </c>
      <c r="T909" t="s">
        <v>17323</v>
      </c>
      <c r="U909" t="s">
        <v>17324</v>
      </c>
      <c r="V909" t="s">
        <v>17325</v>
      </c>
      <c r="W909" t="s">
        <v>17326</v>
      </c>
      <c r="X909" t="s">
        <v>17327</v>
      </c>
      <c r="Y909" t="s">
        <v>17328</v>
      </c>
      <c r="Z909" t="s">
        <v>17329</v>
      </c>
      <c r="AA909" t="s">
        <v>17330</v>
      </c>
      <c r="AB909" t="s">
        <v>17331</v>
      </c>
      <c r="AC909" t="s">
        <v>17332</v>
      </c>
      <c r="AD909" t="s">
        <v>17333</v>
      </c>
      <c r="AE909" t="s">
        <v>17334</v>
      </c>
      <c r="AF909" t="s">
        <v>74</v>
      </c>
      <c r="AG909">
        <v>41</v>
      </c>
      <c r="AH909">
        <v>2</v>
      </c>
      <c r="AI909">
        <v>2</v>
      </c>
      <c r="AJ909">
        <v>1</v>
      </c>
      <c r="AK909">
        <v>18</v>
      </c>
      <c r="AL909" t="s">
        <v>17311</v>
      </c>
      <c r="AM909" t="s">
        <v>506</v>
      </c>
      <c r="AN909" t="s">
        <v>17312</v>
      </c>
      <c r="AO909" t="s">
        <v>17313</v>
      </c>
      <c r="AP909" t="s">
        <v>17314</v>
      </c>
      <c r="AQ909" t="s">
        <v>74</v>
      </c>
      <c r="AR909" t="s">
        <v>17315</v>
      </c>
      <c r="AS909" t="s">
        <v>17316</v>
      </c>
      <c r="AT909" t="s">
        <v>2125</v>
      </c>
      <c r="AU909">
        <v>2021</v>
      </c>
      <c r="AV909">
        <v>57</v>
      </c>
      <c r="AW909">
        <v>12</v>
      </c>
      <c r="AX909" t="s">
        <v>74</v>
      </c>
      <c r="AY909" t="s">
        <v>74</v>
      </c>
      <c r="AZ909" t="s">
        <v>74</v>
      </c>
      <c r="BA909" t="s">
        <v>74</v>
      </c>
      <c r="BB909">
        <v>1690</v>
      </c>
      <c r="BC909">
        <v>1704</v>
      </c>
      <c r="BD909" t="s">
        <v>74</v>
      </c>
      <c r="BE909" t="s">
        <v>17335</v>
      </c>
      <c r="BF909" t="str">
        <f>HYPERLINK("http://dx.doi.org/10.1134/S0001433821120033","http://dx.doi.org/10.1134/S0001433821120033")</f>
        <v>http://dx.doi.org/10.1134/S0001433821120033</v>
      </c>
      <c r="BG909" t="s">
        <v>74</v>
      </c>
      <c r="BH909" t="s">
        <v>74</v>
      </c>
      <c r="BI909">
        <v>15</v>
      </c>
      <c r="BJ909" t="s">
        <v>6342</v>
      </c>
      <c r="BK909" t="s">
        <v>103</v>
      </c>
      <c r="BL909" t="s">
        <v>6342</v>
      </c>
      <c r="BM909" t="s">
        <v>17318</v>
      </c>
      <c r="BN909" t="s">
        <v>74</v>
      </c>
      <c r="BO909" t="s">
        <v>74</v>
      </c>
      <c r="BP909" t="s">
        <v>74</v>
      </c>
      <c r="BQ909" t="s">
        <v>74</v>
      </c>
      <c r="BR909" t="s">
        <v>106</v>
      </c>
      <c r="BS909" t="s">
        <v>17336</v>
      </c>
      <c r="BT909" t="str">
        <f>HYPERLINK("https%3A%2F%2Fwww.webofscience.com%2Fwos%2Fwoscc%2Ffull-record%2FWOS:000775125100017","View Full Record in Web of Science")</f>
        <v>View Full Record in Web of Science</v>
      </c>
    </row>
    <row r="910" spans="1:72" x14ac:dyDescent="0.15">
      <c r="A910" t="s">
        <v>72</v>
      </c>
      <c r="B910" t="s">
        <v>17337</v>
      </c>
      <c r="C910" t="s">
        <v>74</v>
      </c>
      <c r="D910" t="s">
        <v>74</v>
      </c>
      <c r="E910" t="s">
        <v>74</v>
      </c>
      <c r="F910" t="s">
        <v>17338</v>
      </c>
      <c r="G910" t="s">
        <v>74</v>
      </c>
      <c r="H910" t="s">
        <v>74</v>
      </c>
      <c r="I910" t="s">
        <v>17339</v>
      </c>
      <c r="J910" t="s">
        <v>17340</v>
      </c>
      <c r="K910" t="s">
        <v>74</v>
      </c>
      <c r="L910" t="s">
        <v>74</v>
      </c>
      <c r="M910" t="s">
        <v>78</v>
      </c>
      <c r="N910" t="s">
        <v>79</v>
      </c>
      <c r="O910" t="s">
        <v>74</v>
      </c>
      <c r="P910" t="s">
        <v>74</v>
      </c>
      <c r="Q910" t="s">
        <v>74</v>
      </c>
      <c r="R910" t="s">
        <v>74</v>
      </c>
      <c r="S910" t="s">
        <v>74</v>
      </c>
      <c r="T910" t="s">
        <v>17341</v>
      </c>
      <c r="U910" t="s">
        <v>17342</v>
      </c>
      <c r="V910" t="s">
        <v>17343</v>
      </c>
      <c r="W910" t="s">
        <v>17344</v>
      </c>
      <c r="X910" t="s">
        <v>17345</v>
      </c>
      <c r="Y910" t="s">
        <v>17346</v>
      </c>
      <c r="Z910" t="s">
        <v>17347</v>
      </c>
      <c r="AA910" t="s">
        <v>74</v>
      </c>
      <c r="AB910" t="s">
        <v>17348</v>
      </c>
      <c r="AC910" t="s">
        <v>17349</v>
      </c>
      <c r="AD910" t="s">
        <v>17350</v>
      </c>
      <c r="AE910" t="s">
        <v>17351</v>
      </c>
      <c r="AF910" t="s">
        <v>74</v>
      </c>
      <c r="AG910">
        <v>15</v>
      </c>
      <c r="AH910">
        <v>5</v>
      </c>
      <c r="AI910">
        <v>5</v>
      </c>
      <c r="AJ910">
        <v>0</v>
      </c>
      <c r="AK910">
        <v>2</v>
      </c>
      <c r="AL910" t="s">
        <v>2761</v>
      </c>
      <c r="AM910" t="s">
        <v>2762</v>
      </c>
      <c r="AN910" t="s">
        <v>2787</v>
      </c>
      <c r="AO910" t="s">
        <v>17352</v>
      </c>
      <c r="AP910" t="s">
        <v>17353</v>
      </c>
      <c r="AQ910" t="s">
        <v>74</v>
      </c>
      <c r="AR910" t="s">
        <v>17354</v>
      </c>
      <c r="AS910" t="s">
        <v>17355</v>
      </c>
      <c r="AT910" t="s">
        <v>2125</v>
      </c>
      <c r="AU910">
        <v>2021</v>
      </c>
      <c r="AV910">
        <v>38</v>
      </c>
      <c r="AW910">
        <v>12</v>
      </c>
      <c r="AX910" t="s">
        <v>74</v>
      </c>
      <c r="AY910" t="s">
        <v>74</v>
      </c>
      <c r="AZ910" t="s">
        <v>74</v>
      </c>
      <c r="BA910" t="s">
        <v>74</v>
      </c>
      <c r="BB910">
        <v>2061</v>
      </c>
      <c r="BC910">
        <v>2070</v>
      </c>
      <c r="BD910" t="s">
        <v>74</v>
      </c>
      <c r="BE910" t="s">
        <v>17356</v>
      </c>
      <c r="BF910" t="str">
        <f>HYPERLINK("http://dx.doi.org/10.1175/JTECH-D-21-0107.1","http://dx.doi.org/10.1175/JTECH-D-21-0107.1")</f>
        <v>http://dx.doi.org/10.1175/JTECH-D-21-0107.1</v>
      </c>
      <c r="BG910" t="s">
        <v>74</v>
      </c>
      <c r="BH910" t="s">
        <v>74</v>
      </c>
      <c r="BI910">
        <v>10</v>
      </c>
      <c r="BJ910" t="s">
        <v>17357</v>
      </c>
      <c r="BK910" t="s">
        <v>103</v>
      </c>
      <c r="BL910" t="s">
        <v>17358</v>
      </c>
      <c r="BM910" t="s">
        <v>17359</v>
      </c>
      <c r="BN910" t="s">
        <v>74</v>
      </c>
      <c r="BO910" t="s">
        <v>74</v>
      </c>
      <c r="BP910" t="s">
        <v>74</v>
      </c>
      <c r="BQ910" t="s">
        <v>74</v>
      </c>
      <c r="BR910" t="s">
        <v>106</v>
      </c>
      <c r="BS910" t="s">
        <v>17360</v>
      </c>
      <c r="BT910" t="str">
        <f>HYPERLINK("https%3A%2F%2Fwww.webofscience.com%2Fwos%2Fwoscc%2Ffull-record%2FWOS:000745216800004","View Full Record in Web of Science")</f>
        <v>View Full Record in Web of Science</v>
      </c>
    </row>
    <row r="911" spans="1:72" x14ac:dyDescent="0.15">
      <c r="A911" t="s">
        <v>72</v>
      </c>
      <c r="B911" t="s">
        <v>17361</v>
      </c>
      <c r="C911" t="s">
        <v>74</v>
      </c>
      <c r="D911" t="s">
        <v>74</v>
      </c>
      <c r="E911" t="s">
        <v>74</v>
      </c>
      <c r="F911" t="s">
        <v>17362</v>
      </c>
      <c r="G911" t="s">
        <v>74</v>
      </c>
      <c r="H911" t="s">
        <v>74</v>
      </c>
      <c r="I911" t="s">
        <v>17363</v>
      </c>
      <c r="J911" t="s">
        <v>17364</v>
      </c>
      <c r="K911" t="s">
        <v>74</v>
      </c>
      <c r="L911" t="s">
        <v>74</v>
      </c>
      <c r="M911" t="s">
        <v>78</v>
      </c>
      <c r="N911" t="s">
        <v>52</v>
      </c>
      <c r="O911" t="s">
        <v>74</v>
      </c>
      <c r="P911" t="s">
        <v>74</v>
      </c>
      <c r="Q911" t="s">
        <v>74</v>
      </c>
      <c r="R911" t="s">
        <v>74</v>
      </c>
      <c r="S911" t="s">
        <v>74</v>
      </c>
      <c r="T911" t="s">
        <v>74</v>
      </c>
      <c r="U911" t="s">
        <v>74</v>
      </c>
      <c r="V911" t="s">
        <v>74</v>
      </c>
      <c r="W911" t="s">
        <v>17365</v>
      </c>
      <c r="X911" t="s">
        <v>17366</v>
      </c>
      <c r="Y911" t="s">
        <v>74</v>
      </c>
      <c r="Z911" t="s">
        <v>74</v>
      </c>
      <c r="AA911" t="s">
        <v>74</v>
      </c>
      <c r="AB911" t="s">
        <v>74</v>
      </c>
      <c r="AC911" t="s">
        <v>74</v>
      </c>
      <c r="AD911" t="s">
        <v>74</v>
      </c>
      <c r="AE911" t="s">
        <v>74</v>
      </c>
      <c r="AF911" t="s">
        <v>74</v>
      </c>
      <c r="AG911">
        <v>0</v>
      </c>
      <c r="AH911">
        <v>0</v>
      </c>
      <c r="AI911">
        <v>0</v>
      </c>
      <c r="AJ911">
        <v>0</v>
      </c>
      <c r="AK911">
        <v>0</v>
      </c>
      <c r="AL911" t="s">
        <v>17367</v>
      </c>
      <c r="AM911" t="s">
        <v>17368</v>
      </c>
      <c r="AN911" t="s">
        <v>17369</v>
      </c>
      <c r="AO911" t="s">
        <v>17370</v>
      </c>
      <c r="AP911" t="s">
        <v>17371</v>
      </c>
      <c r="AQ911" t="s">
        <v>74</v>
      </c>
      <c r="AR911" t="s">
        <v>17372</v>
      </c>
      <c r="AS911" t="s">
        <v>17373</v>
      </c>
      <c r="AT911" t="s">
        <v>2125</v>
      </c>
      <c r="AU911">
        <v>2021</v>
      </c>
      <c r="AV911">
        <v>34</v>
      </c>
      <c r="AW911">
        <v>12</v>
      </c>
      <c r="AX911" t="s">
        <v>74</v>
      </c>
      <c r="AY911" t="s">
        <v>17374</v>
      </c>
      <c r="AZ911" t="s">
        <v>74</v>
      </c>
      <c r="BA911" t="s">
        <v>74</v>
      </c>
      <c r="BB911">
        <v>11</v>
      </c>
      <c r="BC911">
        <v>11</v>
      </c>
      <c r="BD911" t="s">
        <v>74</v>
      </c>
      <c r="BE911" t="s">
        <v>74</v>
      </c>
      <c r="BF911" t="s">
        <v>74</v>
      </c>
      <c r="BG911" t="s">
        <v>74</v>
      </c>
      <c r="BH911" t="s">
        <v>74</v>
      </c>
      <c r="BI911">
        <v>1</v>
      </c>
      <c r="BJ911" t="s">
        <v>17375</v>
      </c>
      <c r="BK911" t="s">
        <v>103</v>
      </c>
      <c r="BL911" t="s">
        <v>17375</v>
      </c>
      <c r="BM911" t="s">
        <v>17376</v>
      </c>
      <c r="BN911" t="s">
        <v>74</v>
      </c>
      <c r="BO911" t="s">
        <v>74</v>
      </c>
      <c r="BP911" t="s">
        <v>74</v>
      </c>
      <c r="BQ911" t="s">
        <v>74</v>
      </c>
      <c r="BR911" t="s">
        <v>106</v>
      </c>
      <c r="BS911" t="s">
        <v>17377</v>
      </c>
      <c r="BT911" t="str">
        <f>HYPERLINK("https%3A%2F%2Fwww.webofscience.com%2Fwos%2Fwoscc%2Ffull-record%2FWOS:000772296400043","View Full Record in Web of Science")</f>
        <v>View Full Record in Web of Science</v>
      </c>
    </row>
    <row r="912" spans="1:72" x14ac:dyDescent="0.15">
      <c r="A912" t="s">
        <v>72</v>
      </c>
      <c r="B912" t="s">
        <v>17378</v>
      </c>
      <c r="C912" t="s">
        <v>74</v>
      </c>
      <c r="D912" t="s">
        <v>74</v>
      </c>
      <c r="E912" t="s">
        <v>74</v>
      </c>
      <c r="F912" t="s">
        <v>17379</v>
      </c>
      <c r="G912" t="s">
        <v>74</v>
      </c>
      <c r="H912" t="s">
        <v>74</v>
      </c>
      <c r="I912" t="s">
        <v>17380</v>
      </c>
      <c r="J912" t="s">
        <v>17381</v>
      </c>
      <c r="K912" t="s">
        <v>74</v>
      </c>
      <c r="L912" t="s">
        <v>74</v>
      </c>
      <c r="M912" t="s">
        <v>78</v>
      </c>
      <c r="N912" t="s">
        <v>779</v>
      </c>
      <c r="O912" t="s">
        <v>74</v>
      </c>
      <c r="P912" t="s">
        <v>74</v>
      </c>
      <c r="Q912" t="s">
        <v>74</v>
      </c>
      <c r="R912" t="s">
        <v>74</v>
      </c>
      <c r="S912" t="s">
        <v>74</v>
      </c>
      <c r="T912" t="s">
        <v>74</v>
      </c>
      <c r="U912" t="s">
        <v>74</v>
      </c>
      <c r="V912" t="s">
        <v>74</v>
      </c>
      <c r="W912" t="s">
        <v>17382</v>
      </c>
      <c r="X912" t="s">
        <v>17383</v>
      </c>
      <c r="Y912" t="s">
        <v>17384</v>
      </c>
      <c r="Z912" t="s">
        <v>17385</v>
      </c>
      <c r="AA912" t="s">
        <v>17386</v>
      </c>
      <c r="AB912" t="s">
        <v>17387</v>
      </c>
      <c r="AC912" t="s">
        <v>17388</v>
      </c>
      <c r="AD912" t="s">
        <v>17389</v>
      </c>
      <c r="AE912" t="s">
        <v>17390</v>
      </c>
      <c r="AF912" t="s">
        <v>74</v>
      </c>
      <c r="AG912">
        <v>2</v>
      </c>
      <c r="AH912">
        <v>2</v>
      </c>
      <c r="AI912">
        <v>2</v>
      </c>
      <c r="AJ912">
        <v>2</v>
      </c>
      <c r="AK912">
        <v>3</v>
      </c>
      <c r="AL912" t="s">
        <v>17391</v>
      </c>
      <c r="AM912" t="s">
        <v>17392</v>
      </c>
      <c r="AN912" t="s">
        <v>17393</v>
      </c>
      <c r="AO912" t="s">
        <v>17394</v>
      </c>
      <c r="AP912" t="s">
        <v>74</v>
      </c>
      <c r="AQ912" t="s">
        <v>74</v>
      </c>
      <c r="AR912" t="s">
        <v>17381</v>
      </c>
      <c r="AS912" t="s">
        <v>1131</v>
      </c>
      <c r="AT912" t="s">
        <v>2125</v>
      </c>
      <c r="AU912">
        <v>2021</v>
      </c>
      <c r="AV912">
        <v>34</v>
      </c>
      <c r="AW912">
        <v>4</v>
      </c>
      <c r="AX912" t="s">
        <v>74</v>
      </c>
      <c r="AY912" t="s">
        <v>74</v>
      </c>
      <c r="AZ912" t="s">
        <v>74</v>
      </c>
      <c r="BA912" t="s">
        <v>74</v>
      </c>
      <c r="BB912">
        <v>14</v>
      </c>
      <c r="BC912">
        <v>16</v>
      </c>
      <c r="BD912" t="s">
        <v>74</v>
      </c>
      <c r="BE912" t="s">
        <v>17395</v>
      </c>
      <c r="BF912" t="str">
        <f>HYPERLINK("http://dx.doi.org/10.5670/oceanog.2021.supplement.02-06","http://dx.doi.org/10.5670/oceanog.2021.supplement.02-06")</f>
        <v>http://dx.doi.org/10.5670/oceanog.2021.supplement.02-06</v>
      </c>
      <c r="BG912" t="s">
        <v>74</v>
      </c>
      <c r="BH912" t="s">
        <v>74</v>
      </c>
      <c r="BI912">
        <v>3</v>
      </c>
      <c r="BJ912" t="s">
        <v>1131</v>
      </c>
      <c r="BK912" t="s">
        <v>103</v>
      </c>
      <c r="BL912" t="s">
        <v>1131</v>
      </c>
      <c r="BM912" t="s">
        <v>17396</v>
      </c>
      <c r="BN912" t="s">
        <v>74</v>
      </c>
      <c r="BO912" t="s">
        <v>445</v>
      </c>
      <c r="BP912" t="s">
        <v>74</v>
      </c>
      <c r="BQ912" t="s">
        <v>74</v>
      </c>
      <c r="BR912" t="s">
        <v>106</v>
      </c>
      <c r="BS912" t="s">
        <v>17397</v>
      </c>
      <c r="BT912" t="str">
        <f>HYPERLINK("https%3A%2F%2Fwww.webofscience.com%2Fwos%2Fwoscc%2Ffull-record%2FWOS:000769355300005","View Full Record in Web of Science")</f>
        <v>View Full Record in Web of Science</v>
      </c>
    </row>
    <row r="913" spans="1:72" x14ac:dyDescent="0.15">
      <c r="A913" t="s">
        <v>72</v>
      </c>
      <c r="B913" t="s">
        <v>17398</v>
      </c>
      <c r="C913" t="s">
        <v>74</v>
      </c>
      <c r="D913" t="s">
        <v>74</v>
      </c>
      <c r="E913" t="s">
        <v>74</v>
      </c>
      <c r="F913" t="s">
        <v>17399</v>
      </c>
      <c r="G913" t="s">
        <v>74</v>
      </c>
      <c r="H913" t="s">
        <v>74</v>
      </c>
      <c r="I913" t="s">
        <v>17400</v>
      </c>
      <c r="J913" t="s">
        <v>4116</v>
      </c>
      <c r="K913" t="s">
        <v>74</v>
      </c>
      <c r="L913" t="s">
        <v>74</v>
      </c>
      <c r="M913" t="s">
        <v>78</v>
      </c>
      <c r="N913" t="s">
        <v>79</v>
      </c>
      <c r="O913" t="s">
        <v>74</v>
      </c>
      <c r="P913" t="s">
        <v>74</v>
      </c>
      <c r="Q913" t="s">
        <v>74</v>
      </c>
      <c r="R913" t="s">
        <v>74</v>
      </c>
      <c r="S913" t="s">
        <v>74</v>
      </c>
      <c r="T913" t="s">
        <v>17401</v>
      </c>
      <c r="U913" t="s">
        <v>17402</v>
      </c>
      <c r="V913" t="s">
        <v>17403</v>
      </c>
      <c r="W913" t="s">
        <v>17404</v>
      </c>
      <c r="X913" t="s">
        <v>17405</v>
      </c>
      <c r="Y913" t="s">
        <v>17406</v>
      </c>
      <c r="Z913" t="s">
        <v>17407</v>
      </c>
      <c r="AA913" t="s">
        <v>17408</v>
      </c>
      <c r="AB913" t="s">
        <v>17409</v>
      </c>
      <c r="AC913" t="s">
        <v>17410</v>
      </c>
      <c r="AD913" t="s">
        <v>17410</v>
      </c>
      <c r="AE913" t="s">
        <v>17411</v>
      </c>
      <c r="AF913" t="s">
        <v>74</v>
      </c>
      <c r="AG913">
        <v>205</v>
      </c>
      <c r="AH913">
        <v>6</v>
      </c>
      <c r="AI913">
        <v>8</v>
      </c>
      <c r="AJ913">
        <v>1</v>
      </c>
      <c r="AK913">
        <v>13</v>
      </c>
      <c r="AL913" t="s">
        <v>4129</v>
      </c>
      <c r="AM913" t="s">
        <v>4130</v>
      </c>
      <c r="AN913" t="s">
        <v>4131</v>
      </c>
      <c r="AO913" t="s">
        <v>4132</v>
      </c>
      <c r="AP913" t="s">
        <v>4133</v>
      </c>
      <c r="AQ913" t="s">
        <v>74</v>
      </c>
      <c r="AR913" t="s">
        <v>4134</v>
      </c>
      <c r="AS913" t="s">
        <v>4135</v>
      </c>
      <c r="AT913" t="s">
        <v>2125</v>
      </c>
      <c r="AU913">
        <v>2021</v>
      </c>
      <c r="AV913">
        <v>168</v>
      </c>
      <c r="AW913">
        <v>12</v>
      </c>
      <c r="AX913" t="s">
        <v>74</v>
      </c>
      <c r="AY913" t="s">
        <v>74</v>
      </c>
      <c r="AZ913" t="s">
        <v>74</v>
      </c>
      <c r="BA913" t="s">
        <v>74</v>
      </c>
      <c r="BB913" t="s">
        <v>74</v>
      </c>
      <c r="BC913" t="s">
        <v>74</v>
      </c>
      <c r="BD913">
        <v>175</v>
      </c>
      <c r="BE913" t="s">
        <v>17412</v>
      </c>
      <c r="BF913" t="str">
        <f>HYPERLINK("http://dx.doi.org/10.1007/s00227-021-03952-6","http://dx.doi.org/10.1007/s00227-021-03952-6")</f>
        <v>http://dx.doi.org/10.1007/s00227-021-03952-6</v>
      </c>
      <c r="BG913" t="s">
        <v>74</v>
      </c>
      <c r="BH913" t="s">
        <v>74</v>
      </c>
      <c r="BI913">
        <v>19</v>
      </c>
      <c r="BJ913" t="s">
        <v>4137</v>
      </c>
      <c r="BK913" t="s">
        <v>103</v>
      </c>
      <c r="BL913" t="s">
        <v>4137</v>
      </c>
      <c r="BM913" t="s">
        <v>17413</v>
      </c>
      <c r="BN913" t="s">
        <v>74</v>
      </c>
      <c r="BO913" t="s">
        <v>74</v>
      </c>
      <c r="BP913" t="s">
        <v>74</v>
      </c>
      <c r="BQ913" t="s">
        <v>74</v>
      </c>
      <c r="BR913" t="s">
        <v>106</v>
      </c>
      <c r="BS913" t="s">
        <v>17414</v>
      </c>
      <c r="BT913" t="str">
        <f>HYPERLINK("https%3A%2F%2Fwww.webofscience.com%2Fwos%2Fwoscc%2Ffull-record%2FWOS:000715196500002","View Full Record in Web of Science")</f>
        <v>View Full Record in Web of Science</v>
      </c>
    </row>
    <row r="914" spans="1:72" x14ac:dyDescent="0.15">
      <c r="A914" t="s">
        <v>72</v>
      </c>
      <c r="B914" t="s">
        <v>17415</v>
      </c>
      <c r="C914" t="s">
        <v>74</v>
      </c>
      <c r="D914" t="s">
        <v>74</v>
      </c>
      <c r="E914" t="s">
        <v>74</v>
      </c>
      <c r="F914" t="s">
        <v>17416</v>
      </c>
      <c r="G914" t="s">
        <v>74</v>
      </c>
      <c r="H914" t="s">
        <v>74</v>
      </c>
      <c r="I914" t="s">
        <v>17417</v>
      </c>
      <c r="J914" t="s">
        <v>17418</v>
      </c>
      <c r="K914" t="s">
        <v>74</v>
      </c>
      <c r="L914" t="s">
        <v>74</v>
      </c>
      <c r="M914" t="s">
        <v>78</v>
      </c>
      <c r="N914" t="s">
        <v>79</v>
      </c>
      <c r="O914" t="s">
        <v>74</v>
      </c>
      <c r="P914" t="s">
        <v>74</v>
      </c>
      <c r="Q914" t="s">
        <v>74</v>
      </c>
      <c r="R914" t="s">
        <v>74</v>
      </c>
      <c r="S914" t="s">
        <v>74</v>
      </c>
      <c r="T914" t="s">
        <v>17419</v>
      </c>
      <c r="U914" t="s">
        <v>17420</v>
      </c>
      <c r="V914" t="s">
        <v>17421</v>
      </c>
      <c r="W914" t="s">
        <v>17422</v>
      </c>
      <c r="X914" t="s">
        <v>17423</v>
      </c>
      <c r="Y914" t="s">
        <v>17424</v>
      </c>
      <c r="Z914" t="s">
        <v>17425</v>
      </c>
      <c r="AA914" t="s">
        <v>17426</v>
      </c>
      <c r="AB914" t="s">
        <v>17427</v>
      </c>
      <c r="AC914" t="s">
        <v>17428</v>
      </c>
      <c r="AD914" t="s">
        <v>17429</v>
      </c>
      <c r="AE914" t="s">
        <v>17430</v>
      </c>
      <c r="AF914" t="s">
        <v>74</v>
      </c>
      <c r="AG914">
        <v>41</v>
      </c>
      <c r="AH914">
        <v>2</v>
      </c>
      <c r="AI914">
        <v>2</v>
      </c>
      <c r="AJ914">
        <v>0</v>
      </c>
      <c r="AK914">
        <v>2</v>
      </c>
      <c r="AL914" t="s">
        <v>2761</v>
      </c>
      <c r="AM914" t="s">
        <v>2762</v>
      </c>
      <c r="AN914" t="s">
        <v>2787</v>
      </c>
      <c r="AO914" t="s">
        <v>17431</v>
      </c>
      <c r="AP914" t="s">
        <v>17432</v>
      </c>
      <c r="AQ914" t="s">
        <v>74</v>
      </c>
      <c r="AR914" t="s">
        <v>17433</v>
      </c>
      <c r="AS914" t="s">
        <v>17434</v>
      </c>
      <c r="AT914" t="s">
        <v>2125</v>
      </c>
      <c r="AU914">
        <v>2021</v>
      </c>
      <c r="AV914">
        <v>149</v>
      </c>
      <c r="AW914">
        <v>12</v>
      </c>
      <c r="AX914" t="s">
        <v>74</v>
      </c>
      <c r="AY914" t="s">
        <v>74</v>
      </c>
      <c r="AZ914" t="s">
        <v>74</v>
      </c>
      <c r="BA914" t="s">
        <v>74</v>
      </c>
      <c r="BB914">
        <v>4167</v>
      </c>
      <c r="BC914">
        <v>4181</v>
      </c>
      <c r="BD914" t="s">
        <v>74</v>
      </c>
      <c r="BE914" t="s">
        <v>17435</v>
      </c>
      <c r="BF914" t="str">
        <f>HYPERLINK("http://dx.doi.org/10.1175/MWR-D-21-0142.1","http://dx.doi.org/10.1175/MWR-D-21-0142.1")</f>
        <v>http://dx.doi.org/10.1175/MWR-D-21-0142.1</v>
      </c>
      <c r="BG914" t="s">
        <v>74</v>
      </c>
      <c r="BH914" t="s">
        <v>74</v>
      </c>
      <c r="BI914">
        <v>15</v>
      </c>
      <c r="BJ914" t="s">
        <v>514</v>
      </c>
      <c r="BK914" t="s">
        <v>103</v>
      </c>
      <c r="BL914" t="s">
        <v>514</v>
      </c>
      <c r="BM914" t="s">
        <v>17436</v>
      </c>
      <c r="BN914" t="s">
        <v>74</v>
      </c>
      <c r="BO914" t="s">
        <v>74</v>
      </c>
      <c r="BP914" t="s">
        <v>74</v>
      </c>
      <c r="BQ914" t="s">
        <v>74</v>
      </c>
      <c r="BR914" t="s">
        <v>106</v>
      </c>
      <c r="BS914" t="s">
        <v>17437</v>
      </c>
      <c r="BT914" t="str">
        <f>HYPERLINK("https%3A%2F%2Fwww.webofscience.com%2Fwos%2Fwoscc%2Ffull-record%2FWOS:000752862000016","View Full Record in Web of Science")</f>
        <v>View Full Record in Web of Science</v>
      </c>
    </row>
    <row r="915" spans="1:72" x14ac:dyDescent="0.15">
      <c r="A915" t="s">
        <v>72</v>
      </c>
      <c r="B915" t="s">
        <v>17438</v>
      </c>
      <c r="C915" t="s">
        <v>74</v>
      </c>
      <c r="D915" t="s">
        <v>74</v>
      </c>
      <c r="E915" t="s">
        <v>74</v>
      </c>
      <c r="F915" t="s">
        <v>17439</v>
      </c>
      <c r="G915" t="s">
        <v>74</v>
      </c>
      <c r="H915" t="s">
        <v>17440</v>
      </c>
      <c r="I915" t="s">
        <v>17441</v>
      </c>
      <c r="J915" t="s">
        <v>3422</v>
      </c>
      <c r="K915" t="s">
        <v>74</v>
      </c>
      <c r="L915" t="s">
        <v>74</v>
      </c>
      <c r="M915" t="s">
        <v>78</v>
      </c>
      <c r="N915" t="s">
        <v>79</v>
      </c>
      <c r="O915" t="s">
        <v>74</v>
      </c>
      <c r="P915" t="s">
        <v>74</v>
      </c>
      <c r="Q915" t="s">
        <v>74</v>
      </c>
      <c r="R915" t="s">
        <v>74</v>
      </c>
      <c r="S915" t="s">
        <v>74</v>
      </c>
      <c r="T915" t="s">
        <v>74</v>
      </c>
      <c r="U915" t="s">
        <v>17442</v>
      </c>
      <c r="V915" t="s">
        <v>17443</v>
      </c>
      <c r="W915" t="s">
        <v>17444</v>
      </c>
      <c r="X915" t="s">
        <v>17445</v>
      </c>
      <c r="Y915" t="s">
        <v>17446</v>
      </c>
      <c r="Z915" t="s">
        <v>17447</v>
      </c>
      <c r="AA915" t="s">
        <v>17448</v>
      </c>
      <c r="AB915" t="s">
        <v>17449</v>
      </c>
      <c r="AC915" t="s">
        <v>17450</v>
      </c>
      <c r="AD915" t="s">
        <v>17451</v>
      </c>
      <c r="AE915" t="s">
        <v>17452</v>
      </c>
      <c r="AF915" t="s">
        <v>74</v>
      </c>
      <c r="AG915">
        <v>122</v>
      </c>
      <c r="AH915">
        <v>12</v>
      </c>
      <c r="AI915">
        <v>13</v>
      </c>
      <c r="AJ915">
        <v>1</v>
      </c>
      <c r="AK915">
        <v>9</v>
      </c>
      <c r="AL915" t="s">
        <v>605</v>
      </c>
      <c r="AM915" t="s">
        <v>606</v>
      </c>
      <c r="AN915" t="s">
        <v>607</v>
      </c>
      <c r="AO915" t="s">
        <v>3435</v>
      </c>
      <c r="AP915" t="s">
        <v>3436</v>
      </c>
      <c r="AQ915" t="s">
        <v>74</v>
      </c>
      <c r="AR915" t="s">
        <v>3437</v>
      </c>
      <c r="AS915" t="s">
        <v>3438</v>
      </c>
      <c r="AT915" t="s">
        <v>2125</v>
      </c>
      <c r="AU915">
        <v>2021</v>
      </c>
      <c r="AV915">
        <v>126</v>
      </c>
      <c r="AW915">
        <v>12</v>
      </c>
      <c r="AX915" t="s">
        <v>74</v>
      </c>
      <c r="AY915" t="s">
        <v>74</v>
      </c>
      <c r="AZ915" t="s">
        <v>74</v>
      </c>
      <c r="BA915" t="s">
        <v>74</v>
      </c>
      <c r="BB915" t="s">
        <v>74</v>
      </c>
      <c r="BC915" t="s">
        <v>74</v>
      </c>
      <c r="BD915" t="s">
        <v>17453</v>
      </c>
      <c r="BE915" t="s">
        <v>17454</v>
      </c>
      <c r="BF915" t="str">
        <f>HYPERLINK("http://dx.doi.org/10.1029/2021JF006339","http://dx.doi.org/10.1029/2021JF006339")</f>
        <v>http://dx.doi.org/10.1029/2021JF006339</v>
      </c>
      <c r="BG915" t="s">
        <v>74</v>
      </c>
      <c r="BH915" t="s">
        <v>74</v>
      </c>
      <c r="BI915">
        <v>22</v>
      </c>
      <c r="BJ915" t="s">
        <v>151</v>
      </c>
      <c r="BK915" t="s">
        <v>103</v>
      </c>
      <c r="BL915" t="s">
        <v>152</v>
      </c>
      <c r="BM915" t="s">
        <v>17455</v>
      </c>
      <c r="BN915" t="s">
        <v>74</v>
      </c>
      <c r="BO915" t="s">
        <v>640</v>
      </c>
      <c r="BP915" t="s">
        <v>74</v>
      </c>
      <c r="BQ915" t="s">
        <v>74</v>
      </c>
      <c r="BR915" t="s">
        <v>106</v>
      </c>
      <c r="BS915" t="s">
        <v>17456</v>
      </c>
      <c r="BT915" t="str">
        <f>HYPERLINK("https%3A%2F%2Fwww.webofscience.com%2Fwos%2Fwoscc%2Ffull-record%2FWOS:000757176700001","View Full Record in Web of Science")</f>
        <v>View Full Record in Web of Science</v>
      </c>
    </row>
    <row r="916" spans="1:72" x14ac:dyDescent="0.15">
      <c r="A916" t="s">
        <v>72</v>
      </c>
      <c r="B916" t="s">
        <v>17457</v>
      </c>
      <c r="C916" t="s">
        <v>74</v>
      </c>
      <c r="D916" t="s">
        <v>74</v>
      </c>
      <c r="E916" t="s">
        <v>74</v>
      </c>
      <c r="F916" t="s">
        <v>17458</v>
      </c>
      <c r="G916" t="s">
        <v>74</v>
      </c>
      <c r="H916" t="s">
        <v>74</v>
      </c>
      <c r="I916" t="s">
        <v>17459</v>
      </c>
      <c r="J916" t="s">
        <v>17460</v>
      </c>
      <c r="K916" t="s">
        <v>74</v>
      </c>
      <c r="L916" t="s">
        <v>74</v>
      </c>
      <c r="M916" t="s">
        <v>78</v>
      </c>
      <c r="N916" t="s">
        <v>79</v>
      </c>
      <c r="O916" t="s">
        <v>74</v>
      </c>
      <c r="P916" t="s">
        <v>74</v>
      </c>
      <c r="Q916" t="s">
        <v>74</v>
      </c>
      <c r="R916" t="s">
        <v>74</v>
      </c>
      <c r="S916" t="s">
        <v>74</v>
      </c>
      <c r="T916" t="s">
        <v>17461</v>
      </c>
      <c r="U916" t="s">
        <v>17462</v>
      </c>
      <c r="V916" t="s">
        <v>17463</v>
      </c>
      <c r="W916" t="s">
        <v>17464</v>
      </c>
      <c r="X916" t="s">
        <v>6714</v>
      </c>
      <c r="Y916" t="s">
        <v>17465</v>
      </c>
      <c r="Z916" t="s">
        <v>17466</v>
      </c>
      <c r="AA916" t="s">
        <v>74</v>
      </c>
      <c r="AB916" t="s">
        <v>74</v>
      </c>
      <c r="AC916" t="s">
        <v>74</v>
      </c>
      <c r="AD916" t="s">
        <v>74</v>
      </c>
      <c r="AE916" t="s">
        <v>74</v>
      </c>
      <c r="AF916" t="s">
        <v>74</v>
      </c>
      <c r="AG916">
        <v>47</v>
      </c>
      <c r="AH916">
        <v>0</v>
      </c>
      <c r="AI916">
        <v>0</v>
      </c>
      <c r="AJ916">
        <v>2</v>
      </c>
      <c r="AK916">
        <v>6</v>
      </c>
      <c r="AL916" t="s">
        <v>2761</v>
      </c>
      <c r="AM916" t="s">
        <v>2762</v>
      </c>
      <c r="AN916" t="s">
        <v>2787</v>
      </c>
      <c r="AO916" t="s">
        <v>17467</v>
      </c>
      <c r="AP916" t="s">
        <v>17468</v>
      </c>
      <c r="AQ916" t="s">
        <v>74</v>
      </c>
      <c r="AR916" t="s">
        <v>17469</v>
      </c>
      <c r="AS916" t="s">
        <v>17470</v>
      </c>
      <c r="AT916" t="s">
        <v>2125</v>
      </c>
      <c r="AU916">
        <v>2021</v>
      </c>
      <c r="AV916">
        <v>78</v>
      </c>
      <c r="AW916">
        <v>12</v>
      </c>
      <c r="AX916" t="s">
        <v>74</v>
      </c>
      <c r="AY916" t="s">
        <v>74</v>
      </c>
      <c r="AZ916" t="s">
        <v>74</v>
      </c>
      <c r="BA916" t="s">
        <v>74</v>
      </c>
      <c r="BB916">
        <v>3837</v>
      </c>
      <c r="BC916">
        <v>3853</v>
      </c>
      <c r="BD916" t="s">
        <v>74</v>
      </c>
      <c r="BE916" t="s">
        <v>17471</v>
      </c>
      <c r="BF916" t="str">
        <f>HYPERLINK("http://dx.doi.org/10.1175/JAS-D-21-0066.1","http://dx.doi.org/10.1175/JAS-D-21-0066.1")</f>
        <v>http://dx.doi.org/10.1175/JAS-D-21-0066.1</v>
      </c>
      <c r="BG916" t="s">
        <v>74</v>
      </c>
      <c r="BH916" t="s">
        <v>74</v>
      </c>
      <c r="BI916">
        <v>17</v>
      </c>
      <c r="BJ916" t="s">
        <v>514</v>
      </c>
      <c r="BK916" t="s">
        <v>103</v>
      </c>
      <c r="BL916" t="s">
        <v>514</v>
      </c>
      <c r="BM916" t="s">
        <v>17472</v>
      </c>
      <c r="BN916" t="s">
        <v>74</v>
      </c>
      <c r="BO916" t="s">
        <v>1613</v>
      </c>
      <c r="BP916" t="s">
        <v>74</v>
      </c>
      <c r="BQ916" t="s">
        <v>74</v>
      </c>
      <c r="BR916" t="s">
        <v>106</v>
      </c>
      <c r="BS916" t="s">
        <v>17473</v>
      </c>
      <c r="BT916" t="str">
        <f>HYPERLINK("https%3A%2F%2Fwww.webofscience.com%2Fwos%2Fwoscc%2Ffull-record%2FWOS:000757431900001","View Full Record in Web of Science")</f>
        <v>View Full Record in Web of Science</v>
      </c>
    </row>
    <row r="917" spans="1:72" x14ac:dyDescent="0.15">
      <c r="A917" t="s">
        <v>72</v>
      </c>
      <c r="B917" t="s">
        <v>17474</v>
      </c>
      <c r="C917" t="s">
        <v>74</v>
      </c>
      <c r="D917" t="s">
        <v>74</v>
      </c>
      <c r="E917" t="s">
        <v>74</v>
      </c>
      <c r="F917" t="s">
        <v>17475</v>
      </c>
      <c r="G917" t="s">
        <v>74</v>
      </c>
      <c r="H917" t="s">
        <v>74</v>
      </c>
      <c r="I917" t="s">
        <v>17476</v>
      </c>
      <c r="J917" t="s">
        <v>2774</v>
      </c>
      <c r="K917" t="s">
        <v>74</v>
      </c>
      <c r="L917" t="s">
        <v>74</v>
      </c>
      <c r="M917" t="s">
        <v>78</v>
      </c>
      <c r="N917" t="s">
        <v>79</v>
      </c>
      <c r="O917" t="s">
        <v>74</v>
      </c>
      <c r="P917" t="s">
        <v>74</v>
      </c>
      <c r="Q917" t="s">
        <v>74</v>
      </c>
      <c r="R917" t="s">
        <v>74</v>
      </c>
      <c r="S917" t="s">
        <v>74</v>
      </c>
      <c r="T917" t="s">
        <v>17477</v>
      </c>
      <c r="U917" t="s">
        <v>17478</v>
      </c>
      <c r="V917" t="s">
        <v>17479</v>
      </c>
      <c r="W917" t="s">
        <v>17480</v>
      </c>
      <c r="X917" t="s">
        <v>17481</v>
      </c>
      <c r="Y917" t="s">
        <v>17482</v>
      </c>
      <c r="Z917" t="s">
        <v>17483</v>
      </c>
      <c r="AA917" t="s">
        <v>17484</v>
      </c>
      <c r="AB917" t="s">
        <v>17485</v>
      </c>
      <c r="AC917" t="s">
        <v>17486</v>
      </c>
      <c r="AD917" t="s">
        <v>17487</v>
      </c>
      <c r="AE917" t="s">
        <v>17488</v>
      </c>
      <c r="AF917" t="s">
        <v>74</v>
      </c>
      <c r="AG917">
        <v>104</v>
      </c>
      <c r="AH917">
        <v>17</v>
      </c>
      <c r="AI917">
        <v>20</v>
      </c>
      <c r="AJ917">
        <v>9</v>
      </c>
      <c r="AK917">
        <v>39</v>
      </c>
      <c r="AL917" t="s">
        <v>2761</v>
      </c>
      <c r="AM917" t="s">
        <v>2762</v>
      </c>
      <c r="AN917" t="s">
        <v>2787</v>
      </c>
      <c r="AO917" t="s">
        <v>2788</v>
      </c>
      <c r="AP917" t="s">
        <v>2789</v>
      </c>
      <c r="AQ917" t="s">
        <v>74</v>
      </c>
      <c r="AR917" t="s">
        <v>2790</v>
      </c>
      <c r="AS917" t="s">
        <v>2791</v>
      </c>
      <c r="AT917" t="s">
        <v>2125</v>
      </c>
      <c r="AU917">
        <v>2021</v>
      </c>
      <c r="AV917">
        <v>34</v>
      </c>
      <c r="AW917">
        <v>23</v>
      </c>
      <c r="AX917" t="s">
        <v>74</v>
      </c>
      <c r="AY917" t="s">
        <v>74</v>
      </c>
      <c r="AZ917" t="s">
        <v>74</v>
      </c>
      <c r="BA917" t="s">
        <v>74</v>
      </c>
      <c r="BB917">
        <v>9327</v>
      </c>
      <c r="BC917">
        <v>9348</v>
      </c>
      <c r="BD917" t="s">
        <v>74</v>
      </c>
      <c r="BE917" t="s">
        <v>17489</v>
      </c>
      <c r="BF917" t="str">
        <f>HYPERLINK("http://dx.doi.org/10.1175/JCLI-D-21-0002.1","http://dx.doi.org/10.1175/JCLI-D-21-0002.1")</f>
        <v>http://dx.doi.org/10.1175/JCLI-D-21-0002.1</v>
      </c>
      <c r="BG917" t="s">
        <v>74</v>
      </c>
      <c r="BH917" t="s">
        <v>74</v>
      </c>
      <c r="BI917">
        <v>22</v>
      </c>
      <c r="BJ917" t="s">
        <v>514</v>
      </c>
      <c r="BK917" t="s">
        <v>103</v>
      </c>
      <c r="BL917" t="s">
        <v>514</v>
      </c>
      <c r="BM917" t="s">
        <v>17490</v>
      </c>
      <c r="BN917" t="s">
        <v>74</v>
      </c>
      <c r="BO917" t="s">
        <v>1613</v>
      </c>
      <c r="BP917" t="s">
        <v>74</v>
      </c>
      <c r="BQ917" t="s">
        <v>74</v>
      </c>
      <c r="BR917" t="s">
        <v>106</v>
      </c>
      <c r="BS917" t="s">
        <v>17491</v>
      </c>
      <c r="BT917" t="str">
        <f>HYPERLINK("https%3A%2F%2Fwww.webofscience.com%2Fwos%2Fwoscc%2Ffull-record%2FWOS:000752649500008","View Full Record in Web of Science")</f>
        <v>View Full Record in Web of Science</v>
      </c>
    </row>
    <row r="918" spans="1:72" x14ac:dyDescent="0.15">
      <c r="A918" t="s">
        <v>72</v>
      </c>
      <c r="B918" t="s">
        <v>17492</v>
      </c>
      <c r="C918" t="s">
        <v>74</v>
      </c>
      <c r="D918" t="s">
        <v>74</v>
      </c>
      <c r="E918" t="s">
        <v>74</v>
      </c>
      <c r="F918" t="s">
        <v>17493</v>
      </c>
      <c r="G918" t="s">
        <v>74</v>
      </c>
      <c r="H918" t="s">
        <v>74</v>
      </c>
      <c r="I918" t="s">
        <v>17494</v>
      </c>
      <c r="J918" t="s">
        <v>17495</v>
      </c>
      <c r="K918" t="s">
        <v>74</v>
      </c>
      <c r="L918" t="s">
        <v>74</v>
      </c>
      <c r="M918" t="s">
        <v>78</v>
      </c>
      <c r="N918" t="s">
        <v>79</v>
      </c>
      <c r="O918" t="s">
        <v>74</v>
      </c>
      <c r="P918" t="s">
        <v>74</v>
      </c>
      <c r="Q918" t="s">
        <v>74</v>
      </c>
      <c r="R918" t="s">
        <v>74</v>
      </c>
      <c r="S918" t="s">
        <v>74</v>
      </c>
      <c r="T918" t="s">
        <v>74</v>
      </c>
      <c r="U918" t="s">
        <v>17496</v>
      </c>
      <c r="V918" t="s">
        <v>17497</v>
      </c>
      <c r="W918" t="s">
        <v>17498</v>
      </c>
      <c r="X918" t="s">
        <v>17499</v>
      </c>
      <c r="Y918" t="s">
        <v>17500</v>
      </c>
      <c r="Z918" t="s">
        <v>17501</v>
      </c>
      <c r="AA918" t="s">
        <v>17502</v>
      </c>
      <c r="AB918" t="s">
        <v>17503</v>
      </c>
      <c r="AC918" t="s">
        <v>17504</v>
      </c>
      <c r="AD918" t="s">
        <v>17505</v>
      </c>
      <c r="AE918" t="s">
        <v>17506</v>
      </c>
      <c r="AF918" t="s">
        <v>74</v>
      </c>
      <c r="AG918">
        <v>93</v>
      </c>
      <c r="AH918">
        <v>3</v>
      </c>
      <c r="AI918">
        <v>3</v>
      </c>
      <c r="AJ918">
        <v>1</v>
      </c>
      <c r="AK918">
        <v>10</v>
      </c>
      <c r="AL918" t="s">
        <v>605</v>
      </c>
      <c r="AM918" t="s">
        <v>606</v>
      </c>
      <c r="AN918" t="s">
        <v>607</v>
      </c>
      <c r="AO918" t="s">
        <v>17507</v>
      </c>
      <c r="AP918" t="s">
        <v>17508</v>
      </c>
      <c r="AQ918" t="s">
        <v>74</v>
      </c>
      <c r="AR918" t="s">
        <v>17509</v>
      </c>
      <c r="AS918" t="s">
        <v>17510</v>
      </c>
      <c r="AT918" t="s">
        <v>2125</v>
      </c>
      <c r="AU918">
        <v>2021</v>
      </c>
      <c r="AV918">
        <v>126</v>
      </c>
      <c r="AW918">
        <v>12</v>
      </c>
      <c r="AX918" t="s">
        <v>74</v>
      </c>
      <c r="AY918" t="s">
        <v>74</v>
      </c>
      <c r="AZ918" t="s">
        <v>74</v>
      </c>
      <c r="BA918" t="s">
        <v>74</v>
      </c>
      <c r="BB918" t="s">
        <v>74</v>
      </c>
      <c r="BC918" t="s">
        <v>74</v>
      </c>
      <c r="BD918" t="s">
        <v>17511</v>
      </c>
      <c r="BE918" t="s">
        <v>17512</v>
      </c>
      <c r="BF918" t="str">
        <f>HYPERLINK("http://dx.doi.org/10.1029/2021JB023273","http://dx.doi.org/10.1029/2021JB023273")</f>
        <v>http://dx.doi.org/10.1029/2021JB023273</v>
      </c>
      <c r="BG918" t="s">
        <v>74</v>
      </c>
      <c r="BH918" t="s">
        <v>74</v>
      </c>
      <c r="BI918">
        <v>20</v>
      </c>
      <c r="BJ918" t="s">
        <v>1014</v>
      </c>
      <c r="BK918" t="s">
        <v>103</v>
      </c>
      <c r="BL918" t="s">
        <v>1014</v>
      </c>
      <c r="BM918" t="s">
        <v>17513</v>
      </c>
      <c r="BN918" t="s">
        <v>74</v>
      </c>
      <c r="BO918" t="s">
        <v>3307</v>
      </c>
      <c r="BP918" t="s">
        <v>74</v>
      </c>
      <c r="BQ918" t="s">
        <v>74</v>
      </c>
      <c r="BR918" t="s">
        <v>106</v>
      </c>
      <c r="BS918" t="s">
        <v>17514</v>
      </c>
      <c r="BT918" t="str">
        <f>HYPERLINK("https%3A%2F%2Fwww.webofscience.com%2Fwos%2Fwoscc%2Ffull-record%2FWOS:000751383000083","View Full Record in Web of Science")</f>
        <v>View Full Record in Web of Science</v>
      </c>
    </row>
    <row r="919" spans="1:72" x14ac:dyDescent="0.15">
      <c r="A919" t="s">
        <v>72</v>
      </c>
      <c r="B919" t="s">
        <v>17515</v>
      </c>
      <c r="C919" t="s">
        <v>74</v>
      </c>
      <c r="D919" t="s">
        <v>74</v>
      </c>
      <c r="E919" t="s">
        <v>74</v>
      </c>
      <c r="F919" t="s">
        <v>17516</v>
      </c>
      <c r="G919" t="s">
        <v>74</v>
      </c>
      <c r="H919" t="s">
        <v>74</v>
      </c>
      <c r="I919" t="s">
        <v>17517</v>
      </c>
      <c r="J919" t="s">
        <v>17495</v>
      </c>
      <c r="K919" t="s">
        <v>74</v>
      </c>
      <c r="L919" t="s">
        <v>74</v>
      </c>
      <c r="M919" t="s">
        <v>78</v>
      </c>
      <c r="N919" t="s">
        <v>79</v>
      </c>
      <c r="O919" t="s">
        <v>74</v>
      </c>
      <c r="P919" t="s">
        <v>74</v>
      </c>
      <c r="Q919" t="s">
        <v>74</v>
      </c>
      <c r="R919" t="s">
        <v>74</v>
      </c>
      <c r="S919" t="s">
        <v>74</v>
      </c>
      <c r="T919" t="s">
        <v>17518</v>
      </c>
      <c r="U919" t="s">
        <v>17519</v>
      </c>
      <c r="V919" t="s">
        <v>17520</v>
      </c>
      <c r="W919" t="s">
        <v>17521</v>
      </c>
      <c r="X919" t="s">
        <v>17522</v>
      </c>
      <c r="Y919" t="s">
        <v>17523</v>
      </c>
      <c r="Z919" t="s">
        <v>17524</v>
      </c>
      <c r="AA919" t="s">
        <v>74</v>
      </c>
      <c r="AB919" t="s">
        <v>17525</v>
      </c>
      <c r="AC919" t="s">
        <v>17526</v>
      </c>
      <c r="AD919" t="s">
        <v>17527</v>
      </c>
      <c r="AE919" t="s">
        <v>17528</v>
      </c>
      <c r="AF919" t="s">
        <v>74</v>
      </c>
      <c r="AG919">
        <v>117</v>
      </c>
      <c r="AH919">
        <v>6</v>
      </c>
      <c r="AI919">
        <v>6</v>
      </c>
      <c r="AJ919">
        <v>2</v>
      </c>
      <c r="AK919">
        <v>8</v>
      </c>
      <c r="AL919" t="s">
        <v>605</v>
      </c>
      <c r="AM919" t="s">
        <v>606</v>
      </c>
      <c r="AN919" t="s">
        <v>607</v>
      </c>
      <c r="AO919" t="s">
        <v>17507</v>
      </c>
      <c r="AP919" t="s">
        <v>17508</v>
      </c>
      <c r="AQ919" t="s">
        <v>74</v>
      </c>
      <c r="AR919" t="s">
        <v>17509</v>
      </c>
      <c r="AS919" t="s">
        <v>17510</v>
      </c>
      <c r="AT919" t="s">
        <v>2125</v>
      </c>
      <c r="AU919">
        <v>2021</v>
      </c>
      <c r="AV919">
        <v>126</v>
      </c>
      <c r="AW919">
        <v>12</v>
      </c>
      <c r="AX919" t="s">
        <v>74</v>
      </c>
      <c r="AY919" t="s">
        <v>74</v>
      </c>
      <c r="AZ919" t="s">
        <v>74</v>
      </c>
      <c r="BA919" t="s">
        <v>74</v>
      </c>
      <c r="BB919" t="s">
        <v>74</v>
      </c>
      <c r="BC919" t="s">
        <v>74</v>
      </c>
      <c r="BD919" t="s">
        <v>17529</v>
      </c>
      <c r="BE919" t="s">
        <v>17530</v>
      </c>
      <c r="BF919" t="str">
        <f>HYPERLINK("http://dx.doi.org/10.1029/2021JB023173","http://dx.doi.org/10.1029/2021JB023173")</f>
        <v>http://dx.doi.org/10.1029/2021JB023173</v>
      </c>
      <c r="BG919" t="s">
        <v>74</v>
      </c>
      <c r="BH919" t="s">
        <v>74</v>
      </c>
      <c r="BI919">
        <v>34</v>
      </c>
      <c r="BJ919" t="s">
        <v>1014</v>
      </c>
      <c r="BK919" t="s">
        <v>103</v>
      </c>
      <c r="BL919" t="s">
        <v>1014</v>
      </c>
      <c r="BM919" t="s">
        <v>17513</v>
      </c>
      <c r="BN919" t="s">
        <v>74</v>
      </c>
      <c r="BO919" t="s">
        <v>640</v>
      </c>
      <c r="BP919" t="s">
        <v>74</v>
      </c>
      <c r="BQ919" t="s">
        <v>74</v>
      </c>
      <c r="BR919" t="s">
        <v>106</v>
      </c>
      <c r="BS919" t="s">
        <v>17531</v>
      </c>
      <c r="BT919" t="str">
        <f>HYPERLINK("https%3A%2F%2Fwww.webofscience.com%2Fwos%2Fwoscc%2Ffull-record%2FWOS:000751383000067","View Full Record in Web of Science")</f>
        <v>View Full Record in Web of Science</v>
      </c>
    </row>
    <row r="920" spans="1:72" x14ac:dyDescent="0.15">
      <c r="A920" t="s">
        <v>72</v>
      </c>
      <c r="B920" t="s">
        <v>17532</v>
      </c>
      <c r="C920" t="s">
        <v>74</v>
      </c>
      <c r="D920" t="s">
        <v>74</v>
      </c>
      <c r="E920" t="s">
        <v>74</v>
      </c>
      <c r="F920" t="s">
        <v>17533</v>
      </c>
      <c r="G920" t="s">
        <v>74</v>
      </c>
      <c r="H920" t="s">
        <v>74</v>
      </c>
      <c r="I920" t="s">
        <v>17534</v>
      </c>
      <c r="J920" t="s">
        <v>17303</v>
      </c>
      <c r="K920" t="s">
        <v>74</v>
      </c>
      <c r="L920" t="s">
        <v>74</v>
      </c>
      <c r="M920" t="s">
        <v>78</v>
      </c>
      <c r="N920" t="s">
        <v>79</v>
      </c>
      <c r="O920" t="s">
        <v>74</v>
      </c>
      <c r="P920" t="s">
        <v>74</v>
      </c>
      <c r="Q920" t="s">
        <v>74</v>
      </c>
      <c r="R920" t="s">
        <v>74</v>
      </c>
      <c r="S920" t="s">
        <v>74</v>
      </c>
      <c r="T920" t="s">
        <v>17535</v>
      </c>
      <c r="U920" t="s">
        <v>17536</v>
      </c>
      <c r="V920" t="s">
        <v>17537</v>
      </c>
      <c r="W920" t="s">
        <v>17538</v>
      </c>
      <c r="X920" t="s">
        <v>17539</v>
      </c>
      <c r="Y920" t="s">
        <v>17540</v>
      </c>
      <c r="Z920" t="s">
        <v>17541</v>
      </c>
      <c r="AA920" t="s">
        <v>17542</v>
      </c>
      <c r="AB920" t="s">
        <v>17543</v>
      </c>
      <c r="AC920" t="s">
        <v>17544</v>
      </c>
      <c r="AD920" t="s">
        <v>74</v>
      </c>
      <c r="AE920" t="s">
        <v>17545</v>
      </c>
      <c r="AF920" t="s">
        <v>74</v>
      </c>
      <c r="AG920">
        <v>32</v>
      </c>
      <c r="AH920">
        <v>0</v>
      </c>
      <c r="AI920">
        <v>0</v>
      </c>
      <c r="AJ920">
        <v>1</v>
      </c>
      <c r="AK920">
        <v>4</v>
      </c>
      <c r="AL920" t="s">
        <v>17311</v>
      </c>
      <c r="AM920" t="s">
        <v>506</v>
      </c>
      <c r="AN920" t="s">
        <v>17312</v>
      </c>
      <c r="AO920" t="s">
        <v>17313</v>
      </c>
      <c r="AP920" t="s">
        <v>17314</v>
      </c>
      <c r="AQ920" t="s">
        <v>74</v>
      </c>
      <c r="AR920" t="s">
        <v>17315</v>
      </c>
      <c r="AS920" t="s">
        <v>17316</v>
      </c>
      <c r="AT920" t="s">
        <v>2125</v>
      </c>
      <c r="AU920">
        <v>2021</v>
      </c>
      <c r="AV920">
        <v>57</v>
      </c>
      <c r="AW920">
        <v>9</v>
      </c>
      <c r="AX920" t="s">
        <v>74</v>
      </c>
      <c r="AY920" t="s">
        <v>74</v>
      </c>
      <c r="AZ920" t="s">
        <v>74</v>
      </c>
      <c r="BA920" t="s">
        <v>74</v>
      </c>
      <c r="BB920">
        <v>1066</v>
      </c>
      <c r="BC920">
        <v>1075</v>
      </c>
      <c r="BD920" t="s">
        <v>74</v>
      </c>
      <c r="BE920" t="s">
        <v>17546</v>
      </c>
      <c r="BF920" t="str">
        <f>HYPERLINK("http://dx.doi.org/10.1134/S0001433821090681","http://dx.doi.org/10.1134/S0001433821090681")</f>
        <v>http://dx.doi.org/10.1134/S0001433821090681</v>
      </c>
      <c r="BG920" t="s">
        <v>74</v>
      </c>
      <c r="BH920" t="s">
        <v>74</v>
      </c>
      <c r="BI920">
        <v>10</v>
      </c>
      <c r="BJ920" t="s">
        <v>6342</v>
      </c>
      <c r="BK920" t="s">
        <v>103</v>
      </c>
      <c r="BL920" t="s">
        <v>6342</v>
      </c>
      <c r="BM920" t="s">
        <v>17547</v>
      </c>
      <c r="BN920" t="s">
        <v>74</v>
      </c>
      <c r="BO920" t="s">
        <v>74</v>
      </c>
      <c r="BP920" t="s">
        <v>74</v>
      </c>
      <c r="BQ920" t="s">
        <v>74</v>
      </c>
      <c r="BR920" t="s">
        <v>106</v>
      </c>
      <c r="BS920" t="s">
        <v>17548</v>
      </c>
      <c r="BT920" t="str">
        <f>HYPERLINK("https%3A%2F%2Fwww.webofscience.com%2Fwos%2Fwoscc%2Ffull-record%2FWOS:000755156500014","View Full Record in Web of Science")</f>
        <v>View Full Record in Web of Science</v>
      </c>
    </row>
    <row r="921" spans="1:72" x14ac:dyDescent="0.15">
      <c r="A921" t="s">
        <v>72</v>
      </c>
      <c r="B921" t="s">
        <v>17549</v>
      </c>
      <c r="C921" t="s">
        <v>74</v>
      </c>
      <c r="D921" t="s">
        <v>74</v>
      </c>
      <c r="E921" t="s">
        <v>74</v>
      </c>
      <c r="F921" t="s">
        <v>17550</v>
      </c>
      <c r="G921" t="s">
        <v>74</v>
      </c>
      <c r="H921" t="s">
        <v>74</v>
      </c>
      <c r="I921" t="s">
        <v>17551</v>
      </c>
      <c r="J921" t="s">
        <v>17303</v>
      </c>
      <c r="K921" t="s">
        <v>74</v>
      </c>
      <c r="L921" t="s">
        <v>74</v>
      </c>
      <c r="M921" t="s">
        <v>78</v>
      </c>
      <c r="N921" t="s">
        <v>79</v>
      </c>
      <c r="O921" t="s">
        <v>74</v>
      </c>
      <c r="P921" t="s">
        <v>74</v>
      </c>
      <c r="Q921" t="s">
        <v>74</v>
      </c>
      <c r="R921" t="s">
        <v>74</v>
      </c>
      <c r="S921" t="s">
        <v>74</v>
      </c>
      <c r="T921" t="s">
        <v>17552</v>
      </c>
      <c r="U921" t="s">
        <v>17553</v>
      </c>
      <c r="V921" t="s">
        <v>17554</v>
      </c>
      <c r="W921" t="s">
        <v>17555</v>
      </c>
      <c r="X921" t="s">
        <v>17556</v>
      </c>
      <c r="Y921" t="s">
        <v>17557</v>
      </c>
      <c r="Z921" t="s">
        <v>17329</v>
      </c>
      <c r="AA921" t="s">
        <v>17558</v>
      </c>
      <c r="AB921" t="s">
        <v>17559</v>
      </c>
      <c r="AC921" t="s">
        <v>17560</v>
      </c>
      <c r="AD921" t="s">
        <v>9228</v>
      </c>
      <c r="AE921" t="s">
        <v>17561</v>
      </c>
      <c r="AF921" t="s">
        <v>74</v>
      </c>
      <c r="AG921">
        <v>19</v>
      </c>
      <c r="AH921">
        <v>0</v>
      </c>
      <c r="AI921">
        <v>0</v>
      </c>
      <c r="AJ921">
        <v>0</v>
      </c>
      <c r="AK921">
        <v>4</v>
      </c>
      <c r="AL921" t="s">
        <v>17311</v>
      </c>
      <c r="AM921" t="s">
        <v>506</v>
      </c>
      <c r="AN921" t="s">
        <v>17312</v>
      </c>
      <c r="AO921" t="s">
        <v>17313</v>
      </c>
      <c r="AP921" t="s">
        <v>17314</v>
      </c>
      <c r="AQ921" t="s">
        <v>74</v>
      </c>
      <c r="AR921" t="s">
        <v>17315</v>
      </c>
      <c r="AS921" t="s">
        <v>17316</v>
      </c>
      <c r="AT921" t="s">
        <v>2125</v>
      </c>
      <c r="AU921">
        <v>2021</v>
      </c>
      <c r="AV921">
        <v>57</v>
      </c>
      <c r="AW921">
        <v>9</v>
      </c>
      <c r="AX921" t="s">
        <v>74</v>
      </c>
      <c r="AY921" t="s">
        <v>74</v>
      </c>
      <c r="AZ921" t="s">
        <v>74</v>
      </c>
      <c r="BA921" t="s">
        <v>74</v>
      </c>
      <c r="BB921">
        <v>1076</v>
      </c>
      <c r="BC921">
        <v>1080</v>
      </c>
      <c r="BD921" t="s">
        <v>74</v>
      </c>
      <c r="BE921" t="s">
        <v>17562</v>
      </c>
      <c r="BF921" t="str">
        <f>HYPERLINK("http://dx.doi.org/10.1134/S0001433821090383","http://dx.doi.org/10.1134/S0001433821090383")</f>
        <v>http://dx.doi.org/10.1134/S0001433821090383</v>
      </c>
      <c r="BG921" t="s">
        <v>74</v>
      </c>
      <c r="BH921" t="s">
        <v>74</v>
      </c>
      <c r="BI921">
        <v>5</v>
      </c>
      <c r="BJ921" t="s">
        <v>6342</v>
      </c>
      <c r="BK921" t="s">
        <v>103</v>
      </c>
      <c r="BL921" t="s">
        <v>6342</v>
      </c>
      <c r="BM921" t="s">
        <v>17547</v>
      </c>
      <c r="BN921" t="s">
        <v>74</v>
      </c>
      <c r="BO921" t="s">
        <v>74</v>
      </c>
      <c r="BP921" t="s">
        <v>74</v>
      </c>
      <c r="BQ921" t="s">
        <v>74</v>
      </c>
      <c r="BR921" t="s">
        <v>106</v>
      </c>
      <c r="BS921" t="s">
        <v>17563</v>
      </c>
      <c r="BT921" t="str">
        <f>HYPERLINK("https%3A%2F%2Fwww.webofscience.com%2Fwos%2Fwoscc%2Ffull-record%2FWOS:000755156500015","View Full Record in Web of Science")</f>
        <v>View Full Record in Web of Science</v>
      </c>
    </row>
    <row r="922" spans="1:72" x14ac:dyDescent="0.15">
      <c r="A922" t="s">
        <v>72</v>
      </c>
      <c r="B922" t="s">
        <v>17564</v>
      </c>
      <c r="C922" t="s">
        <v>74</v>
      </c>
      <c r="D922" t="s">
        <v>74</v>
      </c>
      <c r="E922" t="s">
        <v>74</v>
      </c>
      <c r="F922" t="s">
        <v>17565</v>
      </c>
      <c r="G922" t="s">
        <v>74</v>
      </c>
      <c r="H922" t="s">
        <v>74</v>
      </c>
      <c r="I922" t="s">
        <v>17566</v>
      </c>
      <c r="J922" t="s">
        <v>17303</v>
      </c>
      <c r="K922" t="s">
        <v>74</v>
      </c>
      <c r="L922" t="s">
        <v>74</v>
      </c>
      <c r="M922" t="s">
        <v>78</v>
      </c>
      <c r="N922" t="s">
        <v>79</v>
      </c>
      <c r="O922" t="s">
        <v>74</v>
      </c>
      <c r="P922" t="s">
        <v>74</v>
      </c>
      <c r="Q922" t="s">
        <v>74</v>
      </c>
      <c r="R922" t="s">
        <v>74</v>
      </c>
      <c r="S922" t="s">
        <v>74</v>
      </c>
      <c r="T922" t="s">
        <v>17567</v>
      </c>
      <c r="U922" t="s">
        <v>74</v>
      </c>
      <c r="V922" t="s">
        <v>17568</v>
      </c>
      <c r="W922" t="s">
        <v>17569</v>
      </c>
      <c r="X922" t="s">
        <v>2688</v>
      </c>
      <c r="Y922" t="s">
        <v>17570</v>
      </c>
      <c r="Z922" t="s">
        <v>17571</v>
      </c>
      <c r="AA922" t="s">
        <v>74</v>
      </c>
      <c r="AB922" t="s">
        <v>74</v>
      </c>
      <c r="AC922" t="s">
        <v>74</v>
      </c>
      <c r="AD922" t="s">
        <v>74</v>
      </c>
      <c r="AE922" t="s">
        <v>74</v>
      </c>
      <c r="AF922" t="s">
        <v>74</v>
      </c>
      <c r="AG922">
        <v>6</v>
      </c>
      <c r="AH922">
        <v>0</v>
      </c>
      <c r="AI922">
        <v>0</v>
      </c>
      <c r="AJ922">
        <v>0</v>
      </c>
      <c r="AK922">
        <v>2</v>
      </c>
      <c r="AL922" t="s">
        <v>17311</v>
      </c>
      <c r="AM922" t="s">
        <v>506</v>
      </c>
      <c r="AN922" t="s">
        <v>17312</v>
      </c>
      <c r="AO922" t="s">
        <v>17313</v>
      </c>
      <c r="AP922" t="s">
        <v>17314</v>
      </c>
      <c r="AQ922" t="s">
        <v>74</v>
      </c>
      <c r="AR922" t="s">
        <v>17315</v>
      </c>
      <c r="AS922" t="s">
        <v>17316</v>
      </c>
      <c r="AT922" t="s">
        <v>2125</v>
      </c>
      <c r="AU922">
        <v>2021</v>
      </c>
      <c r="AV922">
        <v>57</v>
      </c>
      <c r="AW922">
        <v>9</v>
      </c>
      <c r="AX922" t="s">
        <v>74</v>
      </c>
      <c r="AY922" t="s">
        <v>74</v>
      </c>
      <c r="AZ922" t="s">
        <v>74</v>
      </c>
      <c r="BA922" t="s">
        <v>74</v>
      </c>
      <c r="BB922">
        <v>1081</v>
      </c>
      <c r="BC922">
        <v>1086</v>
      </c>
      <c r="BD922" t="s">
        <v>74</v>
      </c>
      <c r="BE922" t="s">
        <v>17572</v>
      </c>
      <c r="BF922" t="str">
        <f>HYPERLINK("http://dx.doi.org/10.1134/S0001433821090462","http://dx.doi.org/10.1134/S0001433821090462")</f>
        <v>http://dx.doi.org/10.1134/S0001433821090462</v>
      </c>
      <c r="BG922" t="s">
        <v>74</v>
      </c>
      <c r="BH922" t="s">
        <v>74</v>
      </c>
      <c r="BI922">
        <v>6</v>
      </c>
      <c r="BJ922" t="s">
        <v>6342</v>
      </c>
      <c r="BK922" t="s">
        <v>103</v>
      </c>
      <c r="BL922" t="s">
        <v>6342</v>
      </c>
      <c r="BM922" t="s">
        <v>17547</v>
      </c>
      <c r="BN922" t="s">
        <v>74</v>
      </c>
      <c r="BO922" t="s">
        <v>74</v>
      </c>
      <c r="BP922" t="s">
        <v>74</v>
      </c>
      <c r="BQ922" t="s">
        <v>74</v>
      </c>
      <c r="BR922" t="s">
        <v>106</v>
      </c>
      <c r="BS922" t="s">
        <v>17573</v>
      </c>
      <c r="BT922" t="str">
        <f>HYPERLINK("https%3A%2F%2Fwww.webofscience.com%2Fwos%2Fwoscc%2Ffull-record%2FWOS:000755156500016","View Full Record in Web of Science")</f>
        <v>View Full Record in Web of Science</v>
      </c>
    </row>
    <row r="923" spans="1:72" x14ac:dyDescent="0.15">
      <c r="A923" t="s">
        <v>72</v>
      </c>
      <c r="B923" t="s">
        <v>17574</v>
      </c>
      <c r="C923" t="s">
        <v>74</v>
      </c>
      <c r="D923" t="s">
        <v>74</v>
      </c>
      <c r="E923" t="s">
        <v>74</v>
      </c>
      <c r="F923" t="s">
        <v>17575</v>
      </c>
      <c r="G923" t="s">
        <v>74</v>
      </c>
      <c r="H923" t="s">
        <v>74</v>
      </c>
      <c r="I923" t="s">
        <v>17576</v>
      </c>
      <c r="J923" t="s">
        <v>17303</v>
      </c>
      <c r="K923" t="s">
        <v>74</v>
      </c>
      <c r="L923" t="s">
        <v>74</v>
      </c>
      <c r="M923" t="s">
        <v>78</v>
      </c>
      <c r="N923" t="s">
        <v>79</v>
      </c>
      <c r="O923" t="s">
        <v>74</v>
      </c>
      <c r="P923" t="s">
        <v>74</v>
      </c>
      <c r="Q923" t="s">
        <v>74</v>
      </c>
      <c r="R923" t="s">
        <v>74</v>
      </c>
      <c r="S923" t="s">
        <v>74</v>
      </c>
      <c r="T923" t="s">
        <v>17577</v>
      </c>
      <c r="U923" t="s">
        <v>17578</v>
      </c>
      <c r="V923" t="s">
        <v>17579</v>
      </c>
      <c r="W923" t="s">
        <v>17580</v>
      </c>
      <c r="X923" t="s">
        <v>17581</v>
      </c>
      <c r="Y923" t="s">
        <v>17582</v>
      </c>
      <c r="Z923" t="s">
        <v>17583</v>
      </c>
      <c r="AA923" t="s">
        <v>17584</v>
      </c>
      <c r="AB923" t="s">
        <v>17585</v>
      </c>
      <c r="AC923" t="s">
        <v>17586</v>
      </c>
      <c r="AD923" t="s">
        <v>12368</v>
      </c>
      <c r="AE923" t="s">
        <v>17587</v>
      </c>
      <c r="AF923" t="s">
        <v>74</v>
      </c>
      <c r="AG923">
        <v>83</v>
      </c>
      <c r="AH923">
        <v>1</v>
      </c>
      <c r="AI923">
        <v>1</v>
      </c>
      <c r="AJ923">
        <v>2</v>
      </c>
      <c r="AK923">
        <v>8</v>
      </c>
      <c r="AL923" t="s">
        <v>17311</v>
      </c>
      <c r="AM923" t="s">
        <v>506</v>
      </c>
      <c r="AN923" t="s">
        <v>17312</v>
      </c>
      <c r="AO923" t="s">
        <v>17313</v>
      </c>
      <c r="AP923" t="s">
        <v>17314</v>
      </c>
      <c r="AQ923" t="s">
        <v>74</v>
      </c>
      <c r="AR923" t="s">
        <v>17315</v>
      </c>
      <c r="AS923" t="s">
        <v>17316</v>
      </c>
      <c r="AT923" t="s">
        <v>2125</v>
      </c>
      <c r="AU923">
        <v>2021</v>
      </c>
      <c r="AV923">
        <v>57</v>
      </c>
      <c r="AW923">
        <v>10</v>
      </c>
      <c r="AX923" t="s">
        <v>74</v>
      </c>
      <c r="AY923" t="s">
        <v>74</v>
      </c>
      <c r="AZ923" t="s">
        <v>74</v>
      </c>
      <c r="BA923" t="s">
        <v>74</v>
      </c>
      <c r="BB923">
        <v>1254</v>
      </c>
      <c r="BC923">
        <v>1270</v>
      </c>
      <c r="BD923" t="s">
        <v>74</v>
      </c>
      <c r="BE923" t="s">
        <v>17588</v>
      </c>
      <c r="BF923" t="str">
        <f>HYPERLINK("http://dx.doi.org/10.1134/S0001433821100066","http://dx.doi.org/10.1134/S0001433821100066")</f>
        <v>http://dx.doi.org/10.1134/S0001433821100066</v>
      </c>
      <c r="BG923" t="s">
        <v>74</v>
      </c>
      <c r="BH923" t="s">
        <v>74</v>
      </c>
      <c r="BI923">
        <v>17</v>
      </c>
      <c r="BJ923" t="s">
        <v>6342</v>
      </c>
      <c r="BK923" t="s">
        <v>103</v>
      </c>
      <c r="BL923" t="s">
        <v>6342</v>
      </c>
      <c r="BM923" t="s">
        <v>17589</v>
      </c>
      <c r="BN923" t="s">
        <v>74</v>
      </c>
      <c r="BO923" t="s">
        <v>640</v>
      </c>
      <c r="BP923" t="s">
        <v>74</v>
      </c>
      <c r="BQ923" t="s">
        <v>74</v>
      </c>
      <c r="BR923" t="s">
        <v>106</v>
      </c>
      <c r="BS923" t="s">
        <v>17590</v>
      </c>
      <c r="BT923" t="str">
        <f>HYPERLINK("https%3A%2F%2Fwww.webofscience.com%2Fwos%2Fwoscc%2Ffull-record%2FWOS:000755156900002","View Full Record in Web of Science")</f>
        <v>View Full Record in Web of Science</v>
      </c>
    </row>
    <row r="924" spans="1:72" x14ac:dyDescent="0.15">
      <c r="A924" t="s">
        <v>72</v>
      </c>
      <c r="B924" t="s">
        <v>17591</v>
      </c>
      <c r="C924" t="s">
        <v>74</v>
      </c>
      <c r="D924" t="s">
        <v>74</v>
      </c>
      <c r="E924" t="s">
        <v>74</v>
      </c>
      <c r="F924" t="s">
        <v>17592</v>
      </c>
      <c r="G924" t="s">
        <v>74</v>
      </c>
      <c r="H924" t="s">
        <v>74</v>
      </c>
      <c r="I924" t="s">
        <v>17593</v>
      </c>
      <c r="J924" t="s">
        <v>17303</v>
      </c>
      <c r="K924" t="s">
        <v>74</v>
      </c>
      <c r="L924" t="s">
        <v>74</v>
      </c>
      <c r="M924" t="s">
        <v>78</v>
      </c>
      <c r="N924" t="s">
        <v>79</v>
      </c>
      <c r="O924" t="s">
        <v>74</v>
      </c>
      <c r="P924" t="s">
        <v>74</v>
      </c>
      <c r="Q924" t="s">
        <v>74</v>
      </c>
      <c r="R924" t="s">
        <v>74</v>
      </c>
      <c r="S924" t="s">
        <v>74</v>
      </c>
      <c r="T924" t="s">
        <v>17594</v>
      </c>
      <c r="U924" t="s">
        <v>17595</v>
      </c>
      <c r="V924" t="s">
        <v>17596</v>
      </c>
      <c r="W924" t="s">
        <v>17597</v>
      </c>
      <c r="X924" t="s">
        <v>17598</v>
      </c>
      <c r="Y924" t="s">
        <v>17599</v>
      </c>
      <c r="Z924" t="s">
        <v>17600</v>
      </c>
      <c r="AA924" t="s">
        <v>17601</v>
      </c>
      <c r="AB924" t="s">
        <v>17602</v>
      </c>
      <c r="AC924" t="s">
        <v>17603</v>
      </c>
      <c r="AD924" t="s">
        <v>17604</v>
      </c>
      <c r="AE924" t="s">
        <v>17605</v>
      </c>
      <c r="AF924" t="s">
        <v>74</v>
      </c>
      <c r="AG924">
        <v>99</v>
      </c>
      <c r="AH924">
        <v>2</v>
      </c>
      <c r="AI924">
        <v>2</v>
      </c>
      <c r="AJ924">
        <v>1</v>
      </c>
      <c r="AK924">
        <v>4</v>
      </c>
      <c r="AL924" t="s">
        <v>17311</v>
      </c>
      <c r="AM924" t="s">
        <v>506</v>
      </c>
      <c r="AN924" t="s">
        <v>17312</v>
      </c>
      <c r="AO924" t="s">
        <v>17313</v>
      </c>
      <c r="AP924" t="s">
        <v>17314</v>
      </c>
      <c r="AQ924" t="s">
        <v>74</v>
      </c>
      <c r="AR924" t="s">
        <v>17315</v>
      </c>
      <c r="AS924" t="s">
        <v>17316</v>
      </c>
      <c r="AT924" t="s">
        <v>2125</v>
      </c>
      <c r="AU924">
        <v>2021</v>
      </c>
      <c r="AV924">
        <v>57</v>
      </c>
      <c r="AW924">
        <v>10</v>
      </c>
      <c r="AX924" t="s">
        <v>74</v>
      </c>
      <c r="AY924" t="s">
        <v>74</v>
      </c>
      <c r="AZ924" t="s">
        <v>74</v>
      </c>
      <c r="BA924" t="s">
        <v>74</v>
      </c>
      <c r="BB924">
        <v>1322</v>
      </c>
      <c r="BC924">
        <v>1348</v>
      </c>
      <c r="BD924" t="s">
        <v>74</v>
      </c>
      <c r="BE924" t="s">
        <v>17606</v>
      </c>
      <c r="BF924" t="str">
        <f>HYPERLINK("http://dx.doi.org/10.1134/S0001433821100054","http://dx.doi.org/10.1134/S0001433821100054")</f>
        <v>http://dx.doi.org/10.1134/S0001433821100054</v>
      </c>
      <c r="BG924" t="s">
        <v>74</v>
      </c>
      <c r="BH924" t="s">
        <v>74</v>
      </c>
      <c r="BI924">
        <v>27</v>
      </c>
      <c r="BJ924" t="s">
        <v>6342</v>
      </c>
      <c r="BK924" t="s">
        <v>103</v>
      </c>
      <c r="BL924" t="s">
        <v>6342</v>
      </c>
      <c r="BM924" t="s">
        <v>17589</v>
      </c>
      <c r="BN924" t="s">
        <v>74</v>
      </c>
      <c r="BO924" t="s">
        <v>640</v>
      </c>
      <c r="BP924" t="s">
        <v>74</v>
      </c>
      <c r="BQ924" t="s">
        <v>74</v>
      </c>
      <c r="BR924" t="s">
        <v>106</v>
      </c>
      <c r="BS924" t="s">
        <v>17607</v>
      </c>
      <c r="BT924" t="str">
        <f>HYPERLINK("https%3A%2F%2Fwww.webofscience.com%2Fwos%2Fwoscc%2Ffull-record%2FWOS:000755156900006","View Full Record in Web of Science")</f>
        <v>View Full Record in Web of Science</v>
      </c>
    </row>
    <row r="925" spans="1:72" x14ac:dyDescent="0.15">
      <c r="A925" t="s">
        <v>72</v>
      </c>
      <c r="B925" t="s">
        <v>17608</v>
      </c>
      <c r="C925" t="s">
        <v>74</v>
      </c>
      <c r="D925" t="s">
        <v>74</v>
      </c>
      <c r="E925" t="s">
        <v>74</v>
      </c>
      <c r="F925" t="s">
        <v>17609</v>
      </c>
      <c r="G925" t="s">
        <v>74</v>
      </c>
      <c r="H925" t="s">
        <v>74</v>
      </c>
      <c r="I925" t="s">
        <v>17610</v>
      </c>
      <c r="J925" t="s">
        <v>2774</v>
      </c>
      <c r="K925" t="s">
        <v>74</v>
      </c>
      <c r="L925" t="s">
        <v>74</v>
      </c>
      <c r="M925" t="s">
        <v>78</v>
      </c>
      <c r="N925" t="s">
        <v>79</v>
      </c>
      <c r="O925" t="s">
        <v>74</v>
      </c>
      <c r="P925" t="s">
        <v>74</v>
      </c>
      <c r="Q925" t="s">
        <v>74</v>
      </c>
      <c r="R925" t="s">
        <v>74</v>
      </c>
      <c r="S925" t="s">
        <v>74</v>
      </c>
      <c r="T925" t="s">
        <v>17611</v>
      </c>
      <c r="U925" t="s">
        <v>17612</v>
      </c>
      <c r="V925" t="s">
        <v>17613</v>
      </c>
      <c r="W925" t="s">
        <v>17614</v>
      </c>
      <c r="X925" t="s">
        <v>17615</v>
      </c>
      <c r="Y925" t="s">
        <v>17616</v>
      </c>
      <c r="Z925" t="s">
        <v>17617</v>
      </c>
      <c r="AA925" t="s">
        <v>74</v>
      </c>
      <c r="AB925" t="s">
        <v>17618</v>
      </c>
      <c r="AC925" t="s">
        <v>17619</v>
      </c>
      <c r="AD925" t="s">
        <v>17620</v>
      </c>
      <c r="AE925" t="s">
        <v>17621</v>
      </c>
      <c r="AF925" t="s">
        <v>74</v>
      </c>
      <c r="AG925">
        <v>64</v>
      </c>
      <c r="AH925">
        <v>1</v>
      </c>
      <c r="AI925">
        <v>1</v>
      </c>
      <c r="AJ925">
        <v>1</v>
      </c>
      <c r="AK925">
        <v>6</v>
      </c>
      <c r="AL925" t="s">
        <v>2761</v>
      </c>
      <c r="AM925" t="s">
        <v>2762</v>
      </c>
      <c r="AN925" t="s">
        <v>2787</v>
      </c>
      <c r="AO925" t="s">
        <v>2788</v>
      </c>
      <c r="AP925" t="s">
        <v>2789</v>
      </c>
      <c r="AQ925" t="s">
        <v>74</v>
      </c>
      <c r="AR925" t="s">
        <v>2790</v>
      </c>
      <c r="AS925" t="s">
        <v>2791</v>
      </c>
      <c r="AT925" t="s">
        <v>2125</v>
      </c>
      <c r="AU925">
        <v>2021</v>
      </c>
      <c r="AV925">
        <v>34</v>
      </c>
      <c r="AW925">
        <v>24</v>
      </c>
      <c r="AX925" t="s">
        <v>74</v>
      </c>
      <c r="AY925" t="s">
        <v>74</v>
      </c>
      <c r="AZ925" t="s">
        <v>74</v>
      </c>
      <c r="BA925" t="s">
        <v>74</v>
      </c>
      <c r="BB925">
        <v>10007</v>
      </c>
      <c r="BC925">
        <v>10026</v>
      </c>
      <c r="BD925" t="s">
        <v>74</v>
      </c>
      <c r="BE925" t="s">
        <v>17622</v>
      </c>
      <c r="BF925" t="str">
        <f>HYPERLINK("http://dx.doi.org/10.1175/JCLI-D-20-0822.1","http://dx.doi.org/10.1175/JCLI-D-20-0822.1")</f>
        <v>http://dx.doi.org/10.1175/JCLI-D-20-0822.1</v>
      </c>
      <c r="BG925" t="s">
        <v>74</v>
      </c>
      <c r="BH925" t="s">
        <v>74</v>
      </c>
      <c r="BI925">
        <v>20</v>
      </c>
      <c r="BJ925" t="s">
        <v>514</v>
      </c>
      <c r="BK925" t="s">
        <v>103</v>
      </c>
      <c r="BL925" t="s">
        <v>514</v>
      </c>
      <c r="BM925" t="s">
        <v>17623</v>
      </c>
      <c r="BN925" t="s">
        <v>74</v>
      </c>
      <c r="BO925" t="s">
        <v>74</v>
      </c>
      <c r="BP925" t="s">
        <v>74</v>
      </c>
      <c r="BQ925" t="s">
        <v>74</v>
      </c>
      <c r="BR925" t="s">
        <v>106</v>
      </c>
      <c r="BS925" t="s">
        <v>17624</v>
      </c>
      <c r="BT925" t="str">
        <f>HYPERLINK("https%3A%2F%2Fwww.webofscience.com%2Fwos%2Fwoscc%2Ffull-record%2FWOS:000752652100025","View Full Record in Web of Science")</f>
        <v>View Full Record in Web of Science</v>
      </c>
    </row>
    <row r="926" spans="1:72" x14ac:dyDescent="0.15">
      <c r="A926" t="s">
        <v>72</v>
      </c>
      <c r="B926" t="s">
        <v>17625</v>
      </c>
      <c r="C926" t="s">
        <v>74</v>
      </c>
      <c r="D926" t="s">
        <v>74</v>
      </c>
      <c r="E926" t="s">
        <v>74</v>
      </c>
      <c r="F926" t="s">
        <v>17626</v>
      </c>
      <c r="G926" t="s">
        <v>74</v>
      </c>
      <c r="H926" t="s">
        <v>74</v>
      </c>
      <c r="I926" t="s">
        <v>17627</v>
      </c>
      <c r="J926" t="s">
        <v>2748</v>
      </c>
      <c r="K926" t="s">
        <v>74</v>
      </c>
      <c r="L926" t="s">
        <v>74</v>
      </c>
      <c r="M926" t="s">
        <v>78</v>
      </c>
      <c r="N926" t="s">
        <v>79</v>
      </c>
      <c r="O926" t="s">
        <v>74</v>
      </c>
      <c r="P926" t="s">
        <v>74</v>
      </c>
      <c r="Q926" t="s">
        <v>74</v>
      </c>
      <c r="R926" t="s">
        <v>74</v>
      </c>
      <c r="S926" t="s">
        <v>74</v>
      </c>
      <c r="T926" t="s">
        <v>17628</v>
      </c>
      <c r="U926" t="s">
        <v>17629</v>
      </c>
      <c r="V926" t="s">
        <v>17630</v>
      </c>
      <c r="W926" t="s">
        <v>17631</v>
      </c>
      <c r="X926" t="s">
        <v>17632</v>
      </c>
      <c r="Y926" t="s">
        <v>17633</v>
      </c>
      <c r="Z926" t="s">
        <v>17634</v>
      </c>
      <c r="AA926" t="s">
        <v>74</v>
      </c>
      <c r="AB926" t="s">
        <v>17635</v>
      </c>
      <c r="AC926" t="s">
        <v>17636</v>
      </c>
      <c r="AD926" t="s">
        <v>17637</v>
      </c>
      <c r="AE926" t="s">
        <v>17638</v>
      </c>
      <c r="AF926" t="s">
        <v>74</v>
      </c>
      <c r="AG926">
        <v>114</v>
      </c>
      <c r="AH926">
        <v>5</v>
      </c>
      <c r="AI926">
        <v>6</v>
      </c>
      <c r="AJ926">
        <v>1</v>
      </c>
      <c r="AK926">
        <v>7</v>
      </c>
      <c r="AL926" t="s">
        <v>2761</v>
      </c>
      <c r="AM926" t="s">
        <v>2762</v>
      </c>
      <c r="AN926" t="s">
        <v>2787</v>
      </c>
      <c r="AO926" t="s">
        <v>2764</v>
      </c>
      <c r="AP926" t="s">
        <v>2765</v>
      </c>
      <c r="AQ926" t="s">
        <v>74</v>
      </c>
      <c r="AR926" t="s">
        <v>2766</v>
      </c>
      <c r="AS926" t="s">
        <v>2767</v>
      </c>
      <c r="AT926" t="s">
        <v>2125</v>
      </c>
      <c r="AU926">
        <v>2021</v>
      </c>
      <c r="AV926">
        <v>51</v>
      </c>
      <c r="AW926">
        <v>12</v>
      </c>
      <c r="AX926" t="s">
        <v>74</v>
      </c>
      <c r="AY926" t="s">
        <v>74</v>
      </c>
      <c r="AZ926" t="s">
        <v>74</v>
      </c>
      <c r="BA926" t="s">
        <v>74</v>
      </c>
      <c r="BB926">
        <v>3695</v>
      </c>
      <c r="BC926">
        <v>3722</v>
      </c>
      <c r="BD926" t="s">
        <v>74</v>
      </c>
      <c r="BE926" t="s">
        <v>17639</v>
      </c>
      <c r="BF926" t="str">
        <f>HYPERLINK("http://dx.doi.org/10.1175/JPO-D-20-0320.1","http://dx.doi.org/10.1175/JPO-D-20-0320.1")</f>
        <v>http://dx.doi.org/10.1175/JPO-D-20-0320.1</v>
      </c>
      <c r="BG926" t="s">
        <v>74</v>
      </c>
      <c r="BH926" t="s">
        <v>74</v>
      </c>
      <c r="BI926">
        <v>28</v>
      </c>
      <c r="BJ926" t="s">
        <v>1131</v>
      </c>
      <c r="BK926" t="s">
        <v>103</v>
      </c>
      <c r="BL926" t="s">
        <v>1131</v>
      </c>
      <c r="BM926" t="s">
        <v>17640</v>
      </c>
      <c r="BN926" t="s">
        <v>74</v>
      </c>
      <c r="BO926" t="s">
        <v>74</v>
      </c>
      <c r="BP926" t="s">
        <v>74</v>
      </c>
      <c r="BQ926" t="s">
        <v>74</v>
      </c>
      <c r="BR926" t="s">
        <v>106</v>
      </c>
      <c r="BS926" t="s">
        <v>17641</v>
      </c>
      <c r="BT926" t="str">
        <f>HYPERLINK("https%3A%2F%2Fwww.webofscience.com%2Fwos%2Fwoscc%2Ffull-record%2FWOS:000752725600009","View Full Record in Web of Science")</f>
        <v>View Full Record in Web of Science</v>
      </c>
    </row>
    <row r="927" spans="1:72" x14ac:dyDescent="0.15">
      <c r="A927" t="s">
        <v>72</v>
      </c>
      <c r="B927" t="s">
        <v>17642</v>
      </c>
      <c r="C927" t="s">
        <v>74</v>
      </c>
      <c r="D927" t="s">
        <v>74</v>
      </c>
      <c r="E927" t="s">
        <v>74</v>
      </c>
      <c r="F927" t="s">
        <v>17643</v>
      </c>
      <c r="G927" t="s">
        <v>74</v>
      </c>
      <c r="H927" t="s">
        <v>74</v>
      </c>
      <c r="I927" t="s">
        <v>17644</v>
      </c>
      <c r="J927" t="s">
        <v>17645</v>
      </c>
      <c r="K927" t="s">
        <v>74</v>
      </c>
      <c r="L927" t="s">
        <v>74</v>
      </c>
      <c r="M927" t="s">
        <v>8590</v>
      </c>
      <c r="N927" t="s">
        <v>79</v>
      </c>
      <c r="O927" t="s">
        <v>74</v>
      </c>
      <c r="P927" t="s">
        <v>74</v>
      </c>
      <c r="Q927" t="s">
        <v>74</v>
      </c>
      <c r="R927" t="s">
        <v>74</v>
      </c>
      <c r="S927" t="s">
        <v>74</v>
      </c>
      <c r="T927" t="s">
        <v>17646</v>
      </c>
      <c r="U927" t="s">
        <v>17647</v>
      </c>
      <c r="V927" t="s">
        <v>17648</v>
      </c>
      <c r="W927" t="s">
        <v>17649</v>
      </c>
      <c r="X927" t="s">
        <v>17650</v>
      </c>
      <c r="Y927" t="s">
        <v>17651</v>
      </c>
      <c r="Z927" t="s">
        <v>17652</v>
      </c>
      <c r="AA927" t="s">
        <v>17653</v>
      </c>
      <c r="AB927" t="s">
        <v>74</v>
      </c>
      <c r="AC927" t="s">
        <v>74</v>
      </c>
      <c r="AD927" t="s">
        <v>74</v>
      </c>
      <c r="AE927" t="s">
        <v>74</v>
      </c>
      <c r="AF927" t="s">
        <v>74</v>
      </c>
      <c r="AG927">
        <v>16</v>
      </c>
      <c r="AH927">
        <v>1</v>
      </c>
      <c r="AI927">
        <v>1</v>
      </c>
      <c r="AJ927">
        <v>0</v>
      </c>
      <c r="AK927">
        <v>2</v>
      </c>
      <c r="AL927" t="s">
        <v>17654</v>
      </c>
      <c r="AM927" t="s">
        <v>9248</v>
      </c>
      <c r="AN927" t="s">
        <v>17655</v>
      </c>
      <c r="AO927" t="s">
        <v>17656</v>
      </c>
      <c r="AP927" t="s">
        <v>74</v>
      </c>
      <c r="AQ927" t="s">
        <v>74</v>
      </c>
      <c r="AR927" t="s">
        <v>17657</v>
      </c>
      <c r="AS927" t="s">
        <v>17658</v>
      </c>
      <c r="AT927" t="s">
        <v>2125</v>
      </c>
      <c r="AU927">
        <v>2021</v>
      </c>
      <c r="AV927">
        <v>100</v>
      </c>
      <c r="AW927">
        <v>12</v>
      </c>
      <c r="AX927" t="s">
        <v>74</v>
      </c>
      <c r="AY927" t="s">
        <v>74</v>
      </c>
      <c r="AZ927" t="s">
        <v>74</v>
      </c>
      <c r="BA927" t="s">
        <v>74</v>
      </c>
      <c r="BB927">
        <v>1422</v>
      </c>
      <c r="BC927">
        <v>1438</v>
      </c>
      <c r="BD927" t="s">
        <v>74</v>
      </c>
      <c r="BE927" t="s">
        <v>17659</v>
      </c>
      <c r="BF927" t="str">
        <f>HYPERLINK("http://dx.doi.org/10.31857/S004451342110007X","http://dx.doi.org/10.31857/S004451342110007X")</f>
        <v>http://dx.doi.org/10.31857/S004451342110007X</v>
      </c>
      <c r="BG927" t="s">
        <v>74</v>
      </c>
      <c r="BH927" t="s">
        <v>74</v>
      </c>
      <c r="BI927">
        <v>17</v>
      </c>
      <c r="BJ927" t="s">
        <v>3187</v>
      </c>
      <c r="BK927" t="s">
        <v>103</v>
      </c>
      <c r="BL927" t="s">
        <v>3187</v>
      </c>
      <c r="BM927" t="s">
        <v>17660</v>
      </c>
      <c r="BN927" t="s">
        <v>74</v>
      </c>
      <c r="BO927" t="s">
        <v>74</v>
      </c>
      <c r="BP927" t="s">
        <v>74</v>
      </c>
      <c r="BQ927" t="s">
        <v>74</v>
      </c>
      <c r="BR927" t="s">
        <v>106</v>
      </c>
      <c r="BS927" t="s">
        <v>17661</v>
      </c>
      <c r="BT927" t="str">
        <f>HYPERLINK("https%3A%2F%2Fwww.webofscience.com%2Fwos%2Fwoscc%2Ffull-record%2FWOS:000748993700008","View Full Record in Web of Science")</f>
        <v>View Full Record in Web of Science</v>
      </c>
    </row>
    <row r="928" spans="1:72" x14ac:dyDescent="0.15">
      <c r="A928" t="s">
        <v>72</v>
      </c>
      <c r="B928" t="s">
        <v>17662</v>
      </c>
      <c r="C928" t="s">
        <v>74</v>
      </c>
      <c r="D928" t="s">
        <v>74</v>
      </c>
      <c r="E928" t="s">
        <v>74</v>
      </c>
      <c r="F928" t="s">
        <v>17663</v>
      </c>
      <c r="G928" t="s">
        <v>74</v>
      </c>
      <c r="H928" t="s">
        <v>74</v>
      </c>
      <c r="I928" t="s">
        <v>17664</v>
      </c>
      <c r="J928" t="s">
        <v>17665</v>
      </c>
      <c r="K928" t="s">
        <v>74</v>
      </c>
      <c r="L928" t="s">
        <v>74</v>
      </c>
      <c r="M928" t="s">
        <v>11161</v>
      </c>
      <c r="N928" t="s">
        <v>79</v>
      </c>
      <c r="O928" t="s">
        <v>74</v>
      </c>
      <c r="P928" t="s">
        <v>74</v>
      </c>
      <c r="Q928" t="s">
        <v>74</v>
      </c>
      <c r="R928" t="s">
        <v>74</v>
      </c>
      <c r="S928" t="s">
        <v>74</v>
      </c>
      <c r="T928" t="s">
        <v>17666</v>
      </c>
      <c r="U928" t="s">
        <v>17667</v>
      </c>
      <c r="V928" t="s">
        <v>17668</v>
      </c>
      <c r="W928" t="s">
        <v>17669</v>
      </c>
      <c r="X928" t="s">
        <v>17670</v>
      </c>
      <c r="Y928" t="s">
        <v>17671</v>
      </c>
      <c r="Z928" t="s">
        <v>17672</v>
      </c>
      <c r="AA928" t="s">
        <v>74</v>
      </c>
      <c r="AB928" t="s">
        <v>74</v>
      </c>
      <c r="AC928" t="s">
        <v>74</v>
      </c>
      <c r="AD928" t="s">
        <v>74</v>
      </c>
      <c r="AE928" t="s">
        <v>74</v>
      </c>
      <c r="AF928" t="s">
        <v>74</v>
      </c>
      <c r="AG928">
        <v>25</v>
      </c>
      <c r="AH928">
        <v>1</v>
      </c>
      <c r="AI928">
        <v>1</v>
      </c>
      <c r="AJ928">
        <v>2</v>
      </c>
      <c r="AK928">
        <v>4</v>
      </c>
      <c r="AL928" t="s">
        <v>17673</v>
      </c>
      <c r="AM928" t="s">
        <v>17674</v>
      </c>
      <c r="AN928" t="s">
        <v>17675</v>
      </c>
      <c r="AO928" t="s">
        <v>17676</v>
      </c>
      <c r="AP928" t="s">
        <v>74</v>
      </c>
      <c r="AQ928" t="s">
        <v>74</v>
      </c>
      <c r="AR928" t="s">
        <v>17665</v>
      </c>
      <c r="AS928" t="s">
        <v>17677</v>
      </c>
      <c r="AT928" t="s">
        <v>2125</v>
      </c>
      <c r="AU928">
        <v>2021</v>
      </c>
      <c r="AV928">
        <v>85</v>
      </c>
      <c r="AW928">
        <v>2</v>
      </c>
      <c r="AX928" t="s">
        <v>74</v>
      </c>
      <c r="AY928" t="s">
        <v>74</v>
      </c>
      <c r="AZ928" t="s">
        <v>74</v>
      </c>
      <c r="BA928" t="s">
        <v>74</v>
      </c>
      <c r="BB928">
        <v>132</v>
      </c>
      <c r="BC928">
        <v>145</v>
      </c>
      <c r="BD928" t="s">
        <v>74</v>
      </c>
      <c r="BE928" t="s">
        <v>74</v>
      </c>
      <c r="BF928" t="s">
        <v>74</v>
      </c>
      <c r="BG928" t="s">
        <v>74</v>
      </c>
      <c r="BH928" t="s">
        <v>74</v>
      </c>
      <c r="BI928">
        <v>14</v>
      </c>
      <c r="BJ928" t="s">
        <v>17678</v>
      </c>
      <c r="BK928" t="s">
        <v>103</v>
      </c>
      <c r="BL928" t="s">
        <v>17678</v>
      </c>
      <c r="BM928" t="s">
        <v>17679</v>
      </c>
      <c r="BN928" t="s">
        <v>74</v>
      </c>
      <c r="BO928" t="s">
        <v>445</v>
      </c>
      <c r="BP928" t="s">
        <v>74</v>
      </c>
      <c r="BQ928" t="s">
        <v>74</v>
      </c>
      <c r="BR928" t="s">
        <v>106</v>
      </c>
      <c r="BS928" t="s">
        <v>17680</v>
      </c>
      <c r="BT928" t="str">
        <f>HYPERLINK("https%3A%2F%2Fwww.webofscience.com%2Fwos%2Fwoscc%2Ffull-record%2FWOS:000752049400002","View Full Record in Web of Science")</f>
        <v>View Full Record in Web of Science</v>
      </c>
    </row>
    <row r="929" spans="1:72" x14ac:dyDescent="0.15">
      <c r="A929" t="s">
        <v>72</v>
      </c>
      <c r="B929" t="s">
        <v>17681</v>
      </c>
      <c r="C929" t="s">
        <v>74</v>
      </c>
      <c r="D929" t="s">
        <v>74</v>
      </c>
      <c r="E929" t="s">
        <v>74</v>
      </c>
      <c r="F929" t="s">
        <v>17682</v>
      </c>
      <c r="G929" t="s">
        <v>74</v>
      </c>
      <c r="H929" t="s">
        <v>74</v>
      </c>
      <c r="I929" t="s">
        <v>17683</v>
      </c>
      <c r="J929" t="s">
        <v>17684</v>
      </c>
      <c r="K929" t="s">
        <v>74</v>
      </c>
      <c r="L929" t="s">
        <v>74</v>
      </c>
      <c r="M929" t="s">
        <v>78</v>
      </c>
      <c r="N929" t="s">
        <v>779</v>
      </c>
      <c r="O929" t="s">
        <v>74</v>
      </c>
      <c r="P929" t="s">
        <v>74</v>
      </c>
      <c r="Q929" t="s">
        <v>74</v>
      </c>
      <c r="R929" t="s">
        <v>74</v>
      </c>
      <c r="S929" t="s">
        <v>74</v>
      </c>
      <c r="T929" t="s">
        <v>74</v>
      </c>
      <c r="U929" t="s">
        <v>74</v>
      </c>
      <c r="V929" t="s">
        <v>74</v>
      </c>
      <c r="W929" t="s">
        <v>17685</v>
      </c>
      <c r="X929" t="s">
        <v>17686</v>
      </c>
      <c r="Y929" t="s">
        <v>17687</v>
      </c>
      <c r="Z929" t="s">
        <v>74</v>
      </c>
      <c r="AA929" t="s">
        <v>74</v>
      </c>
      <c r="AB929" t="s">
        <v>74</v>
      </c>
      <c r="AC929" t="s">
        <v>74</v>
      </c>
      <c r="AD929" t="s">
        <v>74</v>
      </c>
      <c r="AE929" t="s">
        <v>74</v>
      </c>
      <c r="AF929" t="s">
        <v>74</v>
      </c>
      <c r="AG929">
        <v>0</v>
      </c>
      <c r="AH929">
        <v>0</v>
      </c>
      <c r="AI929">
        <v>0</v>
      </c>
      <c r="AJ929">
        <v>0</v>
      </c>
      <c r="AK929">
        <v>1</v>
      </c>
      <c r="AL929" t="s">
        <v>1074</v>
      </c>
      <c r="AM929" t="s">
        <v>506</v>
      </c>
      <c r="AN929" t="s">
        <v>1075</v>
      </c>
      <c r="AO929" t="s">
        <v>17688</v>
      </c>
      <c r="AP929" t="s">
        <v>17689</v>
      </c>
      <c r="AQ929" t="s">
        <v>74</v>
      </c>
      <c r="AR929" t="s">
        <v>17690</v>
      </c>
      <c r="AS929" t="s">
        <v>17691</v>
      </c>
      <c r="AT929" t="s">
        <v>2125</v>
      </c>
      <c r="AU929">
        <v>2021</v>
      </c>
      <c r="AV929">
        <v>325</v>
      </c>
      <c r="AW929">
        <v>6</v>
      </c>
      <c r="AX929" t="s">
        <v>74</v>
      </c>
      <c r="AY929" t="s">
        <v>74</v>
      </c>
      <c r="AZ929" t="s">
        <v>74</v>
      </c>
      <c r="BA929" t="s">
        <v>74</v>
      </c>
      <c r="BB929">
        <v>72</v>
      </c>
      <c r="BC929">
        <v>72</v>
      </c>
      <c r="BD929" t="s">
        <v>74</v>
      </c>
      <c r="BE929" t="s">
        <v>74</v>
      </c>
      <c r="BF929" t="s">
        <v>74</v>
      </c>
      <c r="BG929" t="s">
        <v>74</v>
      </c>
      <c r="BH929" t="s">
        <v>74</v>
      </c>
      <c r="BI929">
        <v>1</v>
      </c>
      <c r="BJ929" t="s">
        <v>289</v>
      </c>
      <c r="BK929" t="s">
        <v>103</v>
      </c>
      <c r="BL929" t="s">
        <v>290</v>
      </c>
      <c r="BM929" t="s">
        <v>17692</v>
      </c>
      <c r="BN929" t="s">
        <v>74</v>
      </c>
      <c r="BO929" t="s">
        <v>74</v>
      </c>
      <c r="BP929" t="s">
        <v>74</v>
      </c>
      <c r="BQ929" t="s">
        <v>74</v>
      </c>
      <c r="BR929" t="s">
        <v>106</v>
      </c>
      <c r="BS929" t="s">
        <v>17693</v>
      </c>
      <c r="BT929" t="str">
        <f>HYPERLINK("https%3A%2F%2Fwww.webofscience.com%2Fwos%2Fwoscc%2Ffull-record%2FWOS:000746895900042","View Full Record in Web of Science")</f>
        <v>View Full Record in Web of Science</v>
      </c>
    </row>
    <row r="930" spans="1:72" x14ac:dyDescent="0.15">
      <c r="A930" t="s">
        <v>72</v>
      </c>
      <c r="B930" t="s">
        <v>17694</v>
      </c>
      <c r="C930" t="s">
        <v>74</v>
      </c>
      <c r="D930" t="s">
        <v>74</v>
      </c>
      <c r="E930" t="s">
        <v>74</v>
      </c>
      <c r="F930" t="s">
        <v>17695</v>
      </c>
      <c r="G930" t="s">
        <v>74</v>
      </c>
      <c r="H930" t="s">
        <v>74</v>
      </c>
      <c r="I930" t="s">
        <v>17696</v>
      </c>
      <c r="J930" t="s">
        <v>17697</v>
      </c>
      <c r="K930" t="s">
        <v>74</v>
      </c>
      <c r="L930" t="s">
        <v>74</v>
      </c>
      <c r="M930" t="s">
        <v>78</v>
      </c>
      <c r="N930" t="s">
        <v>79</v>
      </c>
      <c r="O930" t="s">
        <v>74</v>
      </c>
      <c r="P930" t="s">
        <v>74</v>
      </c>
      <c r="Q930" t="s">
        <v>74</v>
      </c>
      <c r="R930" t="s">
        <v>74</v>
      </c>
      <c r="S930" t="s">
        <v>74</v>
      </c>
      <c r="T930" t="s">
        <v>17698</v>
      </c>
      <c r="U930" t="s">
        <v>17699</v>
      </c>
      <c r="V930" t="s">
        <v>17700</v>
      </c>
      <c r="W930" t="s">
        <v>17701</v>
      </c>
      <c r="X930" t="s">
        <v>17702</v>
      </c>
      <c r="Y930" t="s">
        <v>17703</v>
      </c>
      <c r="Z930" t="s">
        <v>17704</v>
      </c>
      <c r="AA930" t="s">
        <v>17705</v>
      </c>
      <c r="AB930" t="s">
        <v>17706</v>
      </c>
      <c r="AC930" t="s">
        <v>17707</v>
      </c>
      <c r="AD930" t="s">
        <v>17708</v>
      </c>
      <c r="AE930" t="s">
        <v>17709</v>
      </c>
      <c r="AF930" t="s">
        <v>74</v>
      </c>
      <c r="AG930">
        <v>269</v>
      </c>
      <c r="AH930">
        <v>60</v>
      </c>
      <c r="AI930">
        <v>68</v>
      </c>
      <c r="AJ930">
        <v>31</v>
      </c>
      <c r="AK930">
        <v>107</v>
      </c>
      <c r="AL930" t="s">
        <v>17710</v>
      </c>
      <c r="AM930" t="s">
        <v>2712</v>
      </c>
      <c r="AN930" t="s">
        <v>17711</v>
      </c>
      <c r="AO930" t="s">
        <v>17712</v>
      </c>
      <c r="AP930" t="s">
        <v>74</v>
      </c>
      <c r="AQ930" t="s">
        <v>74</v>
      </c>
      <c r="AR930" t="s">
        <v>17697</v>
      </c>
      <c r="AS930" t="s">
        <v>17713</v>
      </c>
      <c r="AT930" t="s">
        <v>2125</v>
      </c>
      <c r="AU930">
        <v>2021</v>
      </c>
      <c r="AV930">
        <v>47</v>
      </c>
      <c r="AW930" t="s">
        <v>74</v>
      </c>
      <c r="AX930" t="s">
        <v>74</v>
      </c>
      <c r="AY930" t="s">
        <v>74</v>
      </c>
      <c r="AZ930" t="s">
        <v>74</v>
      </c>
      <c r="BA930" t="s">
        <v>74</v>
      </c>
      <c r="BB930">
        <v>178</v>
      </c>
      <c r="BC930">
        <v>374</v>
      </c>
      <c r="BD930" t="s">
        <v>74</v>
      </c>
      <c r="BE930" t="s">
        <v>17714</v>
      </c>
      <c r="BF930" t="str">
        <f>HYPERLINK("http://dx.doi.org/10.3767/persoonia.2021.47.06","http://dx.doi.org/10.3767/persoonia.2021.47.06")</f>
        <v>http://dx.doi.org/10.3767/persoonia.2021.47.06</v>
      </c>
      <c r="BG930" t="s">
        <v>74</v>
      </c>
      <c r="BH930" t="s">
        <v>74</v>
      </c>
      <c r="BI930">
        <v>197</v>
      </c>
      <c r="BJ930" t="s">
        <v>17715</v>
      </c>
      <c r="BK930" t="s">
        <v>103</v>
      </c>
      <c r="BL930" t="s">
        <v>17715</v>
      </c>
      <c r="BM930" t="s">
        <v>17716</v>
      </c>
      <c r="BN930">
        <v>37693795</v>
      </c>
      <c r="BO930" t="s">
        <v>2600</v>
      </c>
      <c r="BP930" t="s">
        <v>1286</v>
      </c>
      <c r="BQ930" t="s">
        <v>1287</v>
      </c>
      <c r="BR930" t="s">
        <v>106</v>
      </c>
      <c r="BS930" t="s">
        <v>17717</v>
      </c>
      <c r="BT930" t="str">
        <f>HYPERLINK("https%3A%2F%2Fwww.webofscience.com%2Fwos%2Fwoscc%2Ffull-record%2FWOS:000747494100001","View Full Record in Web of Science")</f>
        <v>View Full Record in Web of Science</v>
      </c>
    </row>
    <row r="931" spans="1:72" x14ac:dyDescent="0.15">
      <c r="A931" t="s">
        <v>72</v>
      </c>
      <c r="B931" t="s">
        <v>17718</v>
      </c>
      <c r="C931" t="s">
        <v>74</v>
      </c>
      <c r="D931" t="s">
        <v>74</v>
      </c>
      <c r="E931" t="s">
        <v>74</v>
      </c>
      <c r="F931" t="s">
        <v>17719</v>
      </c>
      <c r="G931" t="s">
        <v>74</v>
      </c>
      <c r="H931" t="s">
        <v>74</v>
      </c>
      <c r="I931" t="s">
        <v>17720</v>
      </c>
      <c r="J931" t="s">
        <v>17721</v>
      </c>
      <c r="K931" t="s">
        <v>74</v>
      </c>
      <c r="L931" t="s">
        <v>74</v>
      </c>
      <c r="M931" t="s">
        <v>78</v>
      </c>
      <c r="N931" t="s">
        <v>79</v>
      </c>
      <c r="O931" t="s">
        <v>74</v>
      </c>
      <c r="P931" t="s">
        <v>74</v>
      </c>
      <c r="Q931" t="s">
        <v>74</v>
      </c>
      <c r="R931" t="s">
        <v>74</v>
      </c>
      <c r="S931" t="s">
        <v>74</v>
      </c>
      <c r="T931" t="s">
        <v>74</v>
      </c>
      <c r="U931" t="s">
        <v>17722</v>
      </c>
      <c r="V931" t="s">
        <v>17723</v>
      </c>
      <c r="W931" t="s">
        <v>17724</v>
      </c>
      <c r="X931" t="s">
        <v>17725</v>
      </c>
      <c r="Y931" t="s">
        <v>17726</v>
      </c>
      <c r="Z931" t="s">
        <v>17727</v>
      </c>
      <c r="AA931" t="s">
        <v>74</v>
      </c>
      <c r="AB931" t="s">
        <v>74</v>
      </c>
      <c r="AC931" t="s">
        <v>74</v>
      </c>
      <c r="AD931" t="s">
        <v>74</v>
      </c>
      <c r="AE931" t="s">
        <v>74</v>
      </c>
      <c r="AF931" t="s">
        <v>74</v>
      </c>
      <c r="AG931">
        <v>23</v>
      </c>
      <c r="AH931">
        <v>0</v>
      </c>
      <c r="AI931">
        <v>0</v>
      </c>
      <c r="AJ931">
        <v>1</v>
      </c>
      <c r="AK931">
        <v>2</v>
      </c>
      <c r="AL931" t="s">
        <v>17311</v>
      </c>
      <c r="AM931" t="s">
        <v>506</v>
      </c>
      <c r="AN931" t="s">
        <v>17312</v>
      </c>
      <c r="AO931" t="s">
        <v>17728</v>
      </c>
      <c r="AP931" t="s">
        <v>17729</v>
      </c>
      <c r="AQ931" t="s">
        <v>74</v>
      </c>
      <c r="AR931" t="s">
        <v>17730</v>
      </c>
      <c r="AS931" t="s">
        <v>17731</v>
      </c>
      <c r="AT931" t="s">
        <v>2125</v>
      </c>
      <c r="AU931">
        <v>2021</v>
      </c>
      <c r="AV931">
        <v>61</v>
      </c>
      <c r="AW931">
        <v>8</v>
      </c>
      <c r="AX931" t="s">
        <v>74</v>
      </c>
      <c r="AY931" t="s">
        <v>74</v>
      </c>
      <c r="AZ931" t="s">
        <v>74</v>
      </c>
      <c r="BA931" t="s">
        <v>74</v>
      </c>
      <c r="BB931">
        <v>1216</v>
      </c>
      <c r="BC931">
        <v>1220</v>
      </c>
      <c r="BD931" t="s">
        <v>74</v>
      </c>
      <c r="BE931" t="s">
        <v>17732</v>
      </c>
      <c r="BF931" t="str">
        <f>HYPERLINK("http://dx.doi.org/10.1134/S0016793221080132","http://dx.doi.org/10.1134/S0016793221080132")</f>
        <v>http://dx.doi.org/10.1134/S0016793221080132</v>
      </c>
      <c r="BG931" t="s">
        <v>74</v>
      </c>
      <c r="BH931" t="s">
        <v>74</v>
      </c>
      <c r="BI931">
        <v>5</v>
      </c>
      <c r="BJ931" t="s">
        <v>1014</v>
      </c>
      <c r="BK931" t="s">
        <v>103</v>
      </c>
      <c r="BL931" t="s">
        <v>1014</v>
      </c>
      <c r="BM931" t="s">
        <v>17733</v>
      </c>
      <c r="BN931" t="s">
        <v>74</v>
      </c>
      <c r="BO931" t="s">
        <v>74</v>
      </c>
      <c r="BP931" t="s">
        <v>74</v>
      </c>
      <c r="BQ931" t="s">
        <v>74</v>
      </c>
      <c r="BR931" t="s">
        <v>106</v>
      </c>
      <c r="BS931" t="s">
        <v>17734</v>
      </c>
      <c r="BT931" t="str">
        <f>HYPERLINK("https%3A%2F%2Fwww.webofscience.com%2Fwos%2Fwoscc%2Ffull-record%2FWOS:000745023800017","View Full Record in Web of Science")</f>
        <v>View Full Record in Web of Science</v>
      </c>
    </row>
    <row r="932" spans="1:72" x14ac:dyDescent="0.15">
      <c r="A932" t="s">
        <v>72</v>
      </c>
      <c r="B932" t="s">
        <v>17735</v>
      </c>
      <c r="C932" t="s">
        <v>74</v>
      </c>
      <c r="D932" t="s">
        <v>74</v>
      </c>
      <c r="E932" t="s">
        <v>74</v>
      </c>
      <c r="F932" t="s">
        <v>17736</v>
      </c>
      <c r="G932" t="s">
        <v>74</v>
      </c>
      <c r="H932" t="s">
        <v>74</v>
      </c>
      <c r="I932" t="s">
        <v>17737</v>
      </c>
      <c r="J932" t="s">
        <v>17738</v>
      </c>
      <c r="K932" t="s">
        <v>74</v>
      </c>
      <c r="L932" t="s">
        <v>74</v>
      </c>
      <c r="M932" t="s">
        <v>78</v>
      </c>
      <c r="N932" t="s">
        <v>932</v>
      </c>
      <c r="O932" t="s">
        <v>74</v>
      </c>
      <c r="P932" t="s">
        <v>74</v>
      </c>
      <c r="Q932" t="s">
        <v>74</v>
      </c>
      <c r="R932" t="s">
        <v>74</v>
      </c>
      <c r="S932" t="s">
        <v>74</v>
      </c>
      <c r="T932" t="s">
        <v>74</v>
      </c>
      <c r="U932" t="s">
        <v>74</v>
      </c>
      <c r="V932" t="s">
        <v>74</v>
      </c>
      <c r="W932" t="s">
        <v>17739</v>
      </c>
      <c r="X932" t="s">
        <v>17740</v>
      </c>
      <c r="Y932" t="s">
        <v>17741</v>
      </c>
      <c r="Z932" t="s">
        <v>17742</v>
      </c>
      <c r="AA932" t="s">
        <v>17743</v>
      </c>
      <c r="AB932" t="s">
        <v>17744</v>
      </c>
      <c r="AC932" t="s">
        <v>74</v>
      </c>
      <c r="AD932" t="s">
        <v>74</v>
      </c>
      <c r="AE932" t="s">
        <v>74</v>
      </c>
      <c r="AF932" t="s">
        <v>74</v>
      </c>
      <c r="AG932">
        <v>1</v>
      </c>
      <c r="AH932">
        <v>0</v>
      </c>
      <c r="AI932">
        <v>0</v>
      </c>
      <c r="AJ932">
        <v>0</v>
      </c>
      <c r="AK932">
        <v>8</v>
      </c>
      <c r="AL932" t="s">
        <v>1603</v>
      </c>
      <c r="AM932" t="s">
        <v>93</v>
      </c>
      <c r="AN932" t="s">
        <v>1604</v>
      </c>
      <c r="AO932" t="s">
        <v>17745</v>
      </c>
      <c r="AP932" t="s">
        <v>17746</v>
      </c>
      <c r="AQ932" t="s">
        <v>74</v>
      </c>
      <c r="AR932" t="s">
        <v>17747</v>
      </c>
      <c r="AS932" t="s">
        <v>17748</v>
      </c>
      <c r="AT932" t="s">
        <v>2125</v>
      </c>
      <c r="AU932">
        <v>2021</v>
      </c>
      <c r="AV932">
        <v>41</v>
      </c>
      <c r="AW932">
        <v>4</v>
      </c>
      <c r="AX932" t="s">
        <v>74</v>
      </c>
      <c r="AY932" t="s">
        <v>74</v>
      </c>
      <c r="AZ932" t="s">
        <v>74</v>
      </c>
      <c r="BA932" t="s">
        <v>74</v>
      </c>
      <c r="BB932" t="s">
        <v>74</v>
      </c>
      <c r="BC932" t="s">
        <v>74</v>
      </c>
      <c r="BD932" t="s">
        <v>74</v>
      </c>
      <c r="BE932" t="s">
        <v>74</v>
      </c>
      <c r="BF932" t="s">
        <v>74</v>
      </c>
      <c r="BG932" t="s">
        <v>74</v>
      </c>
      <c r="BH932" t="s">
        <v>74</v>
      </c>
      <c r="BI932">
        <v>1</v>
      </c>
      <c r="BJ932" t="s">
        <v>9039</v>
      </c>
      <c r="BK932" t="s">
        <v>103</v>
      </c>
      <c r="BL932" t="s">
        <v>9039</v>
      </c>
      <c r="BM932" t="s">
        <v>17749</v>
      </c>
      <c r="BN932" t="s">
        <v>74</v>
      </c>
      <c r="BO932" t="s">
        <v>74</v>
      </c>
      <c r="BP932" t="s">
        <v>74</v>
      </c>
      <c r="BQ932" t="s">
        <v>74</v>
      </c>
      <c r="BR932" t="s">
        <v>106</v>
      </c>
      <c r="BS932" t="s">
        <v>17750</v>
      </c>
      <c r="BT932" t="str">
        <f>HYPERLINK("https%3A%2F%2Fwww.webofscience.com%2Fwos%2Fwoscc%2Ffull-record%2FWOS:000744568200016","View Full Record in Web of Science")</f>
        <v>View Full Record in Web of Science</v>
      </c>
    </row>
    <row r="933" spans="1:72" x14ac:dyDescent="0.15">
      <c r="A933" t="s">
        <v>72</v>
      </c>
      <c r="B933" t="s">
        <v>17751</v>
      </c>
      <c r="C933" t="s">
        <v>74</v>
      </c>
      <c r="D933" t="s">
        <v>74</v>
      </c>
      <c r="E933" t="s">
        <v>74</v>
      </c>
      <c r="F933" t="s">
        <v>17752</v>
      </c>
      <c r="G933" t="s">
        <v>74</v>
      </c>
      <c r="H933" t="s">
        <v>74</v>
      </c>
      <c r="I933" t="s">
        <v>17753</v>
      </c>
      <c r="J933" t="s">
        <v>17381</v>
      </c>
      <c r="K933" t="s">
        <v>74</v>
      </c>
      <c r="L933" t="s">
        <v>74</v>
      </c>
      <c r="M933" t="s">
        <v>78</v>
      </c>
      <c r="N933" t="s">
        <v>779</v>
      </c>
      <c r="O933" t="s">
        <v>74</v>
      </c>
      <c r="P933" t="s">
        <v>74</v>
      </c>
      <c r="Q933" t="s">
        <v>74</v>
      </c>
      <c r="R933" t="s">
        <v>74</v>
      </c>
      <c r="S933" t="s">
        <v>74</v>
      </c>
      <c r="T933" t="s">
        <v>74</v>
      </c>
      <c r="U933" t="s">
        <v>74</v>
      </c>
      <c r="V933" t="s">
        <v>74</v>
      </c>
      <c r="W933" t="s">
        <v>17754</v>
      </c>
      <c r="X933" t="s">
        <v>17755</v>
      </c>
      <c r="Y933" t="s">
        <v>17756</v>
      </c>
      <c r="Z933" t="s">
        <v>17757</v>
      </c>
      <c r="AA933" t="s">
        <v>74</v>
      </c>
      <c r="AB933" t="s">
        <v>17758</v>
      </c>
      <c r="AC933" t="s">
        <v>17759</v>
      </c>
      <c r="AD933" t="s">
        <v>17760</v>
      </c>
      <c r="AE933" t="s">
        <v>17761</v>
      </c>
      <c r="AF933" t="s">
        <v>74</v>
      </c>
      <c r="AG933">
        <v>13</v>
      </c>
      <c r="AH933">
        <v>2</v>
      </c>
      <c r="AI933">
        <v>2</v>
      </c>
      <c r="AJ933">
        <v>0</v>
      </c>
      <c r="AK933">
        <v>2</v>
      </c>
      <c r="AL933" t="s">
        <v>17391</v>
      </c>
      <c r="AM933" t="s">
        <v>17392</v>
      </c>
      <c r="AN933" t="s">
        <v>17393</v>
      </c>
      <c r="AO933" t="s">
        <v>17394</v>
      </c>
      <c r="AP933" t="s">
        <v>74</v>
      </c>
      <c r="AQ933" t="s">
        <v>74</v>
      </c>
      <c r="AR933" t="s">
        <v>17381</v>
      </c>
      <c r="AS933" t="s">
        <v>1131</v>
      </c>
      <c r="AT933" t="s">
        <v>2125</v>
      </c>
      <c r="AU933">
        <v>2021</v>
      </c>
      <c r="AV933">
        <v>34</v>
      </c>
      <c r="AW933">
        <v>4</v>
      </c>
      <c r="AX933" t="s">
        <v>74</v>
      </c>
      <c r="AY933" t="s">
        <v>17374</v>
      </c>
      <c r="AZ933" t="s">
        <v>74</v>
      </c>
      <c r="BA933" t="s">
        <v>74</v>
      </c>
      <c r="BB933">
        <v>36</v>
      </c>
      <c r="BC933" t="s">
        <v>5868</v>
      </c>
      <c r="BD933" t="s">
        <v>74</v>
      </c>
      <c r="BE933" t="s">
        <v>17762</v>
      </c>
      <c r="BF933" t="str">
        <f>HYPERLINK("http://dx.doi.org/10.5670/oceanog.2021.supplement.02-16","http://dx.doi.org/10.5670/oceanog.2021.supplement.02-16")</f>
        <v>http://dx.doi.org/10.5670/oceanog.2021.supplement.02-16</v>
      </c>
      <c r="BG933" t="s">
        <v>74</v>
      </c>
      <c r="BH933" t="s">
        <v>74</v>
      </c>
      <c r="BI933">
        <v>9</v>
      </c>
      <c r="BJ933" t="s">
        <v>1131</v>
      </c>
      <c r="BK933" t="s">
        <v>103</v>
      </c>
      <c r="BL933" t="s">
        <v>1131</v>
      </c>
      <c r="BM933" t="s">
        <v>17763</v>
      </c>
      <c r="BN933" t="s">
        <v>74</v>
      </c>
      <c r="BO933" t="s">
        <v>445</v>
      </c>
      <c r="BP933" t="s">
        <v>74</v>
      </c>
      <c r="BQ933" t="s">
        <v>74</v>
      </c>
      <c r="BR933" t="s">
        <v>106</v>
      </c>
      <c r="BS933" t="s">
        <v>17764</v>
      </c>
      <c r="BT933" t="str">
        <f>HYPERLINK("https%3A%2F%2Fwww.webofscience.com%2Fwos%2Fwoscc%2Ffull-record%2FWOS:000742674800011","View Full Record in Web of Science")</f>
        <v>View Full Record in Web of Science</v>
      </c>
    </row>
    <row r="934" spans="1:72" x14ac:dyDescent="0.15">
      <c r="A934" t="s">
        <v>72</v>
      </c>
      <c r="B934" t="s">
        <v>17765</v>
      </c>
      <c r="C934" t="s">
        <v>74</v>
      </c>
      <c r="D934" t="s">
        <v>74</v>
      </c>
      <c r="E934" t="s">
        <v>74</v>
      </c>
      <c r="F934" t="s">
        <v>17766</v>
      </c>
      <c r="G934" t="s">
        <v>74</v>
      </c>
      <c r="H934" t="s">
        <v>74</v>
      </c>
      <c r="I934" t="s">
        <v>17767</v>
      </c>
      <c r="J934" t="s">
        <v>2724</v>
      </c>
      <c r="K934" t="s">
        <v>74</v>
      </c>
      <c r="L934" t="s">
        <v>74</v>
      </c>
      <c r="M934" t="s">
        <v>78</v>
      </c>
      <c r="N934" t="s">
        <v>79</v>
      </c>
      <c r="O934" t="s">
        <v>74</v>
      </c>
      <c r="P934" t="s">
        <v>74</v>
      </c>
      <c r="Q934" t="s">
        <v>74</v>
      </c>
      <c r="R934" t="s">
        <v>74</v>
      </c>
      <c r="S934" t="s">
        <v>74</v>
      </c>
      <c r="T934" t="s">
        <v>17768</v>
      </c>
      <c r="U934" t="s">
        <v>17769</v>
      </c>
      <c r="V934" t="s">
        <v>17770</v>
      </c>
      <c r="W934" t="s">
        <v>17771</v>
      </c>
      <c r="X934" t="s">
        <v>4314</v>
      </c>
      <c r="Y934" t="s">
        <v>17772</v>
      </c>
      <c r="Z934" t="s">
        <v>17773</v>
      </c>
      <c r="AA934" t="s">
        <v>74</v>
      </c>
      <c r="AB934" t="s">
        <v>17774</v>
      </c>
      <c r="AC934" t="s">
        <v>17775</v>
      </c>
      <c r="AD934" t="s">
        <v>17776</v>
      </c>
      <c r="AE934" t="s">
        <v>17777</v>
      </c>
      <c r="AF934" t="s">
        <v>74</v>
      </c>
      <c r="AG934">
        <v>63</v>
      </c>
      <c r="AH934">
        <v>1</v>
      </c>
      <c r="AI934">
        <v>1</v>
      </c>
      <c r="AJ934">
        <v>7</v>
      </c>
      <c r="AK934">
        <v>33</v>
      </c>
      <c r="AL934" t="s">
        <v>2632</v>
      </c>
      <c r="AM934" t="s">
        <v>2633</v>
      </c>
      <c r="AN934" t="s">
        <v>2634</v>
      </c>
      <c r="AO934" t="s">
        <v>74</v>
      </c>
      <c r="AP934" t="s">
        <v>2737</v>
      </c>
      <c r="AQ934" t="s">
        <v>74</v>
      </c>
      <c r="AR934" t="s">
        <v>2738</v>
      </c>
      <c r="AS934" t="s">
        <v>2739</v>
      </c>
      <c r="AT934" t="s">
        <v>2125</v>
      </c>
      <c r="AU934">
        <v>2021</v>
      </c>
      <c r="AV934">
        <v>13</v>
      </c>
      <c r="AW934">
        <v>24</v>
      </c>
      <c r="AX934" t="s">
        <v>74</v>
      </c>
      <c r="AY934" t="s">
        <v>74</v>
      </c>
      <c r="AZ934" t="s">
        <v>74</v>
      </c>
      <c r="BA934" t="s">
        <v>74</v>
      </c>
      <c r="BB934" t="s">
        <v>74</v>
      </c>
      <c r="BC934" t="s">
        <v>74</v>
      </c>
      <c r="BD934">
        <v>5137</v>
      </c>
      <c r="BE934" t="s">
        <v>17778</v>
      </c>
      <c r="BF934" t="str">
        <f>HYPERLINK("http://dx.doi.org/10.3390/rs13245137","http://dx.doi.org/10.3390/rs13245137")</f>
        <v>http://dx.doi.org/10.3390/rs13245137</v>
      </c>
      <c r="BG934" t="s">
        <v>74</v>
      </c>
      <c r="BH934" t="s">
        <v>74</v>
      </c>
      <c r="BI934">
        <v>20</v>
      </c>
      <c r="BJ934" t="s">
        <v>2741</v>
      </c>
      <c r="BK934" t="s">
        <v>103</v>
      </c>
      <c r="BL934" t="s">
        <v>2742</v>
      </c>
      <c r="BM934" t="s">
        <v>17779</v>
      </c>
      <c r="BN934" t="s">
        <v>74</v>
      </c>
      <c r="BO934" t="s">
        <v>445</v>
      </c>
      <c r="BP934" t="s">
        <v>74</v>
      </c>
      <c r="BQ934" t="s">
        <v>74</v>
      </c>
      <c r="BR934" t="s">
        <v>106</v>
      </c>
      <c r="BS934" t="s">
        <v>17780</v>
      </c>
      <c r="BT934" t="str">
        <f>HYPERLINK("https%3A%2F%2Fwww.webofscience.com%2Fwos%2Fwoscc%2Ffull-record%2FWOS:000742867600001","View Full Record in Web of Science")</f>
        <v>View Full Record in Web of Science</v>
      </c>
    </row>
    <row r="935" spans="1:72" x14ac:dyDescent="0.15">
      <c r="A935" t="s">
        <v>72</v>
      </c>
      <c r="B935" t="s">
        <v>17781</v>
      </c>
      <c r="C935" t="s">
        <v>74</v>
      </c>
      <c r="D935" t="s">
        <v>74</v>
      </c>
      <c r="E935" t="s">
        <v>74</v>
      </c>
      <c r="F935" t="s">
        <v>17782</v>
      </c>
      <c r="G935" t="s">
        <v>74</v>
      </c>
      <c r="H935" t="s">
        <v>74</v>
      </c>
      <c r="I935" t="s">
        <v>17783</v>
      </c>
      <c r="J935" t="s">
        <v>2644</v>
      </c>
      <c r="K935" t="s">
        <v>74</v>
      </c>
      <c r="L935" t="s">
        <v>74</v>
      </c>
      <c r="M935" t="s">
        <v>78</v>
      </c>
      <c r="N935" t="s">
        <v>79</v>
      </c>
      <c r="O935" t="s">
        <v>74</v>
      </c>
      <c r="P935" t="s">
        <v>74</v>
      </c>
      <c r="Q935" t="s">
        <v>74</v>
      </c>
      <c r="R935" t="s">
        <v>74</v>
      </c>
      <c r="S935" t="s">
        <v>74</v>
      </c>
      <c r="T935" t="s">
        <v>17784</v>
      </c>
      <c r="U935" t="s">
        <v>17785</v>
      </c>
      <c r="V935" t="s">
        <v>17786</v>
      </c>
      <c r="W935" t="s">
        <v>17787</v>
      </c>
      <c r="X935" t="s">
        <v>17788</v>
      </c>
      <c r="Y935" t="s">
        <v>17789</v>
      </c>
      <c r="Z935" t="s">
        <v>17790</v>
      </c>
      <c r="AA935" t="s">
        <v>17791</v>
      </c>
      <c r="AB935" t="s">
        <v>17792</v>
      </c>
      <c r="AC935" t="s">
        <v>17793</v>
      </c>
      <c r="AD935" t="s">
        <v>17793</v>
      </c>
      <c r="AE935" t="s">
        <v>17794</v>
      </c>
      <c r="AF935" t="s">
        <v>74</v>
      </c>
      <c r="AG935">
        <v>75</v>
      </c>
      <c r="AH935">
        <v>0</v>
      </c>
      <c r="AI935">
        <v>0</v>
      </c>
      <c r="AJ935">
        <v>3</v>
      </c>
      <c r="AK935">
        <v>22</v>
      </c>
      <c r="AL935" t="s">
        <v>2632</v>
      </c>
      <c r="AM935" t="s">
        <v>2633</v>
      </c>
      <c r="AN935" t="s">
        <v>2634</v>
      </c>
      <c r="AO935" t="s">
        <v>74</v>
      </c>
      <c r="AP935" t="s">
        <v>2657</v>
      </c>
      <c r="AQ935" t="s">
        <v>74</v>
      </c>
      <c r="AR935" t="s">
        <v>2644</v>
      </c>
      <c r="AS935" t="s">
        <v>2658</v>
      </c>
      <c r="AT935" t="s">
        <v>2125</v>
      </c>
      <c r="AU935">
        <v>2021</v>
      </c>
      <c r="AV935">
        <v>9</v>
      </c>
      <c r="AW935">
        <v>12</v>
      </c>
      <c r="AX935" t="s">
        <v>74</v>
      </c>
      <c r="AY935" t="s">
        <v>74</v>
      </c>
      <c r="AZ935" t="s">
        <v>74</v>
      </c>
      <c r="BA935" t="s">
        <v>74</v>
      </c>
      <c r="BB935" t="s">
        <v>74</v>
      </c>
      <c r="BC935" t="s">
        <v>74</v>
      </c>
      <c r="BD935">
        <v>2419</v>
      </c>
      <c r="BE935" t="s">
        <v>17795</v>
      </c>
      <c r="BF935" t="str">
        <f>HYPERLINK("http://dx.doi.org/10.3390/microorganisms9122419","http://dx.doi.org/10.3390/microorganisms9122419")</f>
        <v>http://dx.doi.org/10.3390/microorganisms9122419</v>
      </c>
      <c r="BG935" t="s">
        <v>74</v>
      </c>
      <c r="BH935" t="s">
        <v>74</v>
      </c>
      <c r="BI935">
        <v>16</v>
      </c>
      <c r="BJ935" t="s">
        <v>747</v>
      </c>
      <c r="BK935" t="s">
        <v>103</v>
      </c>
      <c r="BL935" t="s">
        <v>747</v>
      </c>
      <c r="BM935" t="s">
        <v>17796</v>
      </c>
      <c r="BN935">
        <v>34946021</v>
      </c>
      <c r="BO935" t="s">
        <v>211</v>
      </c>
      <c r="BP935" t="s">
        <v>74</v>
      </c>
      <c r="BQ935" t="s">
        <v>74</v>
      </c>
      <c r="BR935" t="s">
        <v>106</v>
      </c>
      <c r="BS935" t="s">
        <v>17797</v>
      </c>
      <c r="BT935" t="str">
        <f>HYPERLINK("https%3A%2F%2Fwww.webofscience.com%2Fwos%2Fwoscc%2Ffull-record%2FWOS:000741494500001","View Full Record in Web of Science")</f>
        <v>View Full Record in Web of Science</v>
      </c>
    </row>
    <row r="936" spans="1:72" x14ac:dyDescent="0.15">
      <c r="A936" t="s">
        <v>72</v>
      </c>
      <c r="B936" t="s">
        <v>17798</v>
      </c>
      <c r="C936" t="s">
        <v>74</v>
      </c>
      <c r="D936" t="s">
        <v>74</v>
      </c>
      <c r="E936" t="s">
        <v>74</v>
      </c>
      <c r="F936" t="s">
        <v>17799</v>
      </c>
      <c r="G936" t="s">
        <v>74</v>
      </c>
      <c r="H936" t="s">
        <v>74</v>
      </c>
      <c r="I936" t="s">
        <v>17800</v>
      </c>
      <c r="J936" t="s">
        <v>1682</v>
      </c>
      <c r="K936" t="s">
        <v>74</v>
      </c>
      <c r="L936" t="s">
        <v>74</v>
      </c>
      <c r="M936" t="s">
        <v>78</v>
      </c>
      <c r="N936" t="s">
        <v>779</v>
      </c>
      <c r="O936" t="s">
        <v>74</v>
      </c>
      <c r="P936" t="s">
        <v>74</v>
      </c>
      <c r="Q936" t="s">
        <v>74</v>
      </c>
      <c r="R936" t="s">
        <v>74</v>
      </c>
      <c r="S936" t="s">
        <v>74</v>
      </c>
      <c r="T936" t="s">
        <v>74</v>
      </c>
      <c r="U936" t="s">
        <v>74</v>
      </c>
      <c r="V936" t="s">
        <v>74</v>
      </c>
      <c r="W936" t="s">
        <v>17801</v>
      </c>
      <c r="X936" t="s">
        <v>17802</v>
      </c>
      <c r="Y936" t="s">
        <v>17803</v>
      </c>
      <c r="Z936" t="s">
        <v>74</v>
      </c>
      <c r="AA936" t="s">
        <v>17804</v>
      </c>
      <c r="AB936" t="s">
        <v>17805</v>
      </c>
      <c r="AC936" t="s">
        <v>15295</v>
      </c>
      <c r="AD936" t="s">
        <v>5373</v>
      </c>
      <c r="AE936" t="s">
        <v>74</v>
      </c>
      <c r="AF936" t="s">
        <v>74</v>
      </c>
      <c r="AG936">
        <v>0</v>
      </c>
      <c r="AH936">
        <v>2</v>
      </c>
      <c r="AI936">
        <v>2</v>
      </c>
      <c r="AJ936">
        <v>0</v>
      </c>
      <c r="AK936">
        <v>1</v>
      </c>
      <c r="AL936" t="s">
        <v>198</v>
      </c>
      <c r="AM936" t="s">
        <v>506</v>
      </c>
      <c r="AN936" t="s">
        <v>1695</v>
      </c>
      <c r="AO936" t="s">
        <v>1696</v>
      </c>
      <c r="AP936" t="s">
        <v>1697</v>
      </c>
      <c r="AQ936" t="s">
        <v>74</v>
      </c>
      <c r="AR936" t="s">
        <v>1698</v>
      </c>
      <c r="AS936" t="s">
        <v>1699</v>
      </c>
      <c r="AT936" t="s">
        <v>2125</v>
      </c>
      <c r="AU936">
        <v>2021</v>
      </c>
      <c r="AV936">
        <v>33</v>
      </c>
      <c r="AW936">
        <v>6</v>
      </c>
      <c r="AX936" t="s">
        <v>74</v>
      </c>
      <c r="AY936" t="s">
        <v>74</v>
      </c>
      <c r="AZ936" t="s">
        <v>74</v>
      </c>
      <c r="BA936" t="s">
        <v>74</v>
      </c>
      <c r="BB936">
        <v>573</v>
      </c>
      <c r="BC936">
        <v>574</v>
      </c>
      <c r="BD936" t="s">
        <v>74</v>
      </c>
      <c r="BE936" t="s">
        <v>17806</v>
      </c>
      <c r="BF936" t="str">
        <f>HYPERLINK("http://dx.doi.org/10.1017/S0954102021000584","http://dx.doi.org/10.1017/S0954102021000584")</f>
        <v>http://dx.doi.org/10.1017/S0954102021000584</v>
      </c>
      <c r="BG936" t="s">
        <v>74</v>
      </c>
      <c r="BH936" t="s">
        <v>74</v>
      </c>
      <c r="BI936">
        <v>2</v>
      </c>
      <c r="BJ936" t="s">
        <v>1702</v>
      </c>
      <c r="BK936" t="s">
        <v>103</v>
      </c>
      <c r="BL936" t="s">
        <v>1703</v>
      </c>
      <c r="BM936" t="s">
        <v>17807</v>
      </c>
      <c r="BN936" t="s">
        <v>74</v>
      </c>
      <c r="BO936" t="s">
        <v>1613</v>
      </c>
      <c r="BP936" t="s">
        <v>74</v>
      </c>
      <c r="BQ936" t="s">
        <v>74</v>
      </c>
      <c r="BR936" t="s">
        <v>106</v>
      </c>
      <c r="BS936" t="s">
        <v>17808</v>
      </c>
      <c r="BT936" t="str">
        <f>HYPERLINK("https%3A%2F%2Fwww.webofscience.com%2Fwos%2Fwoscc%2Ffull-record%2FWOS:000741498400003","View Full Record in Web of Science")</f>
        <v>View Full Record in Web of Science</v>
      </c>
    </row>
    <row r="937" spans="1:72" x14ac:dyDescent="0.15">
      <c r="A937" t="s">
        <v>72</v>
      </c>
      <c r="B937" t="s">
        <v>17809</v>
      </c>
      <c r="C937" t="s">
        <v>74</v>
      </c>
      <c r="D937" t="s">
        <v>74</v>
      </c>
      <c r="E937" t="s">
        <v>74</v>
      </c>
      <c r="F937" t="s">
        <v>17810</v>
      </c>
      <c r="G937" t="s">
        <v>74</v>
      </c>
      <c r="H937" t="s">
        <v>74</v>
      </c>
      <c r="I937" t="s">
        <v>17811</v>
      </c>
      <c r="J937" t="s">
        <v>17812</v>
      </c>
      <c r="K937" t="s">
        <v>74</v>
      </c>
      <c r="L937" t="s">
        <v>74</v>
      </c>
      <c r="M937" t="s">
        <v>78</v>
      </c>
      <c r="N937" t="s">
        <v>79</v>
      </c>
      <c r="O937" t="s">
        <v>74</v>
      </c>
      <c r="P937" t="s">
        <v>74</v>
      </c>
      <c r="Q937" t="s">
        <v>74</v>
      </c>
      <c r="R937" t="s">
        <v>74</v>
      </c>
      <c r="S937" t="s">
        <v>74</v>
      </c>
      <c r="T937" t="s">
        <v>17813</v>
      </c>
      <c r="U937" t="s">
        <v>17814</v>
      </c>
      <c r="V937" t="s">
        <v>17815</v>
      </c>
      <c r="W937" t="s">
        <v>17816</v>
      </c>
      <c r="X937" t="s">
        <v>17817</v>
      </c>
      <c r="Y937" t="s">
        <v>17818</v>
      </c>
      <c r="Z937" t="s">
        <v>17819</v>
      </c>
      <c r="AA937" t="s">
        <v>17820</v>
      </c>
      <c r="AB937" t="s">
        <v>17821</v>
      </c>
      <c r="AC937" t="s">
        <v>17822</v>
      </c>
      <c r="AD937" t="s">
        <v>17823</v>
      </c>
      <c r="AE937" t="s">
        <v>17824</v>
      </c>
      <c r="AF937" t="s">
        <v>74</v>
      </c>
      <c r="AG937">
        <v>43</v>
      </c>
      <c r="AH937">
        <v>0</v>
      </c>
      <c r="AI937">
        <v>0</v>
      </c>
      <c r="AJ937">
        <v>1</v>
      </c>
      <c r="AK937">
        <v>10</v>
      </c>
      <c r="AL937" t="s">
        <v>4129</v>
      </c>
      <c r="AM937" t="s">
        <v>4130</v>
      </c>
      <c r="AN937" t="s">
        <v>4131</v>
      </c>
      <c r="AO937" t="s">
        <v>17825</v>
      </c>
      <c r="AP937" t="s">
        <v>17826</v>
      </c>
      <c r="AQ937" t="s">
        <v>74</v>
      </c>
      <c r="AR937" t="s">
        <v>17827</v>
      </c>
      <c r="AS937" t="s">
        <v>17828</v>
      </c>
      <c r="AT937" t="s">
        <v>2125</v>
      </c>
      <c r="AU937">
        <v>2021</v>
      </c>
      <c r="AV937">
        <v>35</v>
      </c>
      <c r="AW937">
        <v>6</v>
      </c>
      <c r="AX937" t="s">
        <v>74</v>
      </c>
      <c r="AY937" t="s">
        <v>74</v>
      </c>
      <c r="AZ937" t="s">
        <v>74</v>
      </c>
      <c r="BA937" t="s">
        <v>74</v>
      </c>
      <c r="BB937">
        <v>1091</v>
      </c>
      <c r="BC937">
        <v>1103</v>
      </c>
      <c r="BD937" t="s">
        <v>74</v>
      </c>
      <c r="BE937" t="s">
        <v>17829</v>
      </c>
      <c r="BF937" t="str">
        <f>HYPERLINK("http://dx.doi.org/10.1007/s13351-021-1079-x","http://dx.doi.org/10.1007/s13351-021-1079-x")</f>
        <v>http://dx.doi.org/10.1007/s13351-021-1079-x</v>
      </c>
      <c r="BG937" t="s">
        <v>74</v>
      </c>
      <c r="BH937" t="s">
        <v>74</v>
      </c>
      <c r="BI937">
        <v>13</v>
      </c>
      <c r="BJ937" t="s">
        <v>514</v>
      </c>
      <c r="BK937" t="s">
        <v>103</v>
      </c>
      <c r="BL937" t="s">
        <v>514</v>
      </c>
      <c r="BM937" t="s">
        <v>17830</v>
      </c>
      <c r="BN937" t="s">
        <v>74</v>
      </c>
      <c r="BO937" t="s">
        <v>948</v>
      </c>
      <c r="BP937" t="s">
        <v>74</v>
      </c>
      <c r="BQ937" t="s">
        <v>74</v>
      </c>
      <c r="BR937" t="s">
        <v>106</v>
      </c>
      <c r="BS937" t="s">
        <v>17831</v>
      </c>
      <c r="BT937" t="str">
        <f>HYPERLINK("https%3A%2F%2Fwww.webofscience.com%2Fwos%2Fwoscc%2Ffull-record%2FWOS:000741020400014","View Full Record in Web of Science")</f>
        <v>View Full Record in Web of Science</v>
      </c>
    </row>
    <row r="938" spans="1:72" x14ac:dyDescent="0.15">
      <c r="A938" t="s">
        <v>72</v>
      </c>
      <c r="B938" t="s">
        <v>17832</v>
      </c>
      <c r="C938" t="s">
        <v>74</v>
      </c>
      <c r="D938" t="s">
        <v>74</v>
      </c>
      <c r="E938" t="s">
        <v>74</v>
      </c>
      <c r="F938" t="s">
        <v>17833</v>
      </c>
      <c r="G938" t="s">
        <v>74</v>
      </c>
      <c r="H938" t="s">
        <v>74</v>
      </c>
      <c r="I938" t="s">
        <v>17834</v>
      </c>
      <c r="J938" t="s">
        <v>17835</v>
      </c>
      <c r="K938" t="s">
        <v>74</v>
      </c>
      <c r="L938" t="s">
        <v>74</v>
      </c>
      <c r="M938" t="s">
        <v>78</v>
      </c>
      <c r="N938" t="s">
        <v>79</v>
      </c>
      <c r="O938" t="s">
        <v>74</v>
      </c>
      <c r="P938" t="s">
        <v>74</v>
      </c>
      <c r="Q938" t="s">
        <v>74</v>
      </c>
      <c r="R938" t="s">
        <v>74</v>
      </c>
      <c r="S938" t="s">
        <v>74</v>
      </c>
      <c r="T938" t="s">
        <v>17836</v>
      </c>
      <c r="U938" t="s">
        <v>74</v>
      </c>
      <c r="V938" t="s">
        <v>17837</v>
      </c>
      <c r="W938" t="s">
        <v>17838</v>
      </c>
      <c r="X938" t="s">
        <v>17839</v>
      </c>
      <c r="Y938" t="s">
        <v>17840</v>
      </c>
      <c r="Z938" t="s">
        <v>17841</v>
      </c>
      <c r="AA938" t="s">
        <v>74</v>
      </c>
      <c r="AB938" t="s">
        <v>17842</v>
      </c>
      <c r="AC938" t="s">
        <v>17843</v>
      </c>
      <c r="AD938" t="s">
        <v>17843</v>
      </c>
      <c r="AE938" t="s">
        <v>17844</v>
      </c>
      <c r="AF938" t="s">
        <v>74</v>
      </c>
      <c r="AG938">
        <v>59</v>
      </c>
      <c r="AH938">
        <v>2</v>
      </c>
      <c r="AI938">
        <v>2</v>
      </c>
      <c r="AJ938">
        <v>3</v>
      </c>
      <c r="AK938">
        <v>11</v>
      </c>
      <c r="AL938" t="s">
        <v>2711</v>
      </c>
      <c r="AM938" t="s">
        <v>2712</v>
      </c>
      <c r="AN938" t="s">
        <v>2713</v>
      </c>
      <c r="AO938" t="s">
        <v>17845</v>
      </c>
      <c r="AP938" t="s">
        <v>17846</v>
      </c>
      <c r="AQ938" t="s">
        <v>74</v>
      </c>
      <c r="AR938" t="s">
        <v>17847</v>
      </c>
      <c r="AS938" t="s">
        <v>17848</v>
      </c>
      <c r="AT938" t="s">
        <v>2125</v>
      </c>
      <c r="AU938">
        <v>2021</v>
      </c>
      <c r="AV938">
        <v>9</v>
      </c>
      <c r="AW938">
        <v>2</v>
      </c>
      <c r="AX938" t="s">
        <v>74</v>
      </c>
      <c r="AY938" t="s">
        <v>74</v>
      </c>
      <c r="AZ938" t="s">
        <v>233</v>
      </c>
      <c r="BA938" t="s">
        <v>74</v>
      </c>
      <c r="BB938">
        <v>212</v>
      </c>
      <c r="BC938">
        <v>242</v>
      </c>
      <c r="BD938" t="s">
        <v>74</v>
      </c>
      <c r="BE938" t="s">
        <v>17849</v>
      </c>
      <c r="BF938" t="str">
        <f>HYPERLINK("http://dx.doi.org/10.1163/22134484-12340156","http://dx.doi.org/10.1163/22134484-12340156")</f>
        <v>http://dx.doi.org/10.1163/22134484-12340156</v>
      </c>
      <c r="BG938" t="s">
        <v>74</v>
      </c>
      <c r="BH938" t="s">
        <v>74</v>
      </c>
      <c r="BI938">
        <v>31</v>
      </c>
      <c r="BJ938" t="s">
        <v>17258</v>
      </c>
      <c r="BK938" t="s">
        <v>724</v>
      </c>
      <c r="BL938" t="s">
        <v>4873</v>
      </c>
      <c r="BM938" t="s">
        <v>17850</v>
      </c>
      <c r="BN938" t="s">
        <v>74</v>
      </c>
      <c r="BO938" t="s">
        <v>749</v>
      </c>
      <c r="BP938" t="s">
        <v>74</v>
      </c>
      <c r="BQ938" t="s">
        <v>74</v>
      </c>
      <c r="BR938" t="s">
        <v>106</v>
      </c>
      <c r="BS938" t="s">
        <v>17851</v>
      </c>
      <c r="BT938" t="str">
        <f>HYPERLINK("https%3A%2F%2Fwww.webofscience.com%2Fwos%2Fwoscc%2Ffull-record%2FWOS:000731419500005","View Full Record in Web of Science")</f>
        <v>View Full Record in Web of Science</v>
      </c>
    </row>
    <row r="939" spans="1:72" x14ac:dyDescent="0.15">
      <c r="A939" t="s">
        <v>72</v>
      </c>
      <c r="B939" t="s">
        <v>17852</v>
      </c>
      <c r="C939" t="s">
        <v>74</v>
      </c>
      <c r="D939" t="s">
        <v>74</v>
      </c>
      <c r="E939" t="s">
        <v>74</v>
      </c>
      <c r="F939" t="s">
        <v>17853</v>
      </c>
      <c r="G939" t="s">
        <v>74</v>
      </c>
      <c r="H939" t="s">
        <v>74</v>
      </c>
      <c r="I939" t="s">
        <v>17854</v>
      </c>
      <c r="J939" t="s">
        <v>3446</v>
      </c>
      <c r="K939" t="s">
        <v>74</v>
      </c>
      <c r="L939" t="s">
        <v>74</v>
      </c>
      <c r="M939" t="s">
        <v>78</v>
      </c>
      <c r="N939" t="s">
        <v>79</v>
      </c>
      <c r="O939" t="s">
        <v>74</v>
      </c>
      <c r="P939" t="s">
        <v>74</v>
      </c>
      <c r="Q939" t="s">
        <v>74</v>
      </c>
      <c r="R939" t="s">
        <v>74</v>
      </c>
      <c r="S939" t="s">
        <v>74</v>
      </c>
      <c r="T939" t="s">
        <v>17855</v>
      </c>
      <c r="U939" t="s">
        <v>17856</v>
      </c>
      <c r="V939" t="s">
        <v>17857</v>
      </c>
      <c r="W939" t="s">
        <v>17858</v>
      </c>
      <c r="X939" t="s">
        <v>17859</v>
      </c>
      <c r="Y939" t="s">
        <v>17860</v>
      </c>
      <c r="Z939" t="s">
        <v>17861</v>
      </c>
      <c r="AA939" t="s">
        <v>17862</v>
      </c>
      <c r="AB939" t="s">
        <v>17863</v>
      </c>
      <c r="AC939" t="s">
        <v>17864</v>
      </c>
      <c r="AD939" t="s">
        <v>17865</v>
      </c>
      <c r="AE939" t="s">
        <v>17866</v>
      </c>
      <c r="AF939" t="s">
        <v>74</v>
      </c>
      <c r="AG939">
        <v>33</v>
      </c>
      <c r="AH939">
        <v>17</v>
      </c>
      <c r="AI939">
        <v>17</v>
      </c>
      <c r="AJ939">
        <v>0</v>
      </c>
      <c r="AK939">
        <v>13</v>
      </c>
      <c r="AL939" t="s">
        <v>605</v>
      </c>
      <c r="AM939" t="s">
        <v>606</v>
      </c>
      <c r="AN939" t="s">
        <v>607</v>
      </c>
      <c r="AO939" t="s">
        <v>3458</v>
      </c>
      <c r="AP939" t="s">
        <v>3459</v>
      </c>
      <c r="AQ939" t="s">
        <v>74</v>
      </c>
      <c r="AR939" t="s">
        <v>3460</v>
      </c>
      <c r="AS939" t="s">
        <v>3461</v>
      </c>
      <c r="AT939" t="s">
        <v>2125</v>
      </c>
      <c r="AU939">
        <v>2021</v>
      </c>
      <c r="AV939">
        <v>126</v>
      </c>
      <c r="AW939">
        <v>12</v>
      </c>
      <c r="AX939" t="s">
        <v>74</v>
      </c>
      <c r="AY939" t="s">
        <v>74</v>
      </c>
      <c r="AZ939" t="s">
        <v>74</v>
      </c>
      <c r="BA939" t="s">
        <v>74</v>
      </c>
      <c r="BB939" t="s">
        <v>74</v>
      </c>
      <c r="BC939" t="s">
        <v>74</v>
      </c>
      <c r="BD939" t="s">
        <v>17867</v>
      </c>
      <c r="BE939" t="s">
        <v>17868</v>
      </c>
      <c r="BF939" t="str">
        <f>HYPERLINK("http://dx.doi.org/10.1029/2021JC017935","http://dx.doi.org/10.1029/2021JC017935")</f>
        <v>http://dx.doi.org/10.1029/2021JC017935</v>
      </c>
      <c r="BG939" t="s">
        <v>74</v>
      </c>
      <c r="BH939" t="s">
        <v>74</v>
      </c>
      <c r="BI939">
        <v>18</v>
      </c>
      <c r="BJ939" t="s">
        <v>1131</v>
      </c>
      <c r="BK939" t="s">
        <v>103</v>
      </c>
      <c r="BL939" t="s">
        <v>1131</v>
      </c>
      <c r="BM939" t="s">
        <v>17869</v>
      </c>
      <c r="BN939" t="s">
        <v>74</v>
      </c>
      <c r="BO939" t="s">
        <v>640</v>
      </c>
      <c r="BP939" t="s">
        <v>74</v>
      </c>
      <c r="BQ939" t="s">
        <v>74</v>
      </c>
      <c r="BR939" t="s">
        <v>106</v>
      </c>
      <c r="BS939" t="s">
        <v>17870</v>
      </c>
      <c r="BT939" t="str">
        <f>HYPERLINK("https%3A%2F%2Fwww.webofscience.com%2Fwos%2Fwoscc%2Ffull-record%2FWOS:000735870300019","View Full Record in Web of Science")</f>
        <v>View Full Record in Web of Science</v>
      </c>
    </row>
    <row r="940" spans="1:72" x14ac:dyDescent="0.15">
      <c r="A940" t="s">
        <v>72</v>
      </c>
      <c r="B940" t="s">
        <v>17871</v>
      </c>
      <c r="C940" t="s">
        <v>74</v>
      </c>
      <c r="D940" t="s">
        <v>74</v>
      </c>
      <c r="E940" t="s">
        <v>74</v>
      </c>
      <c r="F940" t="s">
        <v>17872</v>
      </c>
      <c r="G940" t="s">
        <v>74</v>
      </c>
      <c r="H940" t="s">
        <v>74</v>
      </c>
      <c r="I940" t="s">
        <v>17873</v>
      </c>
      <c r="J940" t="s">
        <v>3446</v>
      </c>
      <c r="K940" t="s">
        <v>74</v>
      </c>
      <c r="L940" t="s">
        <v>74</v>
      </c>
      <c r="M940" t="s">
        <v>78</v>
      </c>
      <c r="N940" t="s">
        <v>79</v>
      </c>
      <c r="O940" t="s">
        <v>74</v>
      </c>
      <c r="P940" t="s">
        <v>74</v>
      </c>
      <c r="Q940" t="s">
        <v>74</v>
      </c>
      <c r="R940" t="s">
        <v>74</v>
      </c>
      <c r="S940" t="s">
        <v>74</v>
      </c>
      <c r="T940" t="s">
        <v>74</v>
      </c>
      <c r="U940" t="s">
        <v>17874</v>
      </c>
      <c r="V940" t="s">
        <v>17875</v>
      </c>
      <c r="W940" t="s">
        <v>17876</v>
      </c>
      <c r="X940" t="s">
        <v>17877</v>
      </c>
      <c r="Y940" t="s">
        <v>17878</v>
      </c>
      <c r="Z940" t="s">
        <v>17879</v>
      </c>
      <c r="AA940" t="s">
        <v>17880</v>
      </c>
      <c r="AB940" t="s">
        <v>17881</v>
      </c>
      <c r="AC940" t="s">
        <v>17882</v>
      </c>
      <c r="AD940" t="s">
        <v>17883</v>
      </c>
      <c r="AE940" t="s">
        <v>17884</v>
      </c>
      <c r="AF940" t="s">
        <v>74</v>
      </c>
      <c r="AG940">
        <v>82</v>
      </c>
      <c r="AH940">
        <v>13</v>
      </c>
      <c r="AI940">
        <v>13</v>
      </c>
      <c r="AJ940">
        <v>0</v>
      </c>
      <c r="AK940">
        <v>12</v>
      </c>
      <c r="AL940" t="s">
        <v>605</v>
      </c>
      <c r="AM940" t="s">
        <v>606</v>
      </c>
      <c r="AN940" t="s">
        <v>607</v>
      </c>
      <c r="AO940" t="s">
        <v>3458</v>
      </c>
      <c r="AP940" t="s">
        <v>3459</v>
      </c>
      <c r="AQ940" t="s">
        <v>74</v>
      </c>
      <c r="AR940" t="s">
        <v>3460</v>
      </c>
      <c r="AS940" t="s">
        <v>3461</v>
      </c>
      <c r="AT940" t="s">
        <v>2125</v>
      </c>
      <c r="AU940">
        <v>2021</v>
      </c>
      <c r="AV940">
        <v>126</v>
      </c>
      <c r="AW940">
        <v>12</v>
      </c>
      <c r="AX940" t="s">
        <v>74</v>
      </c>
      <c r="AY940" t="s">
        <v>74</v>
      </c>
      <c r="AZ940" t="s">
        <v>74</v>
      </c>
      <c r="BA940" t="s">
        <v>74</v>
      </c>
      <c r="BB940" t="s">
        <v>74</v>
      </c>
      <c r="BC940" t="s">
        <v>74</v>
      </c>
      <c r="BD940" t="s">
        <v>17885</v>
      </c>
      <c r="BE940" t="s">
        <v>17886</v>
      </c>
      <c r="BF940" t="str">
        <f>HYPERLINK("http://dx.doi.org/10.1029/2021JC017315","http://dx.doi.org/10.1029/2021JC017315")</f>
        <v>http://dx.doi.org/10.1029/2021JC017315</v>
      </c>
      <c r="BG940" t="s">
        <v>74</v>
      </c>
      <c r="BH940" t="s">
        <v>74</v>
      </c>
      <c r="BI940">
        <v>22</v>
      </c>
      <c r="BJ940" t="s">
        <v>1131</v>
      </c>
      <c r="BK940" t="s">
        <v>103</v>
      </c>
      <c r="BL940" t="s">
        <v>1131</v>
      </c>
      <c r="BM940" t="s">
        <v>17869</v>
      </c>
      <c r="BN940" t="s">
        <v>74</v>
      </c>
      <c r="BO940" t="s">
        <v>749</v>
      </c>
      <c r="BP940" t="s">
        <v>74</v>
      </c>
      <c r="BQ940" t="s">
        <v>74</v>
      </c>
      <c r="BR940" t="s">
        <v>106</v>
      </c>
      <c r="BS940" t="s">
        <v>17887</v>
      </c>
      <c r="BT940" t="str">
        <f>HYPERLINK("https%3A%2F%2Fwww.webofscience.com%2Fwos%2Fwoscc%2Ffull-record%2FWOS:000735870300046","View Full Record in Web of Science")</f>
        <v>View Full Record in Web of Science</v>
      </c>
    </row>
    <row r="941" spans="1:72" x14ac:dyDescent="0.15">
      <c r="A941" t="s">
        <v>72</v>
      </c>
      <c r="B941" t="s">
        <v>17888</v>
      </c>
      <c r="C941" t="s">
        <v>74</v>
      </c>
      <c r="D941" t="s">
        <v>74</v>
      </c>
      <c r="E941" t="s">
        <v>74</v>
      </c>
      <c r="F941" t="s">
        <v>17889</v>
      </c>
      <c r="G941" t="s">
        <v>74</v>
      </c>
      <c r="H941" t="s">
        <v>74</v>
      </c>
      <c r="I941" t="s">
        <v>17890</v>
      </c>
      <c r="J941" t="s">
        <v>3446</v>
      </c>
      <c r="K941" t="s">
        <v>74</v>
      </c>
      <c r="L941" t="s">
        <v>74</v>
      </c>
      <c r="M941" t="s">
        <v>78</v>
      </c>
      <c r="N941" t="s">
        <v>79</v>
      </c>
      <c r="O941" t="s">
        <v>74</v>
      </c>
      <c r="P941" t="s">
        <v>74</v>
      </c>
      <c r="Q941" t="s">
        <v>74</v>
      </c>
      <c r="R941" t="s">
        <v>74</v>
      </c>
      <c r="S941" t="s">
        <v>74</v>
      </c>
      <c r="T941" t="s">
        <v>17891</v>
      </c>
      <c r="U941" t="s">
        <v>17892</v>
      </c>
      <c r="V941" t="s">
        <v>17893</v>
      </c>
      <c r="W941" t="s">
        <v>17894</v>
      </c>
      <c r="X941" t="s">
        <v>17895</v>
      </c>
      <c r="Y941" t="s">
        <v>17896</v>
      </c>
      <c r="Z941" t="s">
        <v>17897</v>
      </c>
      <c r="AA941" t="s">
        <v>17898</v>
      </c>
      <c r="AB941" t="s">
        <v>17899</v>
      </c>
      <c r="AC941" t="s">
        <v>17900</v>
      </c>
      <c r="AD941" t="s">
        <v>17901</v>
      </c>
      <c r="AE941" t="s">
        <v>17902</v>
      </c>
      <c r="AF941" t="s">
        <v>74</v>
      </c>
      <c r="AG941">
        <v>47</v>
      </c>
      <c r="AH941">
        <v>20</v>
      </c>
      <c r="AI941">
        <v>22</v>
      </c>
      <c r="AJ941">
        <v>1</v>
      </c>
      <c r="AK941">
        <v>21</v>
      </c>
      <c r="AL941" t="s">
        <v>605</v>
      </c>
      <c r="AM941" t="s">
        <v>606</v>
      </c>
      <c r="AN941" t="s">
        <v>607</v>
      </c>
      <c r="AO941" t="s">
        <v>3458</v>
      </c>
      <c r="AP941" t="s">
        <v>3459</v>
      </c>
      <c r="AQ941" t="s">
        <v>74</v>
      </c>
      <c r="AR941" t="s">
        <v>3460</v>
      </c>
      <c r="AS941" t="s">
        <v>3461</v>
      </c>
      <c r="AT941" t="s">
        <v>2125</v>
      </c>
      <c r="AU941">
        <v>2021</v>
      </c>
      <c r="AV941">
        <v>126</v>
      </c>
      <c r="AW941">
        <v>12</v>
      </c>
      <c r="AX941" t="s">
        <v>74</v>
      </c>
      <c r="AY941" t="s">
        <v>74</v>
      </c>
      <c r="AZ941" t="s">
        <v>74</v>
      </c>
      <c r="BA941" t="s">
        <v>74</v>
      </c>
      <c r="BB941" t="s">
        <v>74</v>
      </c>
      <c r="BC941" t="s">
        <v>74</v>
      </c>
      <c r="BD941" t="s">
        <v>17903</v>
      </c>
      <c r="BE941" t="s">
        <v>17904</v>
      </c>
      <c r="BF941" t="str">
        <f>HYPERLINK("http://dx.doi.org/10.1029/2021JC017491","http://dx.doi.org/10.1029/2021JC017491")</f>
        <v>http://dx.doi.org/10.1029/2021JC017491</v>
      </c>
      <c r="BG941" t="s">
        <v>74</v>
      </c>
      <c r="BH941" t="s">
        <v>74</v>
      </c>
      <c r="BI941">
        <v>25</v>
      </c>
      <c r="BJ941" t="s">
        <v>1131</v>
      </c>
      <c r="BK941" t="s">
        <v>103</v>
      </c>
      <c r="BL941" t="s">
        <v>1131</v>
      </c>
      <c r="BM941" t="s">
        <v>17869</v>
      </c>
      <c r="BN941" t="s">
        <v>74</v>
      </c>
      <c r="BO941" t="s">
        <v>3307</v>
      </c>
      <c r="BP941" t="s">
        <v>74</v>
      </c>
      <c r="BQ941" t="s">
        <v>74</v>
      </c>
      <c r="BR941" t="s">
        <v>106</v>
      </c>
      <c r="BS941" t="s">
        <v>17905</v>
      </c>
      <c r="BT941" t="str">
        <f>HYPERLINK("https%3A%2F%2Fwww.webofscience.com%2Fwos%2Fwoscc%2Ffull-record%2FWOS:000735870300016","View Full Record in Web of Science")</f>
        <v>View Full Record in Web of Science</v>
      </c>
    </row>
    <row r="942" spans="1:72" x14ac:dyDescent="0.15">
      <c r="A942" t="s">
        <v>72</v>
      </c>
      <c r="B942" t="s">
        <v>17906</v>
      </c>
      <c r="C942" t="s">
        <v>74</v>
      </c>
      <c r="D942" t="s">
        <v>74</v>
      </c>
      <c r="E942" t="s">
        <v>74</v>
      </c>
      <c r="F942" t="s">
        <v>17907</v>
      </c>
      <c r="G942" t="s">
        <v>74</v>
      </c>
      <c r="H942" t="s">
        <v>74</v>
      </c>
      <c r="I942" t="s">
        <v>17908</v>
      </c>
      <c r="J942" t="s">
        <v>3446</v>
      </c>
      <c r="K942" t="s">
        <v>74</v>
      </c>
      <c r="L942" t="s">
        <v>74</v>
      </c>
      <c r="M942" t="s">
        <v>78</v>
      </c>
      <c r="N942" t="s">
        <v>79</v>
      </c>
      <c r="O942" t="s">
        <v>74</v>
      </c>
      <c r="P942" t="s">
        <v>74</v>
      </c>
      <c r="Q942" t="s">
        <v>74</v>
      </c>
      <c r="R942" t="s">
        <v>74</v>
      </c>
      <c r="S942" t="s">
        <v>74</v>
      </c>
      <c r="T942" t="s">
        <v>17909</v>
      </c>
      <c r="U942" t="s">
        <v>17910</v>
      </c>
      <c r="V942" t="s">
        <v>17911</v>
      </c>
      <c r="W942" t="s">
        <v>17912</v>
      </c>
      <c r="X942" t="s">
        <v>17913</v>
      </c>
      <c r="Y942" t="s">
        <v>17914</v>
      </c>
      <c r="Z942" t="s">
        <v>17915</v>
      </c>
      <c r="AA942" t="s">
        <v>17916</v>
      </c>
      <c r="AB942" t="s">
        <v>17917</v>
      </c>
      <c r="AC942" t="s">
        <v>17918</v>
      </c>
      <c r="AD942" t="s">
        <v>17919</v>
      </c>
      <c r="AE942" t="s">
        <v>17920</v>
      </c>
      <c r="AF942" t="s">
        <v>74</v>
      </c>
      <c r="AG942">
        <v>78</v>
      </c>
      <c r="AH942">
        <v>3</v>
      </c>
      <c r="AI942">
        <v>3</v>
      </c>
      <c r="AJ942">
        <v>3</v>
      </c>
      <c r="AK942">
        <v>7</v>
      </c>
      <c r="AL942" t="s">
        <v>605</v>
      </c>
      <c r="AM942" t="s">
        <v>606</v>
      </c>
      <c r="AN942" t="s">
        <v>607</v>
      </c>
      <c r="AO942" t="s">
        <v>3458</v>
      </c>
      <c r="AP942" t="s">
        <v>3459</v>
      </c>
      <c r="AQ942" t="s">
        <v>74</v>
      </c>
      <c r="AR942" t="s">
        <v>3460</v>
      </c>
      <c r="AS942" t="s">
        <v>3461</v>
      </c>
      <c r="AT942" t="s">
        <v>2125</v>
      </c>
      <c r="AU942">
        <v>2021</v>
      </c>
      <c r="AV942">
        <v>126</v>
      </c>
      <c r="AW942">
        <v>12</v>
      </c>
      <c r="AX942" t="s">
        <v>74</v>
      </c>
      <c r="AY942" t="s">
        <v>74</v>
      </c>
      <c r="AZ942" t="s">
        <v>74</v>
      </c>
      <c r="BA942" t="s">
        <v>74</v>
      </c>
      <c r="BB942" t="s">
        <v>74</v>
      </c>
      <c r="BC942" t="s">
        <v>74</v>
      </c>
      <c r="BD942" t="s">
        <v>17921</v>
      </c>
      <c r="BE942" t="s">
        <v>17922</v>
      </c>
      <c r="BF942" t="str">
        <f>HYPERLINK("http://dx.doi.org/10.1029/2021JC017466","http://dx.doi.org/10.1029/2021JC017466")</f>
        <v>http://dx.doi.org/10.1029/2021JC017466</v>
      </c>
      <c r="BG942" t="s">
        <v>74</v>
      </c>
      <c r="BH942" t="s">
        <v>74</v>
      </c>
      <c r="BI942">
        <v>23</v>
      </c>
      <c r="BJ942" t="s">
        <v>1131</v>
      </c>
      <c r="BK942" t="s">
        <v>103</v>
      </c>
      <c r="BL942" t="s">
        <v>1131</v>
      </c>
      <c r="BM942" t="s">
        <v>17869</v>
      </c>
      <c r="BN942" t="s">
        <v>74</v>
      </c>
      <c r="BO942" t="s">
        <v>5641</v>
      </c>
      <c r="BP942" t="s">
        <v>74</v>
      </c>
      <c r="BQ942" t="s">
        <v>74</v>
      </c>
      <c r="BR942" t="s">
        <v>106</v>
      </c>
      <c r="BS942" t="s">
        <v>17923</v>
      </c>
      <c r="BT942" t="str">
        <f>HYPERLINK("https%3A%2F%2Fwww.webofscience.com%2Fwos%2Fwoscc%2Ffull-record%2FWOS:000735870300041","View Full Record in Web of Science")</f>
        <v>View Full Record in Web of Science</v>
      </c>
    </row>
    <row r="943" spans="1:72" x14ac:dyDescent="0.15">
      <c r="A943" t="s">
        <v>72</v>
      </c>
      <c r="B943" t="s">
        <v>17924</v>
      </c>
      <c r="C943" t="s">
        <v>74</v>
      </c>
      <c r="D943" t="s">
        <v>74</v>
      </c>
      <c r="E943" t="s">
        <v>74</v>
      </c>
      <c r="F943" t="s">
        <v>17925</v>
      </c>
      <c r="G943" t="s">
        <v>74</v>
      </c>
      <c r="H943" t="s">
        <v>74</v>
      </c>
      <c r="I943" t="s">
        <v>17926</v>
      </c>
      <c r="J943" t="s">
        <v>3446</v>
      </c>
      <c r="K943" t="s">
        <v>74</v>
      </c>
      <c r="L943" t="s">
        <v>74</v>
      </c>
      <c r="M943" t="s">
        <v>78</v>
      </c>
      <c r="N943" t="s">
        <v>79</v>
      </c>
      <c r="O943" t="s">
        <v>74</v>
      </c>
      <c r="P943" t="s">
        <v>74</v>
      </c>
      <c r="Q943" t="s">
        <v>74</v>
      </c>
      <c r="R943" t="s">
        <v>74</v>
      </c>
      <c r="S943" t="s">
        <v>74</v>
      </c>
      <c r="T943" t="s">
        <v>17927</v>
      </c>
      <c r="U943" t="s">
        <v>17928</v>
      </c>
      <c r="V943" t="s">
        <v>17929</v>
      </c>
      <c r="W943" t="s">
        <v>17930</v>
      </c>
      <c r="X943" t="s">
        <v>17931</v>
      </c>
      <c r="Y943" t="s">
        <v>17932</v>
      </c>
      <c r="Z943" t="s">
        <v>17933</v>
      </c>
      <c r="AA943" t="s">
        <v>17934</v>
      </c>
      <c r="AB943" t="s">
        <v>17935</v>
      </c>
      <c r="AC943" t="s">
        <v>17936</v>
      </c>
      <c r="AD943" t="s">
        <v>17937</v>
      </c>
      <c r="AE943" t="s">
        <v>17938</v>
      </c>
      <c r="AF943" t="s">
        <v>74</v>
      </c>
      <c r="AG943">
        <v>55</v>
      </c>
      <c r="AH943">
        <v>5</v>
      </c>
      <c r="AI943">
        <v>6</v>
      </c>
      <c r="AJ943">
        <v>2</v>
      </c>
      <c r="AK943">
        <v>13</v>
      </c>
      <c r="AL943" t="s">
        <v>605</v>
      </c>
      <c r="AM943" t="s">
        <v>606</v>
      </c>
      <c r="AN943" t="s">
        <v>607</v>
      </c>
      <c r="AO943" t="s">
        <v>3458</v>
      </c>
      <c r="AP943" t="s">
        <v>3459</v>
      </c>
      <c r="AQ943" t="s">
        <v>74</v>
      </c>
      <c r="AR943" t="s">
        <v>3460</v>
      </c>
      <c r="AS943" t="s">
        <v>3461</v>
      </c>
      <c r="AT943" t="s">
        <v>2125</v>
      </c>
      <c r="AU943">
        <v>2021</v>
      </c>
      <c r="AV943">
        <v>126</v>
      </c>
      <c r="AW943">
        <v>12</v>
      </c>
      <c r="AX943" t="s">
        <v>74</v>
      </c>
      <c r="AY943" t="s">
        <v>74</v>
      </c>
      <c r="AZ943" t="s">
        <v>74</v>
      </c>
      <c r="BA943" t="s">
        <v>74</v>
      </c>
      <c r="BB943" t="s">
        <v>74</v>
      </c>
      <c r="BC943" t="s">
        <v>74</v>
      </c>
      <c r="BD943" t="s">
        <v>17939</v>
      </c>
      <c r="BE943" t="s">
        <v>17940</v>
      </c>
      <c r="BF943" t="str">
        <f>HYPERLINK("http://dx.doi.org/10.1029/2021JC017748","http://dx.doi.org/10.1029/2021JC017748")</f>
        <v>http://dx.doi.org/10.1029/2021JC017748</v>
      </c>
      <c r="BG943" t="s">
        <v>74</v>
      </c>
      <c r="BH943" t="s">
        <v>74</v>
      </c>
      <c r="BI943">
        <v>21</v>
      </c>
      <c r="BJ943" t="s">
        <v>1131</v>
      </c>
      <c r="BK943" t="s">
        <v>103</v>
      </c>
      <c r="BL943" t="s">
        <v>1131</v>
      </c>
      <c r="BM943" t="s">
        <v>17869</v>
      </c>
      <c r="BN943" t="s">
        <v>74</v>
      </c>
      <c r="BO943" t="s">
        <v>17941</v>
      </c>
      <c r="BP943" t="s">
        <v>74</v>
      </c>
      <c r="BQ943" t="s">
        <v>74</v>
      </c>
      <c r="BR943" t="s">
        <v>106</v>
      </c>
      <c r="BS943" t="s">
        <v>17942</v>
      </c>
      <c r="BT943" t="str">
        <f>HYPERLINK("https%3A%2F%2Fwww.webofscience.com%2Fwos%2Fwoscc%2Ffull-record%2FWOS:000735870300045","View Full Record in Web of Science")</f>
        <v>View Full Record in Web of Science</v>
      </c>
    </row>
    <row r="944" spans="1:72" x14ac:dyDescent="0.15">
      <c r="A944" t="s">
        <v>72</v>
      </c>
      <c r="B944" t="s">
        <v>17943</v>
      </c>
      <c r="C944" t="s">
        <v>74</v>
      </c>
      <c r="D944" t="s">
        <v>74</v>
      </c>
      <c r="E944" t="s">
        <v>74</v>
      </c>
      <c r="F944" t="s">
        <v>17944</v>
      </c>
      <c r="G944" t="s">
        <v>74</v>
      </c>
      <c r="H944" t="s">
        <v>74</v>
      </c>
      <c r="I944" t="s">
        <v>17945</v>
      </c>
      <c r="J944" t="s">
        <v>3446</v>
      </c>
      <c r="K944" t="s">
        <v>74</v>
      </c>
      <c r="L944" t="s">
        <v>74</v>
      </c>
      <c r="M944" t="s">
        <v>78</v>
      </c>
      <c r="N944" t="s">
        <v>79</v>
      </c>
      <c r="O944" t="s">
        <v>74</v>
      </c>
      <c r="P944" t="s">
        <v>74</v>
      </c>
      <c r="Q944" t="s">
        <v>74</v>
      </c>
      <c r="R944" t="s">
        <v>74</v>
      </c>
      <c r="S944" t="s">
        <v>74</v>
      </c>
      <c r="T944" t="s">
        <v>17946</v>
      </c>
      <c r="U944" t="s">
        <v>17947</v>
      </c>
      <c r="V944" t="s">
        <v>17948</v>
      </c>
      <c r="W944" t="s">
        <v>17949</v>
      </c>
      <c r="X944" t="s">
        <v>17950</v>
      </c>
      <c r="Y944" t="s">
        <v>17951</v>
      </c>
      <c r="Z944" t="s">
        <v>17952</v>
      </c>
      <c r="AA944" t="s">
        <v>74</v>
      </c>
      <c r="AB944" t="s">
        <v>17953</v>
      </c>
      <c r="AC944" t="s">
        <v>17954</v>
      </c>
      <c r="AD944" t="s">
        <v>17955</v>
      </c>
      <c r="AE944" t="s">
        <v>17956</v>
      </c>
      <c r="AF944" t="s">
        <v>74</v>
      </c>
      <c r="AG944">
        <v>69</v>
      </c>
      <c r="AH944">
        <v>6</v>
      </c>
      <c r="AI944">
        <v>6</v>
      </c>
      <c r="AJ944">
        <v>1</v>
      </c>
      <c r="AK944">
        <v>6</v>
      </c>
      <c r="AL944" t="s">
        <v>605</v>
      </c>
      <c r="AM944" t="s">
        <v>606</v>
      </c>
      <c r="AN944" t="s">
        <v>607</v>
      </c>
      <c r="AO944" t="s">
        <v>3458</v>
      </c>
      <c r="AP944" t="s">
        <v>3459</v>
      </c>
      <c r="AQ944" t="s">
        <v>74</v>
      </c>
      <c r="AR944" t="s">
        <v>3460</v>
      </c>
      <c r="AS944" t="s">
        <v>3461</v>
      </c>
      <c r="AT944" t="s">
        <v>2125</v>
      </c>
      <c r="AU944">
        <v>2021</v>
      </c>
      <c r="AV944">
        <v>126</v>
      </c>
      <c r="AW944">
        <v>12</v>
      </c>
      <c r="AX944" t="s">
        <v>74</v>
      </c>
      <c r="AY944" t="s">
        <v>74</v>
      </c>
      <c r="AZ944" t="s">
        <v>74</v>
      </c>
      <c r="BA944" t="s">
        <v>74</v>
      </c>
      <c r="BB944" t="s">
        <v>74</v>
      </c>
      <c r="BC944" t="s">
        <v>74</v>
      </c>
      <c r="BD944" t="s">
        <v>17957</v>
      </c>
      <c r="BE944" t="s">
        <v>17958</v>
      </c>
      <c r="BF944" t="str">
        <f>HYPERLINK("http://dx.doi.org/10.1029/2021JC017899","http://dx.doi.org/10.1029/2021JC017899")</f>
        <v>http://dx.doi.org/10.1029/2021JC017899</v>
      </c>
      <c r="BG944" t="s">
        <v>74</v>
      </c>
      <c r="BH944" t="s">
        <v>74</v>
      </c>
      <c r="BI944">
        <v>19</v>
      </c>
      <c r="BJ944" t="s">
        <v>1131</v>
      </c>
      <c r="BK944" t="s">
        <v>103</v>
      </c>
      <c r="BL944" t="s">
        <v>1131</v>
      </c>
      <c r="BM944" t="s">
        <v>17869</v>
      </c>
      <c r="BN944" t="s">
        <v>74</v>
      </c>
      <c r="BO944" t="s">
        <v>74</v>
      </c>
      <c r="BP944" t="s">
        <v>74</v>
      </c>
      <c r="BQ944" t="s">
        <v>74</v>
      </c>
      <c r="BR944" t="s">
        <v>106</v>
      </c>
      <c r="BS944" t="s">
        <v>17959</v>
      </c>
      <c r="BT944" t="str">
        <f>HYPERLINK("https%3A%2F%2Fwww.webofscience.com%2Fwos%2Fwoscc%2Ffull-record%2FWOS:000735870300035","View Full Record in Web of Science")</f>
        <v>View Full Record in Web of Science</v>
      </c>
    </row>
    <row r="945" spans="1:72" x14ac:dyDescent="0.15">
      <c r="A945" t="s">
        <v>72</v>
      </c>
      <c r="B945" t="s">
        <v>17960</v>
      </c>
      <c r="C945" t="s">
        <v>74</v>
      </c>
      <c r="D945" t="s">
        <v>74</v>
      </c>
      <c r="E945" t="s">
        <v>74</v>
      </c>
      <c r="F945" t="s">
        <v>17961</v>
      </c>
      <c r="G945" t="s">
        <v>74</v>
      </c>
      <c r="H945" t="s">
        <v>74</v>
      </c>
      <c r="I945" t="s">
        <v>17962</v>
      </c>
      <c r="J945" t="s">
        <v>3759</v>
      </c>
      <c r="K945" t="s">
        <v>74</v>
      </c>
      <c r="L945" t="s">
        <v>74</v>
      </c>
      <c r="M945" t="s">
        <v>78</v>
      </c>
      <c r="N945" t="s">
        <v>79</v>
      </c>
      <c r="O945" t="s">
        <v>74</v>
      </c>
      <c r="P945" t="s">
        <v>74</v>
      </c>
      <c r="Q945" t="s">
        <v>74</v>
      </c>
      <c r="R945" t="s">
        <v>74</v>
      </c>
      <c r="S945" t="s">
        <v>74</v>
      </c>
      <c r="T945" t="s">
        <v>17963</v>
      </c>
      <c r="U945" t="s">
        <v>17964</v>
      </c>
      <c r="V945" t="s">
        <v>17965</v>
      </c>
      <c r="W945" t="s">
        <v>17966</v>
      </c>
      <c r="X945" t="s">
        <v>17967</v>
      </c>
      <c r="Y945" t="s">
        <v>17968</v>
      </c>
      <c r="Z945" t="s">
        <v>17969</v>
      </c>
      <c r="AA945" t="s">
        <v>74</v>
      </c>
      <c r="AB945" t="s">
        <v>17970</v>
      </c>
      <c r="AC945" t="s">
        <v>17971</v>
      </c>
      <c r="AD945" t="s">
        <v>17972</v>
      </c>
      <c r="AE945" t="s">
        <v>17973</v>
      </c>
      <c r="AF945" t="s">
        <v>74</v>
      </c>
      <c r="AG945">
        <v>92</v>
      </c>
      <c r="AH945">
        <v>4</v>
      </c>
      <c r="AI945">
        <v>4</v>
      </c>
      <c r="AJ945">
        <v>0</v>
      </c>
      <c r="AK945">
        <v>2</v>
      </c>
      <c r="AL945" t="s">
        <v>2632</v>
      </c>
      <c r="AM945" t="s">
        <v>2633</v>
      </c>
      <c r="AN945" t="s">
        <v>2634</v>
      </c>
      <c r="AO945" t="s">
        <v>74</v>
      </c>
      <c r="AP945" t="s">
        <v>3772</v>
      </c>
      <c r="AQ945" t="s">
        <v>74</v>
      </c>
      <c r="AR945" t="s">
        <v>3773</v>
      </c>
      <c r="AS945" t="s">
        <v>3774</v>
      </c>
      <c r="AT945" t="s">
        <v>2125</v>
      </c>
      <c r="AU945">
        <v>2021</v>
      </c>
      <c r="AV945">
        <v>9</v>
      </c>
      <c r="AW945">
        <v>12</v>
      </c>
      <c r="AX945" t="s">
        <v>74</v>
      </c>
      <c r="AY945" t="s">
        <v>74</v>
      </c>
      <c r="AZ945" t="s">
        <v>74</v>
      </c>
      <c r="BA945" t="s">
        <v>74</v>
      </c>
      <c r="BB945" t="s">
        <v>74</v>
      </c>
      <c r="BC945" t="s">
        <v>74</v>
      </c>
      <c r="BD945">
        <v>1447</v>
      </c>
      <c r="BE945" t="s">
        <v>17974</v>
      </c>
      <c r="BF945" t="str">
        <f>HYPERLINK("http://dx.doi.org/10.3390/jmse9121447","http://dx.doi.org/10.3390/jmse9121447")</f>
        <v>http://dx.doi.org/10.3390/jmse9121447</v>
      </c>
      <c r="BG945" t="s">
        <v>74</v>
      </c>
      <c r="BH945" t="s">
        <v>74</v>
      </c>
      <c r="BI945">
        <v>20</v>
      </c>
      <c r="BJ945" t="s">
        <v>3776</v>
      </c>
      <c r="BK945" t="s">
        <v>103</v>
      </c>
      <c r="BL945" t="s">
        <v>3777</v>
      </c>
      <c r="BM945" t="s">
        <v>17975</v>
      </c>
      <c r="BN945" t="s">
        <v>74</v>
      </c>
      <c r="BO945" t="s">
        <v>445</v>
      </c>
      <c r="BP945" t="s">
        <v>74</v>
      </c>
      <c r="BQ945" t="s">
        <v>74</v>
      </c>
      <c r="BR945" t="s">
        <v>106</v>
      </c>
      <c r="BS945" t="s">
        <v>17976</v>
      </c>
      <c r="BT945" t="str">
        <f>HYPERLINK("https%3A%2F%2Fwww.webofscience.com%2Fwos%2Fwoscc%2Ffull-record%2FWOS:000739018500001","View Full Record in Web of Science")</f>
        <v>View Full Record in Web of Science</v>
      </c>
    </row>
    <row r="946" spans="1:72" x14ac:dyDescent="0.15">
      <c r="A946" t="s">
        <v>72</v>
      </c>
      <c r="B946" t="s">
        <v>17977</v>
      </c>
      <c r="C946" t="s">
        <v>74</v>
      </c>
      <c r="D946" t="s">
        <v>74</v>
      </c>
      <c r="E946" t="s">
        <v>74</v>
      </c>
      <c r="F946" t="s">
        <v>17978</v>
      </c>
      <c r="G946" t="s">
        <v>74</v>
      </c>
      <c r="H946" t="s">
        <v>74</v>
      </c>
      <c r="I946" t="s">
        <v>17979</v>
      </c>
      <c r="J946" t="s">
        <v>17980</v>
      </c>
      <c r="K946" t="s">
        <v>74</v>
      </c>
      <c r="L946" t="s">
        <v>74</v>
      </c>
      <c r="M946" t="s">
        <v>78</v>
      </c>
      <c r="N946" t="s">
        <v>79</v>
      </c>
      <c r="O946" t="s">
        <v>74</v>
      </c>
      <c r="P946" t="s">
        <v>74</v>
      </c>
      <c r="Q946" t="s">
        <v>74</v>
      </c>
      <c r="R946" t="s">
        <v>74</v>
      </c>
      <c r="S946" t="s">
        <v>74</v>
      </c>
      <c r="T946" t="s">
        <v>17981</v>
      </c>
      <c r="U946" t="s">
        <v>17982</v>
      </c>
      <c r="V946" t="s">
        <v>17983</v>
      </c>
      <c r="W946" t="s">
        <v>17984</v>
      </c>
      <c r="X946" t="s">
        <v>17985</v>
      </c>
      <c r="Y946" t="s">
        <v>17986</v>
      </c>
      <c r="Z946" t="s">
        <v>17987</v>
      </c>
      <c r="AA946" t="s">
        <v>17988</v>
      </c>
      <c r="AB946" t="s">
        <v>17989</v>
      </c>
      <c r="AC946" t="s">
        <v>17990</v>
      </c>
      <c r="AD946" t="s">
        <v>17990</v>
      </c>
      <c r="AE946" t="s">
        <v>17991</v>
      </c>
      <c r="AF946" t="s">
        <v>74</v>
      </c>
      <c r="AG946">
        <v>212</v>
      </c>
      <c r="AH946">
        <v>15</v>
      </c>
      <c r="AI946">
        <v>15</v>
      </c>
      <c r="AJ946">
        <v>14</v>
      </c>
      <c r="AK946">
        <v>96</v>
      </c>
      <c r="AL946" t="s">
        <v>2632</v>
      </c>
      <c r="AM946" t="s">
        <v>2633</v>
      </c>
      <c r="AN946" t="s">
        <v>2634</v>
      </c>
      <c r="AO946" t="s">
        <v>74</v>
      </c>
      <c r="AP946" t="s">
        <v>17992</v>
      </c>
      <c r="AQ946" t="s">
        <v>74</v>
      </c>
      <c r="AR946" t="s">
        <v>17980</v>
      </c>
      <c r="AS946" t="s">
        <v>17993</v>
      </c>
      <c r="AT946" t="s">
        <v>2125</v>
      </c>
      <c r="AU946">
        <v>2021</v>
      </c>
      <c r="AV946">
        <v>10</v>
      </c>
      <c r="AW946">
        <v>12</v>
      </c>
      <c r="AX946" t="s">
        <v>74</v>
      </c>
      <c r="AY946" t="s">
        <v>74</v>
      </c>
      <c r="AZ946" t="s">
        <v>74</v>
      </c>
      <c r="BA946" t="s">
        <v>74</v>
      </c>
      <c r="BB946" t="s">
        <v>74</v>
      </c>
      <c r="BC946" t="s">
        <v>74</v>
      </c>
      <c r="BD946">
        <v>2677</v>
      </c>
      <c r="BE946" t="s">
        <v>17994</v>
      </c>
      <c r="BF946" t="str">
        <f>HYPERLINK("http://dx.doi.org/10.3390/plants10122677","http://dx.doi.org/10.3390/plants10122677")</f>
        <v>http://dx.doi.org/10.3390/plants10122677</v>
      </c>
      <c r="BG946" t="s">
        <v>74</v>
      </c>
      <c r="BH946" t="s">
        <v>74</v>
      </c>
      <c r="BI946">
        <v>36</v>
      </c>
      <c r="BJ946" t="s">
        <v>1473</v>
      </c>
      <c r="BK946" t="s">
        <v>103</v>
      </c>
      <c r="BL946" t="s">
        <v>1473</v>
      </c>
      <c r="BM946" t="s">
        <v>17995</v>
      </c>
      <c r="BN946">
        <v>34961148</v>
      </c>
      <c r="BO946" t="s">
        <v>292</v>
      </c>
      <c r="BP946" t="s">
        <v>74</v>
      </c>
      <c r="BQ946" t="s">
        <v>74</v>
      </c>
      <c r="BR946" t="s">
        <v>106</v>
      </c>
      <c r="BS946" t="s">
        <v>17996</v>
      </c>
      <c r="BT946" t="str">
        <f>HYPERLINK("https%3A%2F%2Fwww.webofscience.com%2Fwos%2Fwoscc%2Ffull-record%2FWOS:000738655500001","View Full Record in Web of Science")</f>
        <v>View Full Record in Web of Science</v>
      </c>
    </row>
    <row r="947" spans="1:72" x14ac:dyDescent="0.15">
      <c r="A947" t="s">
        <v>72</v>
      </c>
      <c r="B947" t="s">
        <v>17997</v>
      </c>
      <c r="C947" t="s">
        <v>74</v>
      </c>
      <c r="D947" t="s">
        <v>74</v>
      </c>
      <c r="E947" t="s">
        <v>74</v>
      </c>
      <c r="F947" t="s">
        <v>17998</v>
      </c>
      <c r="G947" t="s">
        <v>74</v>
      </c>
      <c r="H947" t="s">
        <v>74</v>
      </c>
      <c r="I947" t="s">
        <v>17999</v>
      </c>
      <c r="J947" t="s">
        <v>17980</v>
      </c>
      <c r="K947" t="s">
        <v>74</v>
      </c>
      <c r="L947" t="s">
        <v>74</v>
      </c>
      <c r="M947" t="s">
        <v>78</v>
      </c>
      <c r="N947" t="s">
        <v>79</v>
      </c>
      <c r="O947" t="s">
        <v>74</v>
      </c>
      <c r="P947" t="s">
        <v>74</v>
      </c>
      <c r="Q947" t="s">
        <v>74</v>
      </c>
      <c r="R947" t="s">
        <v>74</v>
      </c>
      <c r="S947" t="s">
        <v>74</v>
      </c>
      <c r="T947" t="s">
        <v>18000</v>
      </c>
      <c r="U947" t="s">
        <v>18001</v>
      </c>
      <c r="V947" t="s">
        <v>18002</v>
      </c>
      <c r="W947" t="s">
        <v>18003</v>
      </c>
      <c r="X947" t="s">
        <v>18004</v>
      </c>
      <c r="Y947" t="s">
        <v>18005</v>
      </c>
      <c r="Z947" t="s">
        <v>18006</v>
      </c>
      <c r="AA947" t="s">
        <v>74</v>
      </c>
      <c r="AB947" t="s">
        <v>18007</v>
      </c>
      <c r="AC947" t="s">
        <v>18008</v>
      </c>
      <c r="AD947" t="s">
        <v>18008</v>
      </c>
      <c r="AE947" t="s">
        <v>18009</v>
      </c>
      <c r="AF947" t="s">
        <v>74</v>
      </c>
      <c r="AG947">
        <v>67</v>
      </c>
      <c r="AH947">
        <v>2</v>
      </c>
      <c r="AI947">
        <v>2</v>
      </c>
      <c r="AJ947">
        <v>4</v>
      </c>
      <c r="AK947">
        <v>18</v>
      </c>
      <c r="AL947" t="s">
        <v>2632</v>
      </c>
      <c r="AM947" t="s">
        <v>2633</v>
      </c>
      <c r="AN947" t="s">
        <v>2634</v>
      </c>
      <c r="AO947" t="s">
        <v>74</v>
      </c>
      <c r="AP947" t="s">
        <v>17992</v>
      </c>
      <c r="AQ947" t="s">
        <v>74</v>
      </c>
      <c r="AR947" t="s">
        <v>17980</v>
      </c>
      <c r="AS947" t="s">
        <v>17993</v>
      </c>
      <c r="AT947" t="s">
        <v>2125</v>
      </c>
      <c r="AU947">
        <v>2021</v>
      </c>
      <c r="AV947">
        <v>10</v>
      </c>
      <c r="AW947">
        <v>12</v>
      </c>
      <c r="AX947" t="s">
        <v>74</v>
      </c>
      <c r="AY947" t="s">
        <v>74</v>
      </c>
      <c r="AZ947" t="s">
        <v>74</v>
      </c>
      <c r="BA947" t="s">
        <v>74</v>
      </c>
      <c r="BB947" t="s">
        <v>74</v>
      </c>
      <c r="BC947" t="s">
        <v>74</v>
      </c>
      <c r="BD947">
        <v>2593</v>
      </c>
      <c r="BE947" t="s">
        <v>18010</v>
      </c>
      <c r="BF947" t="str">
        <f>HYPERLINK("http://dx.doi.org/10.3390/plants10122593","http://dx.doi.org/10.3390/plants10122593")</f>
        <v>http://dx.doi.org/10.3390/plants10122593</v>
      </c>
      <c r="BG947" t="s">
        <v>74</v>
      </c>
      <c r="BH947" t="s">
        <v>74</v>
      </c>
      <c r="BI947">
        <v>17</v>
      </c>
      <c r="BJ947" t="s">
        <v>1473</v>
      </c>
      <c r="BK947" t="s">
        <v>103</v>
      </c>
      <c r="BL947" t="s">
        <v>1473</v>
      </c>
      <c r="BM947" t="s">
        <v>18011</v>
      </c>
      <c r="BN947">
        <v>34961063</v>
      </c>
      <c r="BO947" t="s">
        <v>292</v>
      </c>
      <c r="BP947" t="s">
        <v>74</v>
      </c>
      <c r="BQ947" t="s">
        <v>74</v>
      </c>
      <c r="BR947" t="s">
        <v>106</v>
      </c>
      <c r="BS947" t="s">
        <v>18012</v>
      </c>
      <c r="BT947" t="str">
        <f>HYPERLINK("https%3A%2F%2Fwww.webofscience.com%2Fwos%2Fwoscc%2Ffull-record%2FWOS:000738620300001","View Full Record in Web of Science")</f>
        <v>View Full Record in Web of Science</v>
      </c>
    </row>
    <row r="948" spans="1:72" x14ac:dyDescent="0.15">
      <c r="A948" t="s">
        <v>72</v>
      </c>
      <c r="B948" t="s">
        <v>18013</v>
      </c>
      <c r="C948" t="s">
        <v>74</v>
      </c>
      <c r="D948" t="s">
        <v>74</v>
      </c>
      <c r="E948" t="s">
        <v>74</v>
      </c>
      <c r="F948" t="s">
        <v>18014</v>
      </c>
      <c r="G948" t="s">
        <v>74</v>
      </c>
      <c r="H948" t="s">
        <v>74</v>
      </c>
      <c r="I948" t="s">
        <v>18015</v>
      </c>
      <c r="J948" t="s">
        <v>18016</v>
      </c>
      <c r="K948" t="s">
        <v>74</v>
      </c>
      <c r="L948" t="s">
        <v>74</v>
      </c>
      <c r="M948" t="s">
        <v>78</v>
      </c>
      <c r="N948" t="s">
        <v>79</v>
      </c>
      <c r="O948" t="s">
        <v>74</v>
      </c>
      <c r="P948" t="s">
        <v>74</v>
      </c>
      <c r="Q948" t="s">
        <v>74</v>
      </c>
      <c r="R948" t="s">
        <v>74</v>
      </c>
      <c r="S948" t="s">
        <v>74</v>
      </c>
      <c r="T948" t="s">
        <v>18017</v>
      </c>
      <c r="U948" t="s">
        <v>18018</v>
      </c>
      <c r="V948" t="s">
        <v>18019</v>
      </c>
      <c r="W948" t="s">
        <v>18020</v>
      </c>
      <c r="X948" t="s">
        <v>18021</v>
      </c>
      <c r="Y948" t="s">
        <v>18022</v>
      </c>
      <c r="Z948" t="s">
        <v>18023</v>
      </c>
      <c r="AA948" t="s">
        <v>18024</v>
      </c>
      <c r="AB948" t="s">
        <v>18025</v>
      </c>
      <c r="AC948" t="s">
        <v>18026</v>
      </c>
      <c r="AD948" t="s">
        <v>18026</v>
      </c>
      <c r="AE948" t="s">
        <v>18027</v>
      </c>
      <c r="AF948" t="s">
        <v>74</v>
      </c>
      <c r="AG948">
        <v>81</v>
      </c>
      <c r="AH948">
        <v>7</v>
      </c>
      <c r="AI948">
        <v>7</v>
      </c>
      <c r="AJ948">
        <v>4</v>
      </c>
      <c r="AK948">
        <v>22</v>
      </c>
      <c r="AL948" t="s">
        <v>2632</v>
      </c>
      <c r="AM948" t="s">
        <v>2633</v>
      </c>
      <c r="AN948" t="s">
        <v>2634</v>
      </c>
      <c r="AO948" t="s">
        <v>74</v>
      </c>
      <c r="AP948" t="s">
        <v>18028</v>
      </c>
      <c r="AQ948" t="s">
        <v>74</v>
      </c>
      <c r="AR948" t="s">
        <v>18016</v>
      </c>
      <c r="AS948" t="s">
        <v>18029</v>
      </c>
      <c r="AT948" t="s">
        <v>2125</v>
      </c>
      <c r="AU948">
        <v>2021</v>
      </c>
      <c r="AV948">
        <v>13</v>
      </c>
      <c r="AW948">
        <v>12</v>
      </c>
      <c r="AX948" t="s">
        <v>74</v>
      </c>
      <c r="AY948" t="s">
        <v>74</v>
      </c>
      <c r="AZ948" t="s">
        <v>74</v>
      </c>
      <c r="BA948" t="s">
        <v>74</v>
      </c>
      <c r="BB948" t="s">
        <v>74</v>
      </c>
      <c r="BC948" t="s">
        <v>74</v>
      </c>
      <c r="BD948">
        <v>4237</v>
      </c>
      <c r="BE948" t="s">
        <v>18030</v>
      </c>
      <c r="BF948" t="str">
        <f>HYPERLINK("http://dx.doi.org/10.3390/nu13124237","http://dx.doi.org/10.3390/nu13124237")</f>
        <v>http://dx.doi.org/10.3390/nu13124237</v>
      </c>
      <c r="BG948" t="s">
        <v>74</v>
      </c>
      <c r="BH948" t="s">
        <v>74</v>
      </c>
      <c r="BI948">
        <v>16</v>
      </c>
      <c r="BJ948" t="s">
        <v>18031</v>
      </c>
      <c r="BK948" t="s">
        <v>103</v>
      </c>
      <c r="BL948" t="s">
        <v>18031</v>
      </c>
      <c r="BM948" t="s">
        <v>18032</v>
      </c>
      <c r="BN948">
        <v>34959789</v>
      </c>
      <c r="BO948" t="s">
        <v>292</v>
      </c>
      <c r="BP948" t="s">
        <v>74</v>
      </c>
      <c r="BQ948" t="s">
        <v>74</v>
      </c>
      <c r="BR948" t="s">
        <v>106</v>
      </c>
      <c r="BS948" t="s">
        <v>18033</v>
      </c>
      <c r="BT948" t="str">
        <f>HYPERLINK("https%3A%2F%2Fwww.webofscience.com%2Fwos%2Fwoscc%2Ffull-record%2FWOS:000736588400001","View Full Record in Web of Science")</f>
        <v>View Full Record in Web of Science</v>
      </c>
    </row>
    <row r="949" spans="1:72" x14ac:dyDescent="0.15">
      <c r="A949" t="s">
        <v>72</v>
      </c>
      <c r="B949" t="s">
        <v>18034</v>
      </c>
      <c r="C949" t="s">
        <v>74</v>
      </c>
      <c r="D949" t="s">
        <v>74</v>
      </c>
      <c r="E949" t="s">
        <v>74</v>
      </c>
      <c r="F949" t="s">
        <v>18035</v>
      </c>
      <c r="G949" t="s">
        <v>74</v>
      </c>
      <c r="H949" t="s">
        <v>74</v>
      </c>
      <c r="I949" t="s">
        <v>18036</v>
      </c>
      <c r="J949" t="s">
        <v>13581</v>
      </c>
      <c r="K949" t="s">
        <v>74</v>
      </c>
      <c r="L949" t="s">
        <v>74</v>
      </c>
      <c r="M949" t="s">
        <v>78</v>
      </c>
      <c r="N949" t="s">
        <v>79</v>
      </c>
      <c r="O949" t="s">
        <v>74</v>
      </c>
      <c r="P949" t="s">
        <v>74</v>
      </c>
      <c r="Q949" t="s">
        <v>74</v>
      </c>
      <c r="R949" t="s">
        <v>74</v>
      </c>
      <c r="S949" t="s">
        <v>74</v>
      </c>
      <c r="T949" t="s">
        <v>18037</v>
      </c>
      <c r="U949" t="s">
        <v>18038</v>
      </c>
      <c r="V949" t="s">
        <v>18039</v>
      </c>
      <c r="W949" t="s">
        <v>18040</v>
      </c>
      <c r="X949" t="s">
        <v>18041</v>
      </c>
      <c r="Y949" t="s">
        <v>18042</v>
      </c>
      <c r="Z949" t="s">
        <v>18043</v>
      </c>
      <c r="AA949" t="s">
        <v>74</v>
      </c>
      <c r="AB949" t="s">
        <v>18044</v>
      </c>
      <c r="AC949" t="s">
        <v>18045</v>
      </c>
      <c r="AD949" t="s">
        <v>18046</v>
      </c>
      <c r="AE949" t="s">
        <v>18047</v>
      </c>
      <c r="AF949" t="s">
        <v>74</v>
      </c>
      <c r="AG949">
        <v>60</v>
      </c>
      <c r="AH949">
        <v>2</v>
      </c>
      <c r="AI949">
        <v>2</v>
      </c>
      <c r="AJ949">
        <v>1</v>
      </c>
      <c r="AK949">
        <v>6</v>
      </c>
      <c r="AL949" t="s">
        <v>2632</v>
      </c>
      <c r="AM949" t="s">
        <v>2633</v>
      </c>
      <c r="AN949" t="s">
        <v>2634</v>
      </c>
      <c r="AO949" t="s">
        <v>74</v>
      </c>
      <c r="AP949" t="s">
        <v>13594</v>
      </c>
      <c r="AQ949" t="s">
        <v>74</v>
      </c>
      <c r="AR949" t="s">
        <v>13581</v>
      </c>
      <c r="AS949" t="s">
        <v>13595</v>
      </c>
      <c r="AT949" t="s">
        <v>2125</v>
      </c>
      <c r="AU949">
        <v>2021</v>
      </c>
      <c r="AV949">
        <v>13</v>
      </c>
      <c r="AW949">
        <v>12</v>
      </c>
      <c r="AX949" t="s">
        <v>74</v>
      </c>
      <c r="AY949" t="s">
        <v>74</v>
      </c>
      <c r="AZ949" t="s">
        <v>74</v>
      </c>
      <c r="BA949" t="s">
        <v>74</v>
      </c>
      <c r="BB949" t="s">
        <v>74</v>
      </c>
      <c r="BC949" t="s">
        <v>74</v>
      </c>
      <c r="BD949">
        <v>668</v>
      </c>
      <c r="BE949" t="s">
        <v>18048</v>
      </c>
      <c r="BF949" t="str">
        <f>HYPERLINK("http://dx.doi.org/10.3390/d13120668","http://dx.doi.org/10.3390/d13120668")</f>
        <v>http://dx.doi.org/10.3390/d13120668</v>
      </c>
      <c r="BG949" t="s">
        <v>74</v>
      </c>
      <c r="BH949" t="s">
        <v>74</v>
      </c>
      <c r="BI949">
        <v>11</v>
      </c>
      <c r="BJ949" t="s">
        <v>1081</v>
      </c>
      <c r="BK949" t="s">
        <v>103</v>
      </c>
      <c r="BL949" t="s">
        <v>1082</v>
      </c>
      <c r="BM949" t="s">
        <v>18049</v>
      </c>
      <c r="BN949" t="s">
        <v>74</v>
      </c>
      <c r="BO949" t="s">
        <v>445</v>
      </c>
      <c r="BP949" t="s">
        <v>74</v>
      </c>
      <c r="BQ949" t="s">
        <v>74</v>
      </c>
      <c r="BR949" t="s">
        <v>106</v>
      </c>
      <c r="BS949" t="s">
        <v>18050</v>
      </c>
      <c r="BT949" t="str">
        <f>HYPERLINK("https%3A%2F%2Fwww.webofscience.com%2Fwos%2Fwoscc%2Ffull-record%2FWOS:000736917700001","View Full Record in Web of Science")</f>
        <v>View Full Record in Web of Science</v>
      </c>
    </row>
    <row r="950" spans="1:72" x14ac:dyDescent="0.15">
      <c r="A950" t="s">
        <v>72</v>
      </c>
      <c r="B950" t="s">
        <v>18051</v>
      </c>
      <c r="C950" t="s">
        <v>74</v>
      </c>
      <c r="D950" t="s">
        <v>74</v>
      </c>
      <c r="E950" t="s">
        <v>74</v>
      </c>
      <c r="F950" t="s">
        <v>18052</v>
      </c>
      <c r="G950" t="s">
        <v>74</v>
      </c>
      <c r="H950" t="s">
        <v>74</v>
      </c>
      <c r="I950" t="s">
        <v>18053</v>
      </c>
      <c r="J950" t="s">
        <v>13581</v>
      </c>
      <c r="K950" t="s">
        <v>74</v>
      </c>
      <c r="L950" t="s">
        <v>74</v>
      </c>
      <c r="M950" t="s">
        <v>78</v>
      </c>
      <c r="N950" t="s">
        <v>79</v>
      </c>
      <c r="O950" t="s">
        <v>74</v>
      </c>
      <c r="P950" t="s">
        <v>74</v>
      </c>
      <c r="Q950" t="s">
        <v>74</v>
      </c>
      <c r="R950" t="s">
        <v>74</v>
      </c>
      <c r="S950" t="s">
        <v>74</v>
      </c>
      <c r="T950" t="s">
        <v>18054</v>
      </c>
      <c r="U950" t="s">
        <v>18055</v>
      </c>
      <c r="V950" t="s">
        <v>18056</v>
      </c>
      <c r="W950" t="s">
        <v>18057</v>
      </c>
      <c r="X950" t="s">
        <v>18058</v>
      </c>
      <c r="Y950" t="s">
        <v>18059</v>
      </c>
      <c r="Z950" t="s">
        <v>18060</v>
      </c>
      <c r="AA950" t="s">
        <v>18061</v>
      </c>
      <c r="AB950" t="s">
        <v>18062</v>
      </c>
      <c r="AC950" t="s">
        <v>18063</v>
      </c>
      <c r="AD950" t="s">
        <v>18064</v>
      </c>
      <c r="AE950" t="s">
        <v>18065</v>
      </c>
      <c r="AF950" t="s">
        <v>74</v>
      </c>
      <c r="AG950">
        <v>75</v>
      </c>
      <c r="AH950">
        <v>3</v>
      </c>
      <c r="AI950">
        <v>3</v>
      </c>
      <c r="AJ950">
        <v>1</v>
      </c>
      <c r="AK950">
        <v>12</v>
      </c>
      <c r="AL950" t="s">
        <v>2632</v>
      </c>
      <c r="AM950" t="s">
        <v>2633</v>
      </c>
      <c r="AN950" t="s">
        <v>2634</v>
      </c>
      <c r="AO950" t="s">
        <v>74</v>
      </c>
      <c r="AP950" t="s">
        <v>13594</v>
      </c>
      <c r="AQ950" t="s">
        <v>74</v>
      </c>
      <c r="AR950" t="s">
        <v>13581</v>
      </c>
      <c r="AS950" t="s">
        <v>13595</v>
      </c>
      <c r="AT950" t="s">
        <v>2125</v>
      </c>
      <c r="AU950">
        <v>2021</v>
      </c>
      <c r="AV950">
        <v>13</v>
      </c>
      <c r="AW950">
        <v>12</v>
      </c>
      <c r="AX950" t="s">
        <v>74</v>
      </c>
      <c r="AY950" t="s">
        <v>74</v>
      </c>
      <c r="AZ950" t="s">
        <v>74</v>
      </c>
      <c r="BA950" t="s">
        <v>74</v>
      </c>
      <c r="BB950" t="s">
        <v>74</v>
      </c>
      <c r="BC950" t="s">
        <v>74</v>
      </c>
      <c r="BD950">
        <v>643</v>
      </c>
      <c r="BE950" t="s">
        <v>18066</v>
      </c>
      <c r="BF950" t="str">
        <f>HYPERLINK("http://dx.doi.org/10.3390/d13120643","http://dx.doi.org/10.3390/d13120643")</f>
        <v>http://dx.doi.org/10.3390/d13120643</v>
      </c>
      <c r="BG950" t="s">
        <v>74</v>
      </c>
      <c r="BH950" t="s">
        <v>74</v>
      </c>
      <c r="BI950">
        <v>19</v>
      </c>
      <c r="BJ950" t="s">
        <v>1081</v>
      </c>
      <c r="BK950" t="s">
        <v>103</v>
      </c>
      <c r="BL950" t="s">
        <v>1082</v>
      </c>
      <c r="BM950" t="s">
        <v>18067</v>
      </c>
      <c r="BN950" t="s">
        <v>74</v>
      </c>
      <c r="BO950" t="s">
        <v>1204</v>
      </c>
      <c r="BP950" t="s">
        <v>74</v>
      </c>
      <c r="BQ950" t="s">
        <v>74</v>
      </c>
      <c r="BR950" t="s">
        <v>106</v>
      </c>
      <c r="BS950" t="s">
        <v>18068</v>
      </c>
      <c r="BT950" t="str">
        <f>HYPERLINK("https%3A%2F%2Fwww.webofscience.com%2Fwos%2Fwoscc%2Ffull-record%2FWOS:000737009500001","View Full Record in Web of Science")</f>
        <v>View Full Record in Web of Science</v>
      </c>
    </row>
    <row r="951" spans="1:72" x14ac:dyDescent="0.15">
      <c r="A951" t="s">
        <v>72</v>
      </c>
      <c r="B951" t="s">
        <v>18069</v>
      </c>
      <c r="C951" t="s">
        <v>74</v>
      </c>
      <c r="D951" t="s">
        <v>74</v>
      </c>
      <c r="E951" t="s">
        <v>74</v>
      </c>
      <c r="F951" t="s">
        <v>18070</v>
      </c>
      <c r="G951" t="s">
        <v>74</v>
      </c>
      <c r="H951" t="s">
        <v>74</v>
      </c>
      <c r="I951" t="s">
        <v>18071</v>
      </c>
      <c r="J951" t="s">
        <v>3759</v>
      </c>
      <c r="K951" t="s">
        <v>74</v>
      </c>
      <c r="L951" t="s">
        <v>74</v>
      </c>
      <c r="M951" t="s">
        <v>78</v>
      </c>
      <c r="N951" t="s">
        <v>79</v>
      </c>
      <c r="O951" t="s">
        <v>74</v>
      </c>
      <c r="P951" t="s">
        <v>74</v>
      </c>
      <c r="Q951" t="s">
        <v>74</v>
      </c>
      <c r="R951" t="s">
        <v>74</v>
      </c>
      <c r="S951" t="s">
        <v>74</v>
      </c>
      <c r="T951" t="s">
        <v>18072</v>
      </c>
      <c r="U951" t="s">
        <v>18073</v>
      </c>
      <c r="V951" t="s">
        <v>18074</v>
      </c>
      <c r="W951" t="s">
        <v>18075</v>
      </c>
      <c r="X951" t="s">
        <v>18076</v>
      </c>
      <c r="Y951" t="s">
        <v>18077</v>
      </c>
      <c r="Z951" t="s">
        <v>18078</v>
      </c>
      <c r="AA951" t="s">
        <v>18079</v>
      </c>
      <c r="AB951" t="s">
        <v>74</v>
      </c>
      <c r="AC951" t="s">
        <v>74</v>
      </c>
      <c r="AD951" t="s">
        <v>74</v>
      </c>
      <c r="AE951" t="s">
        <v>74</v>
      </c>
      <c r="AF951" t="s">
        <v>74</v>
      </c>
      <c r="AG951">
        <v>53</v>
      </c>
      <c r="AH951">
        <v>9</v>
      </c>
      <c r="AI951">
        <v>10</v>
      </c>
      <c r="AJ951">
        <v>4</v>
      </c>
      <c r="AK951">
        <v>24</v>
      </c>
      <c r="AL951" t="s">
        <v>2632</v>
      </c>
      <c r="AM951" t="s">
        <v>2633</v>
      </c>
      <c r="AN951" t="s">
        <v>2634</v>
      </c>
      <c r="AO951" t="s">
        <v>74</v>
      </c>
      <c r="AP951" t="s">
        <v>3772</v>
      </c>
      <c r="AQ951" t="s">
        <v>74</v>
      </c>
      <c r="AR951" t="s">
        <v>3773</v>
      </c>
      <c r="AS951" t="s">
        <v>3774</v>
      </c>
      <c r="AT951" t="s">
        <v>2125</v>
      </c>
      <c r="AU951">
        <v>2021</v>
      </c>
      <c r="AV951">
        <v>9</v>
      </c>
      <c r="AW951">
        <v>12</v>
      </c>
      <c r="AX951" t="s">
        <v>74</v>
      </c>
      <c r="AY951" t="s">
        <v>74</v>
      </c>
      <c r="AZ951" t="s">
        <v>74</v>
      </c>
      <c r="BA951" t="s">
        <v>74</v>
      </c>
      <c r="BB951" t="s">
        <v>74</v>
      </c>
      <c r="BC951" t="s">
        <v>74</v>
      </c>
      <c r="BD951">
        <v>1379</v>
      </c>
      <c r="BE951" t="s">
        <v>18080</v>
      </c>
      <c r="BF951" t="str">
        <f>HYPERLINK("http://dx.doi.org/10.3390/jmse9121379","http://dx.doi.org/10.3390/jmse9121379")</f>
        <v>http://dx.doi.org/10.3390/jmse9121379</v>
      </c>
      <c r="BG951" t="s">
        <v>74</v>
      </c>
      <c r="BH951" t="s">
        <v>74</v>
      </c>
      <c r="BI951">
        <v>16</v>
      </c>
      <c r="BJ951" t="s">
        <v>3776</v>
      </c>
      <c r="BK951" t="s">
        <v>103</v>
      </c>
      <c r="BL951" t="s">
        <v>3777</v>
      </c>
      <c r="BM951" t="s">
        <v>18081</v>
      </c>
      <c r="BN951" t="s">
        <v>74</v>
      </c>
      <c r="BO951" t="s">
        <v>445</v>
      </c>
      <c r="BP951" t="s">
        <v>74</v>
      </c>
      <c r="BQ951" t="s">
        <v>74</v>
      </c>
      <c r="BR951" t="s">
        <v>106</v>
      </c>
      <c r="BS951" t="s">
        <v>18082</v>
      </c>
      <c r="BT951" t="str">
        <f>HYPERLINK("https%3A%2F%2Fwww.webofscience.com%2Fwos%2Fwoscc%2Ffull-record%2FWOS:000737831300001","View Full Record in Web of Science")</f>
        <v>View Full Record in Web of Science</v>
      </c>
    </row>
    <row r="952" spans="1:72" x14ac:dyDescent="0.15">
      <c r="A952" t="s">
        <v>72</v>
      </c>
      <c r="B952" t="s">
        <v>18083</v>
      </c>
      <c r="C952" t="s">
        <v>74</v>
      </c>
      <c r="D952" t="s">
        <v>74</v>
      </c>
      <c r="E952" t="s">
        <v>74</v>
      </c>
      <c r="F952" t="s">
        <v>18084</v>
      </c>
      <c r="G952" t="s">
        <v>74</v>
      </c>
      <c r="H952" t="s">
        <v>74</v>
      </c>
      <c r="I952" t="s">
        <v>18085</v>
      </c>
      <c r="J952" t="s">
        <v>18086</v>
      </c>
      <c r="K952" t="s">
        <v>74</v>
      </c>
      <c r="L952" t="s">
        <v>74</v>
      </c>
      <c r="M952" t="s">
        <v>78</v>
      </c>
      <c r="N952" t="s">
        <v>79</v>
      </c>
      <c r="O952" t="s">
        <v>74</v>
      </c>
      <c r="P952" t="s">
        <v>74</v>
      </c>
      <c r="Q952" t="s">
        <v>74</v>
      </c>
      <c r="R952" t="s">
        <v>74</v>
      </c>
      <c r="S952" t="s">
        <v>74</v>
      </c>
      <c r="T952" t="s">
        <v>18087</v>
      </c>
      <c r="U952" t="s">
        <v>18088</v>
      </c>
      <c r="V952" t="s">
        <v>18089</v>
      </c>
      <c r="W952" t="s">
        <v>18090</v>
      </c>
      <c r="X952" t="s">
        <v>18091</v>
      </c>
      <c r="Y952" t="s">
        <v>18092</v>
      </c>
      <c r="Z952" t="s">
        <v>18093</v>
      </c>
      <c r="AA952" t="s">
        <v>18094</v>
      </c>
      <c r="AB952" t="s">
        <v>18095</v>
      </c>
      <c r="AC952" t="s">
        <v>18096</v>
      </c>
      <c r="AD952" t="s">
        <v>18097</v>
      </c>
      <c r="AE952" t="s">
        <v>18098</v>
      </c>
      <c r="AF952" t="s">
        <v>74</v>
      </c>
      <c r="AG952">
        <v>71</v>
      </c>
      <c r="AH952">
        <v>14</v>
      </c>
      <c r="AI952">
        <v>14</v>
      </c>
      <c r="AJ952">
        <v>0</v>
      </c>
      <c r="AK952">
        <v>8</v>
      </c>
      <c r="AL952" t="s">
        <v>2632</v>
      </c>
      <c r="AM952" t="s">
        <v>2633</v>
      </c>
      <c r="AN952" t="s">
        <v>2634</v>
      </c>
      <c r="AO952" t="s">
        <v>74</v>
      </c>
      <c r="AP952" t="s">
        <v>18099</v>
      </c>
      <c r="AQ952" t="s">
        <v>74</v>
      </c>
      <c r="AR952" t="s">
        <v>18086</v>
      </c>
      <c r="AS952" t="s">
        <v>18100</v>
      </c>
      <c r="AT952" t="s">
        <v>2125</v>
      </c>
      <c r="AU952">
        <v>2021</v>
      </c>
      <c r="AV952">
        <v>13</v>
      </c>
      <c r="AW952">
        <v>12</v>
      </c>
      <c r="AX952" t="s">
        <v>74</v>
      </c>
      <c r="AY952" t="s">
        <v>74</v>
      </c>
      <c r="AZ952" t="s">
        <v>74</v>
      </c>
      <c r="BA952" t="s">
        <v>74</v>
      </c>
      <c r="BB952" t="s">
        <v>74</v>
      </c>
      <c r="BC952" t="s">
        <v>74</v>
      </c>
      <c r="BD952">
        <v>2121</v>
      </c>
      <c r="BE952" t="s">
        <v>18101</v>
      </c>
      <c r="BF952" t="str">
        <f>HYPERLINK("http://dx.doi.org/10.3390/pharmaceutics13122121","http://dx.doi.org/10.3390/pharmaceutics13122121")</f>
        <v>http://dx.doi.org/10.3390/pharmaceutics13122121</v>
      </c>
      <c r="BG952" t="s">
        <v>74</v>
      </c>
      <c r="BH952" t="s">
        <v>74</v>
      </c>
      <c r="BI952">
        <v>17</v>
      </c>
      <c r="BJ952" t="s">
        <v>7048</v>
      </c>
      <c r="BK952" t="s">
        <v>103</v>
      </c>
      <c r="BL952" t="s">
        <v>7048</v>
      </c>
      <c r="BM952" t="s">
        <v>18102</v>
      </c>
      <c r="BN952">
        <v>34959400</v>
      </c>
      <c r="BO952" t="s">
        <v>211</v>
      </c>
      <c r="BP952" t="s">
        <v>74</v>
      </c>
      <c r="BQ952" t="s">
        <v>74</v>
      </c>
      <c r="BR952" t="s">
        <v>106</v>
      </c>
      <c r="BS952" t="s">
        <v>18103</v>
      </c>
      <c r="BT952" t="str">
        <f>HYPERLINK("https%3A%2F%2Fwww.webofscience.com%2Fwos%2Fwoscc%2Ffull-record%2FWOS:000736881800001","View Full Record in Web of Science")</f>
        <v>View Full Record in Web of Science</v>
      </c>
    </row>
    <row r="953" spans="1:72" x14ac:dyDescent="0.15">
      <c r="A953" t="s">
        <v>72</v>
      </c>
      <c r="B953" t="s">
        <v>18104</v>
      </c>
      <c r="C953" t="s">
        <v>74</v>
      </c>
      <c r="D953" t="s">
        <v>74</v>
      </c>
      <c r="E953" t="s">
        <v>74</v>
      </c>
      <c r="F953" t="s">
        <v>18105</v>
      </c>
      <c r="G953" t="s">
        <v>74</v>
      </c>
      <c r="H953" t="s">
        <v>74</v>
      </c>
      <c r="I953" t="s">
        <v>18106</v>
      </c>
      <c r="J953" t="s">
        <v>3704</v>
      </c>
      <c r="K953" t="s">
        <v>74</v>
      </c>
      <c r="L953" t="s">
        <v>74</v>
      </c>
      <c r="M953" t="s">
        <v>78</v>
      </c>
      <c r="N953" t="s">
        <v>79</v>
      </c>
      <c r="O953" t="s">
        <v>74</v>
      </c>
      <c r="P953" t="s">
        <v>74</v>
      </c>
      <c r="Q953" t="s">
        <v>74</v>
      </c>
      <c r="R953" t="s">
        <v>74</v>
      </c>
      <c r="S953" t="s">
        <v>74</v>
      </c>
      <c r="T953" t="s">
        <v>18107</v>
      </c>
      <c r="U953" t="s">
        <v>18108</v>
      </c>
      <c r="V953" t="s">
        <v>18109</v>
      </c>
      <c r="W953" t="s">
        <v>18110</v>
      </c>
      <c r="X953" t="s">
        <v>163</v>
      </c>
      <c r="Y953" t="s">
        <v>18111</v>
      </c>
      <c r="Z953" t="s">
        <v>18112</v>
      </c>
      <c r="AA953" t="s">
        <v>18113</v>
      </c>
      <c r="AB953" t="s">
        <v>18114</v>
      </c>
      <c r="AC953" t="s">
        <v>74</v>
      </c>
      <c r="AD953" t="s">
        <v>74</v>
      </c>
      <c r="AE953" t="s">
        <v>74</v>
      </c>
      <c r="AF953" t="s">
        <v>74</v>
      </c>
      <c r="AG953">
        <v>137</v>
      </c>
      <c r="AH953">
        <v>48</v>
      </c>
      <c r="AI953">
        <v>50</v>
      </c>
      <c r="AJ953">
        <v>10</v>
      </c>
      <c r="AK953">
        <v>27</v>
      </c>
      <c r="AL953" t="s">
        <v>2632</v>
      </c>
      <c r="AM953" t="s">
        <v>2633</v>
      </c>
      <c r="AN953" t="s">
        <v>2634</v>
      </c>
      <c r="AO953" t="s">
        <v>74</v>
      </c>
      <c r="AP953" t="s">
        <v>3714</v>
      </c>
      <c r="AQ953" t="s">
        <v>74</v>
      </c>
      <c r="AR953" t="s">
        <v>3704</v>
      </c>
      <c r="AS953" t="s">
        <v>3715</v>
      </c>
      <c r="AT953" t="s">
        <v>2125</v>
      </c>
      <c r="AU953">
        <v>2021</v>
      </c>
      <c r="AV953">
        <v>10</v>
      </c>
      <c r="AW953">
        <v>12</v>
      </c>
      <c r="AX953" t="s">
        <v>74</v>
      </c>
      <c r="AY953" t="s">
        <v>74</v>
      </c>
      <c r="AZ953" t="s">
        <v>74</v>
      </c>
      <c r="BA953" t="s">
        <v>74</v>
      </c>
      <c r="BB953" t="s">
        <v>74</v>
      </c>
      <c r="BC953" t="s">
        <v>74</v>
      </c>
      <c r="BD953">
        <v>1236</v>
      </c>
      <c r="BE953" t="s">
        <v>18115</v>
      </c>
      <c r="BF953" t="str">
        <f>HYPERLINK("http://dx.doi.org/10.3390/biology10121236","http://dx.doi.org/10.3390/biology10121236")</f>
        <v>http://dx.doi.org/10.3390/biology10121236</v>
      </c>
      <c r="BG953" t="s">
        <v>74</v>
      </c>
      <c r="BH953" t="s">
        <v>74</v>
      </c>
      <c r="BI953">
        <v>17</v>
      </c>
      <c r="BJ953" t="s">
        <v>1177</v>
      </c>
      <c r="BK953" t="s">
        <v>103</v>
      </c>
      <c r="BL953" t="s">
        <v>1178</v>
      </c>
      <c r="BM953" t="s">
        <v>18116</v>
      </c>
      <c r="BN953">
        <v>34943151</v>
      </c>
      <c r="BO953" t="s">
        <v>292</v>
      </c>
      <c r="BP953" t="s">
        <v>74</v>
      </c>
      <c r="BQ953" t="s">
        <v>74</v>
      </c>
      <c r="BR953" t="s">
        <v>106</v>
      </c>
      <c r="BS953" t="s">
        <v>18117</v>
      </c>
      <c r="BT953" t="str">
        <f>HYPERLINK("https%3A%2F%2Fwww.webofscience.com%2Fwos%2Fwoscc%2Ffull-record%2FWOS:000736376300001","View Full Record in Web of Science")</f>
        <v>View Full Record in Web of Science</v>
      </c>
    </row>
    <row r="954" spans="1:72" x14ac:dyDescent="0.15">
      <c r="A954" t="s">
        <v>72</v>
      </c>
      <c r="B954" t="s">
        <v>18118</v>
      </c>
      <c r="C954" t="s">
        <v>74</v>
      </c>
      <c r="D954" t="s">
        <v>74</v>
      </c>
      <c r="E954" t="s">
        <v>74</v>
      </c>
      <c r="F954" t="s">
        <v>18119</v>
      </c>
      <c r="G954" t="s">
        <v>74</v>
      </c>
      <c r="H954" t="s">
        <v>74</v>
      </c>
      <c r="I954" t="s">
        <v>18120</v>
      </c>
      <c r="J954" t="s">
        <v>13581</v>
      </c>
      <c r="K954" t="s">
        <v>74</v>
      </c>
      <c r="L954" t="s">
        <v>74</v>
      </c>
      <c r="M954" t="s">
        <v>78</v>
      </c>
      <c r="N954" t="s">
        <v>79</v>
      </c>
      <c r="O954" t="s">
        <v>74</v>
      </c>
      <c r="P954" t="s">
        <v>74</v>
      </c>
      <c r="Q954" t="s">
        <v>74</v>
      </c>
      <c r="R954" t="s">
        <v>74</v>
      </c>
      <c r="S954" t="s">
        <v>74</v>
      </c>
      <c r="T954" t="s">
        <v>18121</v>
      </c>
      <c r="U954" t="s">
        <v>18122</v>
      </c>
      <c r="V954" t="s">
        <v>18123</v>
      </c>
      <c r="W954" t="s">
        <v>18124</v>
      </c>
      <c r="X954" t="s">
        <v>18125</v>
      </c>
      <c r="Y954" t="s">
        <v>18126</v>
      </c>
      <c r="Z954" t="s">
        <v>18127</v>
      </c>
      <c r="AA954" t="s">
        <v>18128</v>
      </c>
      <c r="AB954" t="s">
        <v>18129</v>
      </c>
      <c r="AC954" t="s">
        <v>74</v>
      </c>
      <c r="AD954" t="s">
        <v>74</v>
      </c>
      <c r="AE954" t="s">
        <v>74</v>
      </c>
      <c r="AF954" t="s">
        <v>74</v>
      </c>
      <c r="AG954">
        <v>68</v>
      </c>
      <c r="AH954">
        <v>0</v>
      </c>
      <c r="AI954">
        <v>0</v>
      </c>
      <c r="AJ954">
        <v>1</v>
      </c>
      <c r="AK954">
        <v>2</v>
      </c>
      <c r="AL954" t="s">
        <v>2632</v>
      </c>
      <c r="AM954" t="s">
        <v>2633</v>
      </c>
      <c r="AN954" t="s">
        <v>2634</v>
      </c>
      <c r="AO954" t="s">
        <v>74</v>
      </c>
      <c r="AP954" t="s">
        <v>13594</v>
      </c>
      <c r="AQ954" t="s">
        <v>74</v>
      </c>
      <c r="AR954" t="s">
        <v>13581</v>
      </c>
      <c r="AS954" t="s">
        <v>13595</v>
      </c>
      <c r="AT954" t="s">
        <v>2125</v>
      </c>
      <c r="AU954">
        <v>2021</v>
      </c>
      <c r="AV954">
        <v>13</v>
      </c>
      <c r="AW954">
        <v>12</v>
      </c>
      <c r="AX954" t="s">
        <v>74</v>
      </c>
      <c r="AY954" t="s">
        <v>74</v>
      </c>
      <c r="AZ954" t="s">
        <v>74</v>
      </c>
      <c r="BA954" t="s">
        <v>74</v>
      </c>
      <c r="BB954" t="s">
        <v>74</v>
      </c>
      <c r="BC954" t="s">
        <v>74</v>
      </c>
      <c r="BD954">
        <v>675</v>
      </c>
      <c r="BE954" t="s">
        <v>18130</v>
      </c>
      <c r="BF954" t="str">
        <f>HYPERLINK("http://dx.doi.org/10.3390/d13120675","http://dx.doi.org/10.3390/d13120675")</f>
        <v>http://dx.doi.org/10.3390/d13120675</v>
      </c>
      <c r="BG954" t="s">
        <v>74</v>
      </c>
      <c r="BH954" t="s">
        <v>74</v>
      </c>
      <c r="BI954">
        <v>12</v>
      </c>
      <c r="BJ954" t="s">
        <v>1081</v>
      </c>
      <c r="BK954" t="s">
        <v>103</v>
      </c>
      <c r="BL954" t="s">
        <v>1082</v>
      </c>
      <c r="BM954" t="s">
        <v>18131</v>
      </c>
      <c r="BN954" t="s">
        <v>74</v>
      </c>
      <c r="BO954" t="s">
        <v>445</v>
      </c>
      <c r="BP954" t="s">
        <v>74</v>
      </c>
      <c r="BQ954" t="s">
        <v>74</v>
      </c>
      <c r="BR954" t="s">
        <v>106</v>
      </c>
      <c r="BS954" t="s">
        <v>18132</v>
      </c>
      <c r="BT954" t="str">
        <f>HYPERLINK("https%3A%2F%2Fwww.webofscience.com%2Fwos%2Fwoscc%2Ffull-record%2FWOS:000736676200001","View Full Record in Web of Science")</f>
        <v>View Full Record in Web of Science</v>
      </c>
    </row>
    <row r="955" spans="1:72" x14ac:dyDescent="0.15">
      <c r="A955" t="s">
        <v>72</v>
      </c>
      <c r="B955" t="s">
        <v>18133</v>
      </c>
      <c r="C955" t="s">
        <v>74</v>
      </c>
      <c r="D955" t="s">
        <v>74</v>
      </c>
      <c r="E955" t="s">
        <v>74</v>
      </c>
      <c r="F955" t="s">
        <v>18134</v>
      </c>
      <c r="G955" t="s">
        <v>74</v>
      </c>
      <c r="H955" t="s">
        <v>74</v>
      </c>
      <c r="I955" t="s">
        <v>18135</v>
      </c>
      <c r="J955" t="s">
        <v>13581</v>
      </c>
      <c r="K955" t="s">
        <v>74</v>
      </c>
      <c r="L955" t="s">
        <v>74</v>
      </c>
      <c r="M955" t="s">
        <v>78</v>
      </c>
      <c r="N955" t="s">
        <v>79</v>
      </c>
      <c r="O955" t="s">
        <v>74</v>
      </c>
      <c r="P955" t="s">
        <v>74</v>
      </c>
      <c r="Q955" t="s">
        <v>74</v>
      </c>
      <c r="R955" t="s">
        <v>74</v>
      </c>
      <c r="S955" t="s">
        <v>74</v>
      </c>
      <c r="T955" t="s">
        <v>18136</v>
      </c>
      <c r="U955" t="s">
        <v>18137</v>
      </c>
      <c r="V955" t="s">
        <v>18138</v>
      </c>
      <c r="W955" t="s">
        <v>18139</v>
      </c>
      <c r="X955" t="s">
        <v>18140</v>
      </c>
      <c r="Y955" t="s">
        <v>18141</v>
      </c>
      <c r="Z955" t="s">
        <v>18142</v>
      </c>
      <c r="AA955" t="s">
        <v>18143</v>
      </c>
      <c r="AB955" t="s">
        <v>18144</v>
      </c>
      <c r="AC955" t="s">
        <v>74</v>
      </c>
      <c r="AD955" t="s">
        <v>74</v>
      </c>
      <c r="AE955" t="s">
        <v>74</v>
      </c>
      <c r="AF955" t="s">
        <v>74</v>
      </c>
      <c r="AG955">
        <v>88</v>
      </c>
      <c r="AH955">
        <v>0</v>
      </c>
      <c r="AI955">
        <v>0</v>
      </c>
      <c r="AJ955">
        <v>2</v>
      </c>
      <c r="AK955">
        <v>6</v>
      </c>
      <c r="AL955" t="s">
        <v>2632</v>
      </c>
      <c r="AM955" t="s">
        <v>2633</v>
      </c>
      <c r="AN955" t="s">
        <v>2634</v>
      </c>
      <c r="AO955" t="s">
        <v>74</v>
      </c>
      <c r="AP955" t="s">
        <v>13594</v>
      </c>
      <c r="AQ955" t="s">
        <v>74</v>
      </c>
      <c r="AR955" t="s">
        <v>13581</v>
      </c>
      <c r="AS955" t="s">
        <v>13595</v>
      </c>
      <c r="AT955" t="s">
        <v>2125</v>
      </c>
      <c r="AU955">
        <v>2021</v>
      </c>
      <c r="AV955">
        <v>13</v>
      </c>
      <c r="AW955">
        <v>12</v>
      </c>
      <c r="AX955" t="s">
        <v>74</v>
      </c>
      <c r="AY955" t="s">
        <v>74</v>
      </c>
      <c r="AZ955" t="s">
        <v>74</v>
      </c>
      <c r="BA955" t="s">
        <v>74</v>
      </c>
      <c r="BB955" t="s">
        <v>74</v>
      </c>
      <c r="BC955" t="s">
        <v>74</v>
      </c>
      <c r="BD955">
        <v>626</v>
      </c>
      <c r="BE955" t="s">
        <v>18145</v>
      </c>
      <c r="BF955" t="str">
        <f>HYPERLINK("http://dx.doi.org/10.3390/d13120626","http://dx.doi.org/10.3390/d13120626")</f>
        <v>http://dx.doi.org/10.3390/d13120626</v>
      </c>
      <c r="BG955" t="s">
        <v>74</v>
      </c>
      <c r="BH955" t="s">
        <v>74</v>
      </c>
      <c r="BI955">
        <v>22</v>
      </c>
      <c r="BJ955" t="s">
        <v>1081</v>
      </c>
      <c r="BK955" t="s">
        <v>103</v>
      </c>
      <c r="BL955" t="s">
        <v>1082</v>
      </c>
      <c r="BM955" t="s">
        <v>18146</v>
      </c>
      <c r="BN955" t="s">
        <v>74</v>
      </c>
      <c r="BO955" t="s">
        <v>445</v>
      </c>
      <c r="BP955" t="s">
        <v>74</v>
      </c>
      <c r="BQ955" t="s">
        <v>74</v>
      </c>
      <c r="BR955" t="s">
        <v>106</v>
      </c>
      <c r="BS955" t="s">
        <v>18147</v>
      </c>
      <c r="BT955" t="str">
        <f>HYPERLINK("https%3A%2F%2Fwww.webofscience.com%2Fwos%2Fwoscc%2Ffull-record%2FWOS:000736660300001","View Full Record in Web of Science")</f>
        <v>View Full Record in Web of Science</v>
      </c>
    </row>
    <row r="956" spans="1:72" x14ac:dyDescent="0.15">
      <c r="A956" t="s">
        <v>72</v>
      </c>
      <c r="B956" t="s">
        <v>18148</v>
      </c>
      <c r="C956" t="s">
        <v>74</v>
      </c>
      <c r="D956" t="s">
        <v>74</v>
      </c>
      <c r="E956" t="s">
        <v>74</v>
      </c>
      <c r="F956" t="s">
        <v>18149</v>
      </c>
      <c r="G956" t="s">
        <v>74</v>
      </c>
      <c r="H956" t="s">
        <v>74</v>
      </c>
      <c r="I956" t="s">
        <v>18150</v>
      </c>
      <c r="J956" t="s">
        <v>3546</v>
      </c>
      <c r="K956" t="s">
        <v>74</v>
      </c>
      <c r="L956" t="s">
        <v>74</v>
      </c>
      <c r="M956" t="s">
        <v>78</v>
      </c>
      <c r="N956" t="s">
        <v>79</v>
      </c>
      <c r="O956" t="s">
        <v>74</v>
      </c>
      <c r="P956" t="s">
        <v>74</v>
      </c>
      <c r="Q956" t="s">
        <v>74</v>
      </c>
      <c r="R956" t="s">
        <v>74</v>
      </c>
      <c r="S956" t="s">
        <v>74</v>
      </c>
      <c r="T956" t="s">
        <v>18151</v>
      </c>
      <c r="U956" t="s">
        <v>18152</v>
      </c>
      <c r="V956" t="s">
        <v>18153</v>
      </c>
      <c r="W956" t="s">
        <v>18154</v>
      </c>
      <c r="X956" t="s">
        <v>18155</v>
      </c>
      <c r="Y956" t="s">
        <v>18156</v>
      </c>
      <c r="Z956" t="s">
        <v>18157</v>
      </c>
      <c r="AA956" t="s">
        <v>74</v>
      </c>
      <c r="AB956" t="s">
        <v>18158</v>
      </c>
      <c r="AC956" t="s">
        <v>18159</v>
      </c>
      <c r="AD956" t="s">
        <v>18160</v>
      </c>
      <c r="AE956" t="s">
        <v>18161</v>
      </c>
      <c r="AF956" t="s">
        <v>74</v>
      </c>
      <c r="AG956">
        <v>148</v>
      </c>
      <c r="AH956">
        <v>2</v>
      </c>
      <c r="AI956">
        <v>2</v>
      </c>
      <c r="AJ956">
        <v>5</v>
      </c>
      <c r="AK956">
        <v>18</v>
      </c>
      <c r="AL956" t="s">
        <v>605</v>
      </c>
      <c r="AM956" t="s">
        <v>606</v>
      </c>
      <c r="AN956" t="s">
        <v>607</v>
      </c>
      <c r="AO956" t="s">
        <v>3559</v>
      </c>
      <c r="AP956" t="s">
        <v>3560</v>
      </c>
      <c r="AQ956" t="s">
        <v>74</v>
      </c>
      <c r="AR956" t="s">
        <v>3561</v>
      </c>
      <c r="AS956" t="s">
        <v>3562</v>
      </c>
      <c r="AT956" t="s">
        <v>2125</v>
      </c>
      <c r="AU956">
        <v>2021</v>
      </c>
      <c r="AV956">
        <v>36</v>
      </c>
      <c r="AW956">
        <v>12</v>
      </c>
      <c r="AX956" t="s">
        <v>74</v>
      </c>
      <c r="AY956" t="s">
        <v>74</v>
      </c>
      <c r="AZ956" t="s">
        <v>74</v>
      </c>
      <c r="BA956" t="s">
        <v>74</v>
      </c>
      <c r="BB956" t="s">
        <v>74</v>
      </c>
      <c r="BC956" t="s">
        <v>74</v>
      </c>
      <c r="BD956" t="s">
        <v>18162</v>
      </c>
      <c r="BE956" t="s">
        <v>18163</v>
      </c>
      <c r="BF956" t="str">
        <f>HYPERLINK("http://dx.doi.org/10.1029/2020PA004168","http://dx.doi.org/10.1029/2020PA004168")</f>
        <v>http://dx.doi.org/10.1029/2020PA004168</v>
      </c>
      <c r="BG956" t="s">
        <v>74</v>
      </c>
      <c r="BH956" t="s">
        <v>74</v>
      </c>
      <c r="BI956">
        <v>23</v>
      </c>
      <c r="BJ956" t="s">
        <v>3565</v>
      </c>
      <c r="BK956" t="s">
        <v>103</v>
      </c>
      <c r="BL956" t="s">
        <v>3566</v>
      </c>
      <c r="BM956" t="s">
        <v>18164</v>
      </c>
      <c r="BN956" t="s">
        <v>74</v>
      </c>
      <c r="BO956" t="s">
        <v>640</v>
      </c>
      <c r="BP956" t="s">
        <v>74</v>
      </c>
      <c r="BQ956" t="s">
        <v>74</v>
      </c>
      <c r="BR956" t="s">
        <v>106</v>
      </c>
      <c r="BS956" t="s">
        <v>18165</v>
      </c>
      <c r="BT956" t="str">
        <f>HYPERLINK("https%3A%2F%2Fwww.webofscience.com%2Fwos%2Fwoscc%2Ffull-record%2FWOS:000735924600008","View Full Record in Web of Science")</f>
        <v>View Full Record in Web of Science</v>
      </c>
    </row>
    <row r="957" spans="1:72" x14ac:dyDescent="0.15">
      <c r="A957" t="s">
        <v>72</v>
      </c>
      <c r="B957" t="s">
        <v>18166</v>
      </c>
      <c r="C957" t="s">
        <v>74</v>
      </c>
      <c r="D957" t="s">
        <v>74</v>
      </c>
      <c r="E957" t="s">
        <v>74</v>
      </c>
      <c r="F957" t="s">
        <v>18167</v>
      </c>
      <c r="G957" t="s">
        <v>74</v>
      </c>
      <c r="H957" t="s">
        <v>74</v>
      </c>
      <c r="I957" t="s">
        <v>18168</v>
      </c>
      <c r="J957" t="s">
        <v>3487</v>
      </c>
      <c r="K957" t="s">
        <v>74</v>
      </c>
      <c r="L957" t="s">
        <v>74</v>
      </c>
      <c r="M957" t="s">
        <v>78</v>
      </c>
      <c r="N957" t="s">
        <v>79</v>
      </c>
      <c r="O957" t="s">
        <v>74</v>
      </c>
      <c r="P957" t="s">
        <v>74</v>
      </c>
      <c r="Q957" t="s">
        <v>74</v>
      </c>
      <c r="R957" t="s">
        <v>74</v>
      </c>
      <c r="S957" t="s">
        <v>74</v>
      </c>
      <c r="T957" t="s">
        <v>18169</v>
      </c>
      <c r="U957" t="s">
        <v>18170</v>
      </c>
      <c r="V957" t="s">
        <v>18171</v>
      </c>
      <c r="W957" t="s">
        <v>18172</v>
      </c>
      <c r="X957" t="s">
        <v>18173</v>
      </c>
      <c r="Y957" t="s">
        <v>18174</v>
      </c>
      <c r="Z957" t="s">
        <v>18175</v>
      </c>
      <c r="AA957" t="s">
        <v>18176</v>
      </c>
      <c r="AB957" t="s">
        <v>18177</v>
      </c>
      <c r="AC957" t="s">
        <v>18178</v>
      </c>
      <c r="AD957" t="s">
        <v>18179</v>
      </c>
      <c r="AE957" t="s">
        <v>18180</v>
      </c>
      <c r="AF957" t="s">
        <v>74</v>
      </c>
      <c r="AG957">
        <v>60</v>
      </c>
      <c r="AH957">
        <v>8</v>
      </c>
      <c r="AI957">
        <v>8</v>
      </c>
      <c r="AJ957">
        <v>2</v>
      </c>
      <c r="AK957">
        <v>8</v>
      </c>
      <c r="AL957" t="s">
        <v>605</v>
      </c>
      <c r="AM957" t="s">
        <v>606</v>
      </c>
      <c r="AN957" t="s">
        <v>607</v>
      </c>
      <c r="AO957" t="s">
        <v>74</v>
      </c>
      <c r="AP957" t="s">
        <v>3500</v>
      </c>
      <c r="AQ957" t="s">
        <v>74</v>
      </c>
      <c r="AR957" t="s">
        <v>3501</v>
      </c>
      <c r="AS957" t="s">
        <v>3502</v>
      </c>
      <c r="AT957" t="s">
        <v>2125</v>
      </c>
      <c r="AU957">
        <v>2021</v>
      </c>
      <c r="AV957">
        <v>19</v>
      </c>
      <c r="AW957">
        <v>12</v>
      </c>
      <c r="AX957" t="s">
        <v>74</v>
      </c>
      <c r="AY957" t="s">
        <v>74</v>
      </c>
      <c r="AZ957" t="s">
        <v>74</v>
      </c>
      <c r="BA957" t="s">
        <v>74</v>
      </c>
      <c r="BB957" t="s">
        <v>74</v>
      </c>
      <c r="BC957" t="s">
        <v>74</v>
      </c>
      <c r="BD957" t="s">
        <v>18181</v>
      </c>
      <c r="BE957" t="s">
        <v>18182</v>
      </c>
      <c r="BF957" t="str">
        <f>HYPERLINK("http://dx.doi.org/10.1029/2021SW002823","http://dx.doi.org/10.1029/2021SW002823")</f>
        <v>http://dx.doi.org/10.1029/2021SW002823</v>
      </c>
      <c r="BG957" t="s">
        <v>74</v>
      </c>
      <c r="BH957" t="s">
        <v>74</v>
      </c>
      <c r="BI957">
        <v>21</v>
      </c>
      <c r="BJ957" t="s">
        <v>3505</v>
      </c>
      <c r="BK957" t="s">
        <v>103</v>
      </c>
      <c r="BL957" t="s">
        <v>3505</v>
      </c>
      <c r="BM957" t="s">
        <v>18183</v>
      </c>
      <c r="BN957" t="s">
        <v>74</v>
      </c>
      <c r="BO957" t="s">
        <v>3307</v>
      </c>
      <c r="BP957" t="s">
        <v>74</v>
      </c>
      <c r="BQ957" t="s">
        <v>74</v>
      </c>
      <c r="BR957" t="s">
        <v>106</v>
      </c>
      <c r="BS957" t="s">
        <v>18184</v>
      </c>
      <c r="BT957" t="str">
        <f>HYPERLINK("https%3A%2F%2Fwww.webofscience.com%2Fwos%2Fwoscc%2Ffull-record%2FWOS:000735908200013","View Full Record in Web of Science")</f>
        <v>View Full Record in Web of Science</v>
      </c>
    </row>
    <row r="958" spans="1:72" x14ac:dyDescent="0.15">
      <c r="A958" t="s">
        <v>72</v>
      </c>
      <c r="B958" t="s">
        <v>18185</v>
      </c>
      <c r="C958" t="s">
        <v>74</v>
      </c>
      <c r="D958" t="s">
        <v>74</v>
      </c>
      <c r="E958" t="s">
        <v>74</v>
      </c>
      <c r="F958" t="s">
        <v>18186</v>
      </c>
      <c r="G958" t="s">
        <v>74</v>
      </c>
      <c r="H958" t="s">
        <v>74</v>
      </c>
      <c r="I958" t="s">
        <v>18187</v>
      </c>
      <c r="J958" t="s">
        <v>3880</v>
      </c>
      <c r="K958" t="s">
        <v>74</v>
      </c>
      <c r="L958" t="s">
        <v>74</v>
      </c>
      <c r="M958" t="s">
        <v>78</v>
      </c>
      <c r="N958" t="s">
        <v>79</v>
      </c>
      <c r="O958" t="s">
        <v>74</v>
      </c>
      <c r="P958" t="s">
        <v>74</v>
      </c>
      <c r="Q958" t="s">
        <v>74</v>
      </c>
      <c r="R958" t="s">
        <v>74</v>
      </c>
      <c r="S958" t="s">
        <v>74</v>
      </c>
      <c r="T958" t="s">
        <v>18188</v>
      </c>
      <c r="U958" t="s">
        <v>18189</v>
      </c>
      <c r="V958" t="s">
        <v>18190</v>
      </c>
      <c r="W958" t="s">
        <v>18191</v>
      </c>
      <c r="X958" t="s">
        <v>18192</v>
      </c>
      <c r="Y958" t="s">
        <v>18193</v>
      </c>
      <c r="Z958" t="s">
        <v>18194</v>
      </c>
      <c r="AA958" t="s">
        <v>74</v>
      </c>
      <c r="AB958" t="s">
        <v>18195</v>
      </c>
      <c r="AC958" t="s">
        <v>18196</v>
      </c>
      <c r="AD958" t="s">
        <v>18197</v>
      </c>
      <c r="AE958" t="s">
        <v>18198</v>
      </c>
      <c r="AF958" t="s">
        <v>74</v>
      </c>
      <c r="AG958">
        <v>57</v>
      </c>
      <c r="AH958">
        <v>4</v>
      </c>
      <c r="AI958">
        <v>4</v>
      </c>
      <c r="AJ958">
        <v>0</v>
      </c>
      <c r="AK958">
        <v>1</v>
      </c>
      <c r="AL958" t="s">
        <v>2632</v>
      </c>
      <c r="AM958" t="s">
        <v>2633</v>
      </c>
      <c r="AN958" t="s">
        <v>2634</v>
      </c>
      <c r="AO958" t="s">
        <v>74</v>
      </c>
      <c r="AP958" t="s">
        <v>3890</v>
      </c>
      <c r="AQ958" t="s">
        <v>74</v>
      </c>
      <c r="AR958" t="s">
        <v>3891</v>
      </c>
      <c r="AS958" t="s">
        <v>3892</v>
      </c>
      <c r="AT958" t="s">
        <v>2125</v>
      </c>
      <c r="AU958">
        <v>2021</v>
      </c>
      <c r="AV958">
        <v>12</v>
      </c>
      <c r="AW958">
        <v>12</v>
      </c>
      <c r="AX958" t="s">
        <v>74</v>
      </c>
      <c r="AY958" t="s">
        <v>74</v>
      </c>
      <c r="AZ958" t="s">
        <v>74</v>
      </c>
      <c r="BA958" t="s">
        <v>74</v>
      </c>
      <c r="BB958" t="s">
        <v>74</v>
      </c>
      <c r="BC958" t="s">
        <v>74</v>
      </c>
      <c r="BD958">
        <v>1635</v>
      </c>
      <c r="BE958" t="s">
        <v>18199</v>
      </c>
      <c r="BF958" t="str">
        <f>HYPERLINK("http://dx.doi.org/10.3390/atmos12121635","http://dx.doi.org/10.3390/atmos12121635")</f>
        <v>http://dx.doi.org/10.3390/atmos12121635</v>
      </c>
      <c r="BG958" t="s">
        <v>74</v>
      </c>
      <c r="BH958" t="s">
        <v>74</v>
      </c>
      <c r="BI958">
        <v>20</v>
      </c>
      <c r="BJ958" t="s">
        <v>129</v>
      </c>
      <c r="BK958" t="s">
        <v>103</v>
      </c>
      <c r="BL958" t="s">
        <v>130</v>
      </c>
      <c r="BM958" t="s">
        <v>18200</v>
      </c>
      <c r="BN958" t="s">
        <v>74</v>
      </c>
      <c r="BO958" t="s">
        <v>445</v>
      </c>
      <c r="BP958" t="s">
        <v>74</v>
      </c>
      <c r="BQ958" t="s">
        <v>74</v>
      </c>
      <c r="BR958" t="s">
        <v>106</v>
      </c>
      <c r="BS958" t="s">
        <v>18201</v>
      </c>
      <c r="BT958" t="str">
        <f>HYPERLINK("https%3A%2F%2Fwww.webofscience.com%2Fwos%2Fwoscc%2Ffull-record%2FWOS:000735732300001","View Full Record in Web of Science")</f>
        <v>View Full Record in Web of Science</v>
      </c>
    </row>
    <row r="959" spans="1:72" x14ac:dyDescent="0.15">
      <c r="A959" t="s">
        <v>72</v>
      </c>
      <c r="B959" t="s">
        <v>18202</v>
      </c>
      <c r="C959" t="s">
        <v>74</v>
      </c>
      <c r="D959" t="s">
        <v>74</v>
      </c>
      <c r="E959" t="s">
        <v>74</v>
      </c>
      <c r="F959" t="s">
        <v>18203</v>
      </c>
      <c r="G959" t="s">
        <v>74</v>
      </c>
      <c r="H959" t="s">
        <v>74</v>
      </c>
      <c r="I959" t="s">
        <v>18204</v>
      </c>
      <c r="J959" t="s">
        <v>18205</v>
      </c>
      <c r="K959" t="s">
        <v>74</v>
      </c>
      <c r="L959" t="s">
        <v>74</v>
      </c>
      <c r="M959" t="s">
        <v>78</v>
      </c>
      <c r="N959" t="s">
        <v>79</v>
      </c>
      <c r="O959" t="s">
        <v>74</v>
      </c>
      <c r="P959" t="s">
        <v>74</v>
      </c>
      <c r="Q959" t="s">
        <v>74</v>
      </c>
      <c r="R959" t="s">
        <v>74</v>
      </c>
      <c r="S959" t="s">
        <v>74</v>
      </c>
      <c r="T959" t="s">
        <v>18206</v>
      </c>
      <c r="U959" t="s">
        <v>18207</v>
      </c>
      <c r="V959" t="s">
        <v>18208</v>
      </c>
      <c r="W959" t="s">
        <v>18209</v>
      </c>
      <c r="X959" t="s">
        <v>18210</v>
      </c>
      <c r="Y959" t="s">
        <v>18211</v>
      </c>
      <c r="Z959" t="s">
        <v>18212</v>
      </c>
      <c r="AA959" t="s">
        <v>18213</v>
      </c>
      <c r="AB959" t="s">
        <v>18214</v>
      </c>
      <c r="AC959" t="s">
        <v>18215</v>
      </c>
      <c r="AD959" t="s">
        <v>18216</v>
      </c>
      <c r="AE959" t="s">
        <v>18217</v>
      </c>
      <c r="AF959" t="s">
        <v>74</v>
      </c>
      <c r="AG959">
        <v>75</v>
      </c>
      <c r="AH959">
        <v>6</v>
      </c>
      <c r="AI959">
        <v>7</v>
      </c>
      <c r="AJ959">
        <v>1</v>
      </c>
      <c r="AK959">
        <v>9</v>
      </c>
      <c r="AL959" t="s">
        <v>605</v>
      </c>
      <c r="AM959" t="s">
        <v>606</v>
      </c>
      <c r="AN959" t="s">
        <v>607</v>
      </c>
      <c r="AO959" t="s">
        <v>74</v>
      </c>
      <c r="AP959" t="s">
        <v>18218</v>
      </c>
      <c r="AQ959" t="s">
        <v>74</v>
      </c>
      <c r="AR959" t="s">
        <v>18219</v>
      </c>
      <c r="AS959" t="s">
        <v>18220</v>
      </c>
      <c r="AT959" t="s">
        <v>2125</v>
      </c>
      <c r="AU959">
        <v>2021</v>
      </c>
      <c r="AV959">
        <v>22</v>
      </c>
      <c r="AW959">
        <v>12</v>
      </c>
      <c r="AX959" t="s">
        <v>74</v>
      </c>
      <c r="AY959" t="s">
        <v>74</v>
      </c>
      <c r="AZ959" t="s">
        <v>74</v>
      </c>
      <c r="BA959" t="s">
        <v>74</v>
      </c>
      <c r="BB959" t="s">
        <v>74</v>
      </c>
      <c r="BC959" t="s">
        <v>74</v>
      </c>
      <c r="BD959" t="s">
        <v>18221</v>
      </c>
      <c r="BE959" t="s">
        <v>18222</v>
      </c>
      <c r="BF959" t="str">
        <f>HYPERLINK("http://dx.doi.org/10.1029/2021GC010154","http://dx.doi.org/10.1029/2021GC010154")</f>
        <v>http://dx.doi.org/10.1029/2021GC010154</v>
      </c>
      <c r="BG959" t="s">
        <v>74</v>
      </c>
      <c r="BH959" t="s">
        <v>74</v>
      </c>
      <c r="BI959">
        <v>14</v>
      </c>
      <c r="BJ959" t="s">
        <v>1014</v>
      </c>
      <c r="BK959" t="s">
        <v>103</v>
      </c>
      <c r="BL959" t="s">
        <v>1014</v>
      </c>
      <c r="BM959" t="s">
        <v>18223</v>
      </c>
      <c r="BN959" t="s">
        <v>74</v>
      </c>
      <c r="BO959" t="s">
        <v>5641</v>
      </c>
      <c r="BP959" t="s">
        <v>74</v>
      </c>
      <c r="BQ959" t="s">
        <v>74</v>
      </c>
      <c r="BR959" t="s">
        <v>106</v>
      </c>
      <c r="BS959" t="s">
        <v>18224</v>
      </c>
      <c r="BT959" t="str">
        <f>HYPERLINK("https%3A%2F%2Fwww.webofscience.com%2Fwos%2Fwoscc%2Ffull-record%2FWOS:000735891600010","View Full Record in Web of Science")</f>
        <v>View Full Record in Web of Science</v>
      </c>
    </row>
    <row r="960" spans="1:72" x14ac:dyDescent="0.15">
      <c r="A960" t="s">
        <v>72</v>
      </c>
      <c r="B960" t="s">
        <v>18225</v>
      </c>
      <c r="C960" t="s">
        <v>74</v>
      </c>
      <c r="D960" t="s">
        <v>74</v>
      </c>
      <c r="E960" t="s">
        <v>74</v>
      </c>
      <c r="F960" t="s">
        <v>18226</v>
      </c>
      <c r="G960" t="s">
        <v>74</v>
      </c>
      <c r="H960" t="s">
        <v>74</v>
      </c>
      <c r="I960" t="s">
        <v>18227</v>
      </c>
      <c r="J960" t="s">
        <v>3071</v>
      </c>
      <c r="K960" t="s">
        <v>74</v>
      </c>
      <c r="L960" t="s">
        <v>74</v>
      </c>
      <c r="M960" t="s">
        <v>78</v>
      </c>
      <c r="N960" t="s">
        <v>79</v>
      </c>
      <c r="O960" t="s">
        <v>74</v>
      </c>
      <c r="P960" t="s">
        <v>74</v>
      </c>
      <c r="Q960" t="s">
        <v>74</v>
      </c>
      <c r="R960" t="s">
        <v>74</v>
      </c>
      <c r="S960" t="s">
        <v>74</v>
      </c>
      <c r="T960" t="s">
        <v>18228</v>
      </c>
      <c r="U960" t="s">
        <v>18229</v>
      </c>
      <c r="V960" t="s">
        <v>18230</v>
      </c>
      <c r="W960" t="s">
        <v>18231</v>
      </c>
      <c r="X960" t="s">
        <v>18232</v>
      </c>
      <c r="Y960" t="s">
        <v>3493</v>
      </c>
      <c r="Z960" t="s">
        <v>3494</v>
      </c>
      <c r="AA960" t="s">
        <v>3495</v>
      </c>
      <c r="AB960" t="s">
        <v>3496</v>
      </c>
      <c r="AC960" t="s">
        <v>18233</v>
      </c>
      <c r="AD960" t="s">
        <v>18234</v>
      </c>
      <c r="AE960" t="s">
        <v>18235</v>
      </c>
      <c r="AF960" t="s">
        <v>74</v>
      </c>
      <c r="AG960">
        <v>127</v>
      </c>
      <c r="AH960">
        <v>25</v>
      </c>
      <c r="AI960">
        <v>25</v>
      </c>
      <c r="AJ960">
        <v>1</v>
      </c>
      <c r="AK960">
        <v>6</v>
      </c>
      <c r="AL960" t="s">
        <v>605</v>
      </c>
      <c r="AM960" t="s">
        <v>606</v>
      </c>
      <c r="AN960" t="s">
        <v>607</v>
      </c>
      <c r="AO960" t="s">
        <v>3084</v>
      </c>
      <c r="AP960" t="s">
        <v>3085</v>
      </c>
      <c r="AQ960" t="s">
        <v>74</v>
      </c>
      <c r="AR960" t="s">
        <v>3086</v>
      </c>
      <c r="AS960" t="s">
        <v>3087</v>
      </c>
      <c r="AT960" t="s">
        <v>2125</v>
      </c>
      <c r="AU960">
        <v>2021</v>
      </c>
      <c r="AV960">
        <v>126</v>
      </c>
      <c r="AW960">
        <v>12</v>
      </c>
      <c r="AX960" t="s">
        <v>74</v>
      </c>
      <c r="AY960" t="s">
        <v>74</v>
      </c>
      <c r="AZ960" t="s">
        <v>74</v>
      </c>
      <c r="BA960" t="s">
        <v>74</v>
      </c>
      <c r="BB960" t="s">
        <v>74</v>
      </c>
      <c r="BC960" t="s">
        <v>74</v>
      </c>
      <c r="BD960" t="s">
        <v>18236</v>
      </c>
      <c r="BE960" t="s">
        <v>18237</v>
      </c>
      <c r="BF960" t="str">
        <f>HYPERLINK("http://dx.doi.org/10.1029/2021JA029946","http://dx.doi.org/10.1029/2021JA029946")</f>
        <v>http://dx.doi.org/10.1029/2021JA029946</v>
      </c>
      <c r="BG960" t="s">
        <v>74</v>
      </c>
      <c r="BH960" t="s">
        <v>74</v>
      </c>
      <c r="BI960">
        <v>41</v>
      </c>
      <c r="BJ960" t="s">
        <v>262</v>
      </c>
      <c r="BK960" t="s">
        <v>103</v>
      </c>
      <c r="BL960" t="s">
        <v>262</v>
      </c>
      <c r="BM960" t="s">
        <v>18238</v>
      </c>
      <c r="BN960" t="s">
        <v>74</v>
      </c>
      <c r="BO960" t="s">
        <v>1762</v>
      </c>
      <c r="BP960" t="s">
        <v>74</v>
      </c>
      <c r="BQ960" t="s">
        <v>74</v>
      </c>
      <c r="BR960" t="s">
        <v>106</v>
      </c>
      <c r="BS960" t="s">
        <v>18239</v>
      </c>
      <c r="BT960" t="str">
        <f>HYPERLINK("https%3A%2F%2Fwww.webofscience.com%2Fwos%2Fwoscc%2Ffull-record%2FWOS:000735715600018","View Full Record in Web of Science")</f>
        <v>View Full Record in Web of Science</v>
      </c>
    </row>
    <row r="961" spans="1:72" x14ac:dyDescent="0.15">
      <c r="A961" t="s">
        <v>72</v>
      </c>
      <c r="B961" t="s">
        <v>18240</v>
      </c>
      <c r="C961" t="s">
        <v>74</v>
      </c>
      <c r="D961" t="s">
        <v>74</v>
      </c>
      <c r="E961" t="s">
        <v>74</v>
      </c>
      <c r="F961" t="s">
        <v>18241</v>
      </c>
      <c r="G961" t="s">
        <v>74</v>
      </c>
      <c r="H961" t="s">
        <v>74</v>
      </c>
      <c r="I961" t="s">
        <v>18242</v>
      </c>
      <c r="J961" t="s">
        <v>3071</v>
      </c>
      <c r="K961" t="s">
        <v>74</v>
      </c>
      <c r="L961" t="s">
        <v>74</v>
      </c>
      <c r="M961" t="s">
        <v>78</v>
      </c>
      <c r="N961" t="s">
        <v>79</v>
      </c>
      <c r="O961" t="s">
        <v>74</v>
      </c>
      <c r="P961" t="s">
        <v>74</v>
      </c>
      <c r="Q961" t="s">
        <v>74</v>
      </c>
      <c r="R961" t="s">
        <v>74</v>
      </c>
      <c r="S961" t="s">
        <v>74</v>
      </c>
      <c r="T961" t="s">
        <v>18243</v>
      </c>
      <c r="U961" t="s">
        <v>18244</v>
      </c>
      <c r="V961" t="s">
        <v>18245</v>
      </c>
      <c r="W961" t="s">
        <v>18246</v>
      </c>
      <c r="X961" t="s">
        <v>18247</v>
      </c>
      <c r="Y961" t="s">
        <v>18248</v>
      </c>
      <c r="Z961" t="s">
        <v>18249</v>
      </c>
      <c r="AA961" t="s">
        <v>18250</v>
      </c>
      <c r="AB961" t="s">
        <v>18251</v>
      </c>
      <c r="AC961" t="s">
        <v>18252</v>
      </c>
      <c r="AD961" t="s">
        <v>18253</v>
      </c>
      <c r="AE961" t="s">
        <v>18254</v>
      </c>
      <c r="AF961" t="s">
        <v>74</v>
      </c>
      <c r="AG961">
        <v>50</v>
      </c>
      <c r="AH961">
        <v>2</v>
      </c>
      <c r="AI961">
        <v>2</v>
      </c>
      <c r="AJ961">
        <v>1</v>
      </c>
      <c r="AK961">
        <v>10</v>
      </c>
      <c r="AL961" t="s">
        <v>605</v>
      </c>
      <c r="AM961" t="s">
        <v>606</v>
      </c>
      <c r="AN961" t="s">
        <v>607</v>
      </c>
      <c r="AO961" t="s">
        <v>3084</v>
      </c>
      <c r="AP961" t="s">
        <v>3085</v>
      </c>
      <c r="AQ961" t="s">
        <v>74</v>
      </c>
      <c r="AR961" t="s">
        <v>3086</v>
      </c>
      <c r="AS961" t="s">
        <v>3087</v>
      </c>
      <c r="AT961" t="s">
        <v>2125</v>
      </c>
      <c r="AU961">
        <v>2021</v>
      </c>
      <c r="AV961">
        <v>126</v>
      </c>
      <c r="AW961">
        <v>12</v>
      </c>
      <c r="AX961" t="s">
        <v>74</v>
      </c>
      <c r="AY961" t="s">
        <v>74</v>
      </c>
      <c r="AZ961" t="s">
        <v>74</v>
      </c>
      <c r="BA961" t="s">
        <v>74</v>
      </c>
      <c r="BB961" t="s">
        <v>74</v>
      </c>
      <c r="BC961" t="s">
        <v>74</v>
      </c>
      <c r="BD961" t="s">
        <v>18255</v>
      </c>
      <c r="BE961" t="s">
        <v>18256</v>
      </c>
      <c r="BF961" t="str">
        <f>HYPERLINK("http://dx.doi.org/10.1029/2021JA029777","http://dx.doi.org/10.1029/2021JA029777")</f>
        <v>http://dx.doi.org/10.1029/2021JA029777</v>
      </c>
      <c r="BG961" t="s">
        <v>74</v>
      </c>
      <c r="BH961" t="s">
        <v>74</v>
      </c>
      <c r="BI961">
        <v>22</v>
      </c>
      <c r="BJ961" t="s">
        <v>262</v>
      </c>
      <c r="BK961" t="s">
        <v>103</v>
      </c>
      <c r="BL961" t="s">
        <v>262</v>
      </c>
      <c r="BM961" t="s">
        <v>18238</v>
      </c>
      <c r="BN961" t="s">
        <v>74</v>
      </c>
      <c r="BO961" t="s">
        <v>5641</v>
      </c>
      <c r="BP961" t="s">
        <v>74</v>
      </c>
      <c r="BQ961" t="s">
        <v>74</v>
      </c>
      <c r="BR961" t="s">
        <v>106</v>
      </c>
      <c r="BS961" t="s">
        <v>18257</v>
      </c>
      <c r="BT961" t="str">
        <f>HYPERLINK("https%3A%2F%2Fwww.webofscience.com%2Fwos%2Fwoscc%2Ffull-record%2FWOS:000735715600057","View Full Record in Web of Science")</f>
        <v>View Full Record in Web of Science</v>
      </c>
    </row>
    <row r="962" spans="1:72" x14ac:dyDescent="0.15">
      <c r="A962" t="s">
        <v>72</v>
      </c>
      <c r="B962" t="s">
        <v>18258</v>
      </c>
      <c r="C962" t="s">
        <v>74</v>
      </c>
      <c r="D962" t="s">
        <v>74</v>
      </c>
      <c r="E962" t="s">
        <v>74</v>
      </c>
      <c r="F962" t="s">
        <v>18259</v>
      </c>
      <c r="G962" t="s">
        <v>74</v>
      </c>
      <c r="H962" t="s">
        <v>74</v>
      </c>
      <c r="I962" t="s">
        <v>18260</v>
      </c>
      <c r="J962" t="s">
        <v>3071</v>
      </c>
      <c r="K962" t="s">
        <v>74</v>
      </c>
      <c r="L962" t="s">
        <v>74</v>
      </c>
      <c r="M962" t="s">
        <v>78</v>
      </c>
      <c r="N962" t="s">
        <v>79</v>
      </c>
      <c r="O962" t="s">
        <v>74</v>
      </c>
      <c r="P962" t="s">
        <v>74</v>
      </c>
      <c r="Q962" t="s">
        <v>74</v>
      </c>
      <c r="R962" t="s">
        <v>74</v>
      </c>
      <c r="S962" t="s">
        <v>74</v>
      </c>
      <c r="T962" t="s">
        <v>18261</v>
      </c>
      <c r="U962" t="s">
        <v>18262</v>
      </c>
      <c r="V962" t="s">
        <v>18263</v>
      </c>
      <c r="W962" t="s">
        <v>18264</v>
      </c>
      <c r="X962" t="s">
        <v>18265</v>
      </c>
      <c r="Y962" t="s">
        <v>18266</v>
      </c>
      <c r="Z962" t="s">
        <v>18267</v>
      </c>
      <c r="AA962" t="s">
        <v>18268</v>
      </c>
      <c r="AB962" t="s">
        <v>18269</v>
      </c>
      <c r="AC962" t="s">
        <v>18270</v>
      </c>
      <c r="AD962" t="s">
        <v>18271</v>
      </c>
      <c r="AE962" t="s">
        <v>18272</v>
      </c>
      <c r="AF962" t="s">
        <v>74</v>
      </c>
      <c r="AG962">
        <v>60</v>
      </c>
      <c r="AH962">
        <v>1</v>
      </c>
      <c r="AI962">
        <v>1</v>
      </c>
      <c r="AJ962">
        <v>0</v>
      </c>
      <c r="AK962">
        <v>0</v>
      </c>
      <c r="AL962" t="s">
        <v>605</v>
      </c>
      <c r="AM962" t="s">
        <v>606</v>
      </c>
      <c r="AN962" t="s">
        <v>607</v>
      </c>
      <c r="AO962" t="s">
        <v>3084</v>
      </c>
      <c r="AP962" t="s">
        <v>3085</v>
      </c>
      <c r="AQ962" t="s">
        <v>74</v>
      </c>
      <c r="AR962" t="s">
        <v>3086</v>
      </c>
      <c r="AS962" t="s">
        <v>3087</v>
      </c>
      <c r="AT962" t="s">
        <v>2125</v>
      </c>
      <c r="AU962">
        <v>2021</v>
      </c>
      <c r="AV962">
        <v>126</v>
      </c>
      <c r="AW962">
        <v>12</v>
      </c>
      <c r="AX962" t="s">
        <v>74</v>
      </c>
      <c r="AY962" t="s">
        <v>74</v>
      </c>
      <c r="AZ962" t="s">
        <v>74</v>
      </c>
      <c r="BA962" t="s">
        <v>74</v>
      </c>
      <c r="BB962" t="s">
        <v>74</v>
      </c>
      <c r="BC962" t="s">
        <v>74</v>
      </c>
      <c r="BD962" t="s">
        <v>18273</v>
      </c>
      <c r="BE962" t="s">
        <v>18274</v>
      </c>
      <c r="BF962" t="str">
        <f>HYPERLINK("http://dx.doi.org/10.1029/2021JA029779","http://dx.doi.org/10.1029/2021JA029779")</f>
        <v>http://dx.doi.org/10.1029/2021JA029779</v>
      </c>
      <c r="BG962" t="s">
        <v>74</v>
      </c>
      <c r="BH962" t="s">
        <v>74</v>
      </c>
      <c r="BI962">
        <v>14</v>
      </c>
      <c r="BJ962" t="s">
        <v>262</v>
      </c>
      <c r="BK962" t="s">
        <v>103</v>
      </c>
      <c r="BL962" t="s">
        <v>262</v>
      </c>
      <c r="BM962" t="s">
        <v>18238</v>
      </c>
      <c r="BN962" t="s">
        <v>74</v>
      </c>
      <c r="BO962" t="s">
        <v>74</v>
      </c>
      <c r="BP962" t="s">
        <v>74</v>
      </c>
      <c r="BQ962" t="s">
        <v>74</v>
      </c>
      <c r="BR962" t="s">
        <v>106</v>
      </c>
      <c r="BS962" t="s">
        <v>18275</v>
      </c>
      <c r="BT962" t="str">
        <f>HYPERLINK("https%3A%2F%2Fwww.webofscience.com%2Fwos%2Fwoscc%2Ffull-record%2FWOS:000735715600054","View Full Record in Web of Science")</f>
        <v>View Full Record in Web of Science</v>
      </c>
    </row>
    <row r="963" spans="1:72" x14ac:dyDescent="0.15">
      <c r="A963" t="s">
        <v>72</v>
      </c>
      <c r="B963" t="s">
        <v>18276</v>
      </c>
      <c r="C963" t="s">
        <v>74</v>
      </c>
      <c r="D963" t="s">
        <v>74</v>
      </c>
      <c r="E963" t="s">
        <v>74</v>
      </c>
      <c r="F963" t="s">
        <v>18277</v>
      </c>
      <c r="G963" t="s">
        <v>74</v>
      </c>
      <c r="H963" t="s">
        <v>74</v>
      </c>
      <c r="I963" t="s">
        <v>18278</v>
      </c>
      <c r="J963" t="s">
        <v>3487</v>
      </c>
      <c r="K963" t="s">
        <v>74</v>
      </c>
      <c r="L963" t="s">
        <v>74</v>
      </c>
      <c r="M963" t="s">
        <v>78</v>
      </c>
      <c r="N963" t="s">
        <v>79</v>
      </c>
      <c r="O963" t="s">
        <v>74</v>
      </c>
      <c r="P963" t="s">
        <v>74</v>
      </c>
      <c r="Q963" t="s">
        <v>74</v>
      </c>
      <c r="R963" t="s">
        <v>74</v>
      </c>
      <c r="S963" t="s">
        <v>74</v>
      </c>
      <c r="T963" t="s">
        <v>18279</v>
      </c>
      <c r="U963" t="s">
        <v>18280</v>
      </c>
      <c r="V963" t="s">
        <v>18281</v>
      </c>
      <c r="W963" t="s">
        <v>18282</v>
      </c>
      <c r="X963" t="s">
        <v>3236</v>
      </c>
      <c r="Y963" t="s">
        <v>18283</v>
      </c>
      <c r="Z963" t="s">
        <v>18284</v>
      </c>
      <c r="AA963" t="s">
        <v>18285</v>
      </c>
      <c r="AB963" t="s">
        <v>18286</v>
      </c>
      <c r="AC963" t="s">
        <v>18287</v>
      </c>
      <c r="AD963" t="s">
        <v>18288</v>
      </c>
      <c r="AE963" t="s">
        <v>18289</v>
      </c>
      <c r="AF963" t="s">
        <v>74</v>
      </c>
      <c r="AG963">
        <v>61</v>
      </c>
      <c r="AH963">
        <v>8</v>
      </c>
      <c r="AI963">
        <v>8</v>
      </c>
      <c r="AJ963">
        <v>0</v>
      </c>
      <c r="AK963">
        <v>3</v>
      </c>
      <c r="AL963" t="s">
        <v>605</v>
      </c>
      <c r="AM963" t="s">
        <v>606</v>
      </c>
      <c r="AN963" t="s">
        <v>607</v>
      </c>
      <c r="AO963" t="s">
        <v>74</v>
      </c>
      <c r="AP963" t="s">
        <v>3500</v>
      </c>
      <c r="AQ963" t="s">
        <v>74</v>
      </c>
      <c r="AR963" t="s">
        <v>3501</v>
      </c>
      <c r="AS963" t="s">
        <v>3502</v>
      </c>
      <c r="AT963" t="s">
        <v>2125</v>
      </c>
      <c r="AU963">
        <v>2021</v>
      </c>
      <c r="AV963">
        <v>19</v>
      </c>
      <c r="AW963">
        <v>12</v>
      </c>
      <c r="AX963" t="s">
        <v>74</v>
      </c>
      <c r="AY963" t="s">
        <v>74</v>
      </c>
      <c r="AZ963" t="s">
        <v>74</v>
      </c>
      <c r="BA963" t="s">
        <v>74</v>
      </c>
      <c r="BB963" t="s">
        <v>74</v>
      </c>
      <c r="BC963" t="s">
        <v>74</v>
      </c>
      <c r="BD963" t="s">
        <v>18290</v>
      </c>
      <c r="BE963" t="s">
        <v>18291</v>
      </c>
      <c r="BF963" t="str">
        <f>HYPERLINK("http://dx.doi.org/10.1029/2021SW002822","http://dx.doi.org/10.1029/2021SW002822")</f>
        <v>http://dx.doi.org/10.1029/2021SW002822</v>
      </c>
      <c r="BG963" t="s">
        <v>74</v>
      </c>
      <c r="BH963" t="s">
        <v>74</v>
      </c>
      <c r="BI963">
        <v>21</v>
      </c>
      <c r="BJ963" t="s">
        <v>3505</v>
      </c>
      <c r="BK963" t="s">
        <v>103</v>
      </c>
      <c r="BL963" t="s">
        <v>3505</v>
      </c>
      <c r="BM963" t="s">
        <v>18183</v>
      </c>
      <c r="BN963" t="s">
        <v>74</v>
      </c>
      <c r="BO963" t="s">
        <v>3307</v>
      </c>
      <c r="BP963" t="s">
        <v>74</v>
      </c>
      <c r="BQ963" t="s">
        <v>74</v>
      </c>
      <c r="BR963" t="s">
        <v>106</v>
      </c>
      <c r="BS963" t="s">
        <v>18292</v>
      </c>
      <c r="BT963" t="str">
        <f>HYPERLINK("https%3A%2F%2Fwww.webofscience.com%2Fwos%2Fwoscc%2Ffull-record%2FWOS:000735908200010","View Full Record in Web of Science")</f>
        <v>View Full Record in Web of Science</v>
      </c>
    </row>
    <row r="964" spans="1:72" x14ac:dyDescent="0.15">
      <c r="A964" t="s">
        <v>72</v>
      </c>
      <c r="B964" t="s">
        <v>18293</v>
      </c>
      <c r="C964" t="s">
        <v>74</v>
      </c>
      <c r="D964" t="s">
        <v>74</v>
      </c>
      <c r="E964" t="s">
        <v>74</v>
      </c>
      <c r="F964" t="s">
        <v>18294</v>
      </c>
      <c r="G964" t="s">
        <v>74</v>
      </c>
      <c r="H964" t="s">
        <v>74</v>
      </c>
      <c r="I964" t="s">
        <v>18295</v>
      </c>
      <c r="J964" t="s">
        <v>2644</v>
      </c>
      <c r="K964" t="s">
        <v>74</v>
      </c>
      <c r="L964" t="s">
        <v>74</v>
      </c>
      <c r="M964" t="s">
        <v>78</v>
      </c>
      <c r="N964" t="s">
        <v>79</v>
      </c>
      <c r="O964" t="s">
        <v>74</v>
      </c>
      <c r="P964" t="s">
        <v>74</v>
      </c>
      <c r="Q964" t="s">
        <v>74</v>
      </c>
      <c r="R964" t="s">
        <v>74</v>
      </c>
      <c r="S964" t="s">
        <v>74</v>
      </c>
      <c r="T964" t="s">
        <v>18296</v>
      </c>
      <c r="U964" t="s">
        <v>18297</v>
      </c>
      <c r="V964" t="s">
        <v>18298</v>
      </c>
      <c r="W964" t="s">
        <v>18299</v>
      </c>
      <c r="X964" t="s">
        <v>18300</v>
      </c>
      <c r="Y964" t="s">
        <v>18301</v>
      </c>
      <c r="Z964" t="s">
        <v>18302</v>
      </c>
      <c r="AA964" t="s">
        <v>74</v>
      </c>
      <c r="AB964" t="s">
        <v>18303</v>
      </c>
      <c r="AC964" t="s">
        <v>74</v>
      </c>
      <c r="AD964" t="s">
        <v>74</v>
      </c>
      <c r="AE964" t="s">
        <v>74</v>
      </c>
      <c r="AF964" t="s">
        <v>74</v>
      </c>
      <c r="AG964">
        <v>59</v>
      </c>
      <c r="AH964">
        <v>0</v>
      </c>
      <c r="AI964">
        <v>0</v>
      </c>
      <c r="AJ964">
        <v>0</v>
      </c>
      <c r="AK964">
        <v>8</v>
      </c>
      <c r="AL964" t="s">
        <v>2632</v>
      </c>
      <c r="AM964" t="s">
        <v>2633</v>
      </c>
      <c r="AN964" t="s">
        <v>2634</v>
      </c>
      <c r="AO964" t="s">
        <v>74</v>
      </c>
      <c r="AP964" t="s">
        <v>2657</v>
      </c>
      <c r="AQ964" t="s">
        <v>74</v>
      </c>
      <c r="AR964" t="s">
        <v>2644</v>
      </c>
      <c r="AS964" t="s">
        <v>2658</v>
      </c>
      <c r="AT964" t="s">
        <v>2125</v>
      </c>
      <c r="AU964">
        <v>2021</v>
      </c>
      <c r="AV964">
        <v>9</v>
      </c>
      <c r="AW964">
        <v>12</v>
      </c>
      <c r="AX964" t="s">
        <v>74</v>
      </c>
      <c r="AY964" t="s">
        <v>74</v>
      </c>
      <c r="AZ964" t="s">
        <v>74</v>
      </c>
      <c r="BA964" t="s">
        <v>74</v>
      </c>
      <c r="BB964" t="s">
        <v>74</v>
      </c>
      <c r="BC964" t="s">
        <v>74</v>
      </c>
      <c r="BD964">
        <v>2522</v>
      </c>
      <c r="BE964" t="s">
        <v>18304</v>
      </c>
      <c r="BF964" t="str">
        <f>HYPERLINK("http://dx.doi.org/10.3390/microorganisms9122522","http://dx.doi.org/10.3390/microorganisms9122522")</f>
        <v>http://dx.doi.org/10.3390/microorganisms9122522</v>
      </c>
      <c r="BG964" t="s">
        <v>74</v>
      </c>
      <c r="BH964" t="s">
        <v>74</v>
      </c>
      <c r="BI964">
        <v>12</v>
      </c>
      <c r="BJ964" t="s">
        <v>747</v>
      </c>
      <c r="BK964" t="s">
        <v>103</v>
      </c>
      <c r="BL964" t="s">
        <v>747</v>
      </c>
      <c r="BM964" t="s">
        <v>18305</v>
      </c>
      <c r="BN964">
        <v>34946125</v>
      </c>
      <c r="BO964" t="s">
        <v>211</v>
      </c>
      <c r="BP964" t="s">
        <v>74</v>
      </c>
      <c r="BQ964" t="s">
        <v>74</v>
      </c>
      <c r="BR964" t="s">
        <v>106</v>
      </c>
      <c r="BS964" t="s">
        <v>18306</v>
      </c>
      <c r="BT964" t="str">
        <f>HYPERLINK("https%3A%2F%2Fwww.webofscience.com%2Fwos%2Fwoscc%2Ffull-record%2FWOS:000735472800001","View Full Record in Web of Science")</f>
        <v>View Full Record in Web of Science</v>
      </c>
    </row>
    <row r="965" spans="1:72" x14ac:dyDescent="0.15">
      <c r="A965" t="s">
        <v>72</v>
      </c>
      <c r="B965" t="s">
        <v>18307</v>
      </c>
      <c r="C965" t="s">
        <v>74</v>
      </c>
      <c r="D965" t="s">
        <v>74</v>
      </c>
      <c r="E965" t="s">
        <v>74</v>
      </c>
      <c r="F965" t="s">
        <v>18308</v>
      </c>
      <c r="G965" t="s">
        <v>74</v>
      </c>
      <c r="H965" t="s">
        <v>74</v>
      </c>
      <c r="I965" t="s">
        <v>18309</v>
      </c>
      <c r="J965" t="s">
        <v>1137</v>
      </c>
      <c r="K965" t="s">
        <v>74</v>
      </c>
      <c r="L965" t="s">
        <v>74</v>
      </c>
      <c r="M965" t="s">
        <v>78</v>
      </c>
      <c r="N965" t="s">
        <v>79</v>
      </c>
      <c r="O965" t="s">
        <v>74</v>
      </c>
      <c r="P965" t="s">
        <v>74</v>
      </c>
      <c r="Q965" t="s">
        <v>74</v>
      </c>
      <c r="R965" t="s">
        <v>74</v>
      </c>
      <c r="S965" t="s">
        <v>74</v>
      </c>
      <c r="T965" t="s">
        <v>18310</v>
      </c>
      <c r="U965" t="s">
        <v>18311</v>
      </c>
      <c r="V965" t="s">
        <v>18312</v>
      </c>
      <c r="W965" t="s">
        <v>18313</v>
      </c>
      <c r="X965" t="s">
        <v>18314</v>
      </c>
      <c r="Y965" t="s">
        <v>18315</v>
      </c>
      <c r="Z965" t="s">
        <v>18316</v>
      </c>
      <c r="AA965" t="s">
        <v>18317</v>
      </c>
      <c r="AB965" t="s">
        <v>74</v>
      </c>
      <c r="AC965" t="s">
        <v>18318</v>
      </c>
      <c r="AD965" t="s">
        <v>18319</v>
      </c>
      <c r="AE965" t="s">
        <v>18320</v>
      </c>
      <c r="AF965" t="s">
        <v>74</v>
      </c>
      <c r="AG965">
        <v>98</v>
      </c>
      <c r="AH965">
        <v>6</v>
      </c>
      <c r="AI965">
        <v>8</v>
      </c>
      <c r="AJ965">
        <v>12</v>
      </c>
      <c r="AK965">
        <v>54</v>
      </c>
      <c r="AL965" t="s">
        <v>92</v>
      </c>
      <c r="AM965" t="s">
        <v>93</v>
      </c>
      <c r="AN965" t="s">
        <v>94</v>
      </c>
      <c r="AO965" t="s">
        <v>1149</v>
      </c>
      <c r="AP965" t="s">
        <v>1150</v>
      </c>
      <c r="AQ965" t="s">
        <v>74</v>
      </c>
      <c r="AR965" t="s">
        <v>1151</v>
      </c>
      <c r="AS965" t="s">
        <v>1152</v>
      </c>
      <c r="AT965" t="s">
        <v>6272</v>
      </c>
      <c r="AU965">
        <v>2022</v>
      </c>
      <c r="AV965">
        <v>276</v>
      </c>
      <c r="AW965" t="s">
        <v>74</v>
      </c>
      <c r="AX965" t="s">
        <v>74</v>
      </c>
      <c r="AY965" t="s">
        <v>74</v>
      </c>
      <c r="AZ965" t="s">
        <v>74</v>
      </c>
      <c r="BA965" t="s">
        <v>74</v>
      </c>
      <c r="BB965" t="s">
        <v>74</v>
      </c>
      <c r="BC965" t="s">
        <v>74</v>
      </c>
      <c r="BD965">
        <v>107300</v>
      </c>
      <c r="BE965" t="s">
        <v>18321</v>
      </c>
      <c r="BF965" t="str">
        <f>HYPERLINK("http://dx.doi.org/10.1016/j.quascirev.2021.107300","http://dx.doi.org/10.1016/j.quascirev.2021.107300")</f>
        <v>http://dx.doi.org/10.1016/j.quascirev.2021.107300</v>
      </c>
      <c r="BG965" t="s">
        <v>74</v>
      </c>
      <c r="BH965" t="s">
        <v>14486</v>
      </c>
      <c r="BI965">
        <v>12</v>
      </c>
      <c r="BJ965" t="s">
        <v>208</v>
      </c>
      <c r="BK965" t="s">
        <v>103</v>
      </c>
      <c r="BL965" t="s">
        <v>209</v>
      </c>
      <c r="BM965" t="s">
        <v>16058</v>
      </c>
      <c r="BN965" t="s">
        <v>74</v>
      </c>
      <c r="BO965" t="s">
        <v>74</v>
      </c>
      <c r="BP965" t="s">
        <v>74</v>
      </c>
      <c r="BQ965" t="s">
        <v>74</v>
      </c>
      <c r="BR965" t="s">
        <v>106</v>
      </c>
      <c r="BS965" t="s">
        <v>18322</v>
      </c>
      <c r="BT965" t="str">
        <f>HYPERLINK("https%3A%2F%2Fwww.webofscience.com%2Fwos%2Fwoscc%2Ffull-record%2FWOS:000731929600008","View Full Record in Web of Science")</f>
        <v>View Full Record in Web of Science</v>
      </c>
    </row>
    <row r="966" spans="1:72" x14ac:dyDescent="0.15">
      <c r="A966" t="s">
        <v>72</v>
      </c>
      <c r="B966" t="s">
        <v>18323</v>
      </c>
      <c r="C966" t="s">
        <v>74</v>
      </c>
      <c r="D966" t="s">
        <v>74</v>
      </c>
      <c r="E966" t="s">
        <v>74</v>
      </c>
      <c r="F966" t="s">
        <v>18324</v>
      </c>
      <c r="G966" t="s">
        <v>74</v>
      </c>
      <c r="H966" t="s">
        <v>74</v>
      </c>
      <c r="I966" t="s">
        <v>18325</v>
      </c>
      <c r="J966" t="s">
        <v>2724</v>
      </c>
      <c r="K966" t="s">
        <v>74</v>
      </c>
      <c r="L966" t="s">
        <v>74</v>
      </c>
      <c r="M966" t="s">
        <v>78</v>
      </c>
      <c r="N966" t="s">
        <v>79</v>
      </c>
      <c r="O966" t="s">
        <v>74</v>
      </c>
      <c r="P966" t="s">
        <v>74</v>
      </c>
      <c r="Q966" t="s">
        <v>74</v>
      </c>
      <c r="R966" t="s">
        <v>74</v>
      </c>
      <c r="S966" t="s">
        <v>74</v>
      </c>
      <c r="T966" t="s">
        <v>18326</v>
      </c>
      <c r="U966" t="s">
        <v>18327</v>
      </c>
      <c r="V966" t="s">
        <v>18328</v>
      </c>
      <c r="W966" t="s">
        <v>18329</v>
      </c>
      <c r="X966" t="s">
        <v>18330</v>
      </c>
      <c r="Y966" t="s">
        <v>18331</v>
      </c>
      <c r="Z966" t="s">
        <v>18332</v>
      </c>
      <c r="AA966" t="s">
        <v>18333</v>
      </c>
      <c r="AB966" t="s">
        <v>18334</v>
      </c>
      <c r="AC966" t="s">
        <v>18335</v>
      </c>
      <c r="AD966" t="s">
        <v>18335</v>
      </c>
      <c r="AE966" t="s">
        <v>18336</v>
      </c>
      <c r="AF966" t="s">
        <v>74</v>
      </c>
      <c r="AG966">
        <v>65</v>
      </c>
      <c r="AH966">
        <v>5</v>
      </c>
      <c r="AI966">
        <v>5</v>
      </c>
      <c r="AJ966">
        <v>1</v>
      </c>
      <c r="AK966">
        <v>8</v>
      </c>
      <c r="AL966" t="s">
        <v>2632</v>
      </c>
      <c r="AM966" t="s">
        <v>2633</v>
      </c>
      <c r="AN966" t="s">
        <v>2634</v>
      </c>
      <c r="AO966" t="s">
        <v>74</v>
      </c>
      <c r="AP966" t="s">
        <v>2737</v>
      </c>
      <c r="AQ966" t="s">
        <v>74</v>
      </c>
      <c r="AR966" t="s">
        <v>2738</v>
      </c>
      <c r="AS966" t="s">
        <v>2739</v>
      </c>
      <c r="AT966" t="s">
        <v>2125</v>
      </c>
      <c r="AU966">
        <v>2021</v>
      </c>
      <c r="AV966">
        <v>13</v>
      </c>
      <c r="AW966">
        <v>23</v>
      </c>
      <c r="AX966" t="s">
        <v>74</v>
      </c>
      <c r="AY966" t="s">
        <v>74</v>
      </c>
      <c r="AZ966" t="s">
        <v>74</v>
      </c>
      <c r="BA966" t="s">
        <v>74</v>
      </c>
      <c r="BB966" t="s">
        <v>74</v>
      </c>
      <c r="BC966" t="s">
        <v>74</v>
      </c>
      <c r="BD966">
        <v>4871</v>
      </c>
      <c r="BE966" t="s">
        <v>18337</v>
      </c>
      <c r="BF966" t="str">
        <f>HYPERLINK("http://dx.doi.org/10.3390/rs13234871","http://dx.doi.org/10.3390/rs13234871")</f>
        <v>http://dx.doi.org/10.3390/rs13234871</v>
      </c>
      <c r="BG966" t="s">
        <v>74</v>
      </c>
      <c r="BH966" t="s">
        <v>74</v>
      </c>
      <c r="BI966">
        <v>27</v>
      </c>
      <c r="BJ966" t="s">
        <v>2741</v>
      </c>
      <c r="BK966" t="s">
        <v>103</v>
      </c>
      <c r="BL966" t="s">
        <v>2742</v>
      </c>
      <c r="BM966" t="s">
        <v>18338</v>
      </c>
      <c r="BN966" t="s">
        <v>74</v>
      </c>
      <c r="BO966" t="s">
        <v>292</v>
      </c>
      <c r="BP966" t="s">
        <v>74</v>
      </c>
      <c r="BQ966" t="s">
        <v>74</v>
      </c>
      <c r="BR966" t="s">
        <v>106</v>
      </c>
      <c r="BS966" t="s">
        <v>18339</v>
      </c>
      <c r="BT966" t="str">
        <f>HYPERLINK("https%3A%2F%2Fwww.webofscience.com%2Fwos%2Fwoscc%2Ffull-record%2FWOS:000735120200001","View Full Record in Web of Science")</f>
        <v>View Full Record in Web of Science</v>
      </c>
    </row>
    <row r="967" spans="1:72" x14ac:dyDescent="0.15">
      <c r="A967" t="s">
        <v>72</v>
      </c>
      <c r="B967" t="s">
        <v>18340</v>
      </c>
      <c r="C967" t="s">
        <v>74</v>
      </c>
      <c r="D967" t="s">
        <v>74</v>
      </c>
      <c r="E967" t="s">
        <v>74</v>
      </c>
      <c r="F967" t="s">
        <v>18341</v>
      </c>
      <c r="G967" t="s">
        <v>74</v>
      </c>
      <c r="H967" t="s">
        <v>74</v>
      </c>
      <c r="I967" t="s">
        <v>18342</v>
      </c>
      <c r="J967" t="s">
        <v>13134</v>
      </c>
      <c r="K967" t="s">
        <v>74</v>
      </c>
      <c r="L967" t="s">
        <v>74</v>
      </c>
      <c r="M967" t="s">
        <v>78</v>
      </c>
      <c r="N967" t="s">
        <v>79</v>
      </c>
      <c r="O967" t="s">
        <v>74</v>
      </c>
      <c r="P967" t="s">
        <v>74</v>
      </c>
      <c r="Q967" t="s">
        <v>74</v>
      </c>
      <c r="R967" t="s">
        <v>74</v>
      </c>
      <c r="S967" t="s">
        <v>74</v>
      </c>
      <c r="T967" t="s">
        <v>18343</v>
      </c>
      <c r="U967" t="s">
        <v>18344</v>
      </c>
      <c r="V967" t="s">
        <v>18345</v>
      </c>
      <c r="W967" t="s">
        <v>18346</v>
      </c>
      <c r="X967" t="s">
        <v>18347</v>
      </c>
      <c r="Y967" t="s">
        <v>18348</v>
      </c>
      <c r="Z967" t="s">
        <v>18349</v>
      </c>
      <c r="AA967" t="s">
        <v>18350</v>
      </c>
      <c r="AB967" t="s">
        <v>18351</v>
      </c>
      <c r="AC967" t="s">
        <v>18352</v>
      </c>
      <c r="AD967" t="s">
        <v>18353</v>
      </c>
      <c r="AE967" t="s">
        <v>18354</v>
      </c>
      <c r="AF967" t="s">
        <v>74</v>
      </c>
      <c r="AG967">
        <v>46</v>
      </c>
      <c r="AH967">
        <v>9</v>
      </c>
      <c r="AI967">
        <v>9</v>
      </c>
      <c r="AJ967">
        <v>1</v>
      </c>
      <c r="AK967">
        <v>6</v>
      </c>
      <c r="AL967" t="s">
        <v>2632</v>
      </c>
      <c r="AM967" t="s">
        <v>2633</v>
      </c>
      <c r="AN967" t="s">
        <v>2634</v>
      </c>
      <c r="AO967" t="s">
        <v>74</v>
      </c>
      <c r="AP967" t="s">
        <v>13147</v>
      </c>
      <c r="AQ967" t="s">
        <v>74</v>
      </c>
      <c r="AR967" t="s">
        <v>13148</v>
      </c>
      <c r="AS967" t="s">
        <v>13149</v>
      </c>
      <c r="AT967" t="s">
        <v>2125</v>
      </c>
      <c r="AU967">
        <v>2021</v>
      </c>
      <c r="AV967">
        <v>13</v>
      </c>
      <c r="AW967">
        <v>23</v>
      </c>
      <c r="AX967" t="s">
        <v>74</v>
      </c>
      <c r="AY967" t="s">
        <v>74</v>
      </c>
      <c r="AZ967" t="s">
        <v>74</v>
      </c>
      <c r="BA967" t="s">
        <v>74</v>
      </c>
      <c r="BB967" t="s">
        <v>74</v>
      </c>
      <c r="BC967" t="s">
        <v>74</v>
      </c>
      <c r="BD967">
        <v>3317</v>
      </c>
      <c r="BE967" t="s">
        <v>18355</v>
      </c>
      <c r="BF967" t="str">
        <f>HYPERLINK("http://dx.doi.org/10.3390/w13233317","http://dx.doi.org/10.3390/w13233317")</f>
        <v>http://dx.doi.org/10.3390/w13233317</v>
      </c>
      <c r="BG967" t="s">
        <v>74</v>
      </c>
      <c r="BH967" t="s">
        <v>74</v>
      </c>
      <c r="BI967">
        <v>19</v>
      </c>
      <c r="BJ967" t="s">
        <v>13151</v>
      </c>
      <c r="BK967" t="s">
        <v>103</v>
      </c>
      <c r="BL967" t="s">
        <v>13152</v>
      </c>
      <c r="BM967" t="s">
        <v>18356</v>
      </c>
      <c r="BN967" t="s">
        <v>74</v>
      </c>
      <c r="BO967" t="s">
        <v>4294</v>
      </c>
      <c r="BP967" t="s">
        <v>74</v>
      </c>
      <c r="BQ967" t="s">
        <v>74</v>
      </c>
      <c r="BR967" t="s">
        <v>106</v>
      </c>
      <c r="BS967" t="s">
        <v>18357</v>
      </c>
      <c r="BT967" t="str">
        <f>HYPERLINK("https%3A%2F%2Fwww.webofscience.com%2Fwos%2Fwoscc%2Ffull-record%2FWOS:000735110300001","View Full Record in Web of Science")</f>
        <v>View Full Record in Web of Science</v>
      </c>
    </row>
    <row r="968" spans="1:72" x14ac:dyDescent="0.15">
      <c r="A968" t="s">
        <v>72</v>
      </c>
      <c r="B968" t="s">
        <v>18358</v>
      </c>
      <c r="C968" t="s">
        <v>74</v>
      </c>
      <c r="D968" t="s">
        <v>74</v>
      </c>
      <c r="E968" t="s">
        <v>74</v>
      </c>
      <c r="F968" t="s">
        <v>18359</v>
      </c>
      <c r="G968" t="s">
        <v>74</v>
      </c>
      <c r="H968" t="s">
        <v>74</v>
      </c>
      <c r="I968" t="s">
        <v>18360</v>
      </c>
      <c r="J968" t="s">
        <v>18361</v>
      </c>
      <c r="K968" t="s">
        <v>74</v>
      </c>
      <c r="L968" t="s">
        <v>74</v>
      </c>
      <c r="M968" t="s">
        <v>78</v>
      </c>
      <c r="N968" t="s">
        <v>79</v>
      </c>
      <c r="O968" t="s">
        <v>74</v>
      </c>
      <c r="P968" t="s">
        <v>74</v>
      </c>
      <c r="Q968" t="s">
        <v>74</v>
      </c>
      <c r="R968" t="s">
        <v>74</v>
      </c>
      <c r="S968" t="s">
        <v>74</v>
      </c>
      <c r="T968" t="s">
        <v>18362</v>
      </c>
      <c r="U968" t="s">
        <v>18363</v>
      </c>
      <c r="V968" t="s">
        <v>18364</v>
      </c>
      <c r="W968" t="s">
        <v>18365</v>
      </c>
      <c r="X968" t="s">
        <v>18366</v>
      </c>
      <c r="Y968" t="s">
        <v>18367</v>
      </c>
      <c r="Z968" t="s">
        <v>18368</v>
      </c>
      <c r="AA968" t="s">
        <v>18369</v>
      </c>
      <c r="AB968" t="s">
        <v>18370</v>
      </c>
      <c r="AC968" t="s">
        <v>18371</v>
      </c>
      <c r="AD968" t="s">
        <v>18371</v>
      </c>
      <c r="AE968" t="s">
        <v>18372</v>
      </c>
      <c r="AF968" t="s">
        <v>74</v>
      </c>
      <c r="AG968">
        <v>92</v>
      </c>
      <c r="AH968">
        <v>3</v>
      </c>
      <c r="AI968">
        <v>4</v>
      </c>
      <c r="AJ968">
        <v>1</v>
      </c>
      <c r="AK968">
        <v>4</v>
      </c>
      <c r="AL968" t="s">
        <v>18373</v>
      </c>
      <c r="AM968" t="s">
        <v>18374</v>
      </c>
      <c r="AN968" t="s">
        <v>18375</v>
      </c>
      <c r="AO968" t="s">
        <v>18376</v>
      </c>
      <c r="AP968" t="s">
        <v>18377</v>
      </c>
      <c r="AQ968" t="s">
        <v>74</v>
      </c>
      <c r="AR968" t="s">
        <v>18361</v>
      </c>
      <c r="AS968" t="s">
        <v>18378</v>
      </c>
      <c r="AT968" t="s">
        <v>18379</v>
      </c>
      <c r="AU968">
        <v>2021</v>
      </c>
      <c r="AV968">
        <v>124</v>
      </c>
      <c r="AW968">
        <v>4</v>
      </c>
      <c r="AX968" t="s">
        <v>74</v>
      </c>
      <c r="AY968" t="s">
        <v>74</v>
      </c>
      <c r="AZ968" t="s">
        <v>74</v>
      </c>
      <c r="BA968" t="s">
        <v>74</v>
      </c>
      <c r="BB968">
        <v>494</v>
      </c>
      <c r="BC968">
        <v>505</v>
      </c>
      <c r="BD968" t="s">
        <v>74</v>
      </c>
      <c r="BE968" t="s">
        <v>18380</v>
      </c>
      <c r="BF968" t="str">
        <f>HYPERLINK("http://dx.doi.org/10.1639/0007-2745-124.4.494","http://dx.doi.org/10.1639/0007-2745-124.4.494")</f>
        <v>http://dx.doi.org/10.1639/0007-2745-124.4.494</v>
      </c>
      <c r="BG968" t="s">
        <v>74</v>
      </c>
      <c r="BH968" t="s">
        <v>74</v>
      </c>
      <c r="BI968">
        <v>12</v>
      </c>
      <c r="BJ968" t="s">
        <v>1473</v>
      </c>
      <c r="BK968" t="s">
        <v>103</v>
      </c>
      <c r="BL968" t="s">
        <v>1473</v>
      </c>
      <c r="BM968" t="s">
        <v>18381</v>
      </c>
      <c r="BN968" t="s">
        <v>74</v>
      </c>
      <c r="BO968" t="s">
        <v>74</v>
      </c>
      <c r="BP968" t="s">
        <v>74</v>
      </c>
      <c r="BQ968" t="s">
        <v>74</v>
      </c>
      <c r="BR968" t="s">
        <v>106</v>
      </c>
      <c r="BS968" t="s">
        <v>18382</v>
      </c>
      <c r="BT968" t="str">
        <f>HYPERLINK("https%3A%2F%2Fwww.webofscience.com%2Fwos%2Fwoscc%2Ffull-record%2FWOS:000734763500004","View Full Record in Web of Science")</f>
        <v>View Full Record in Web of Science</v>
      </c>
    </row>
    <row r="969" spans="1:72" x14ac:dyDescent="0.15">
      <c r="A969" t="s">
        <v>72</v>
      </c>
      <c r="B969" t="s">
        <v>18383</v>
      </c>
      <c r="C969" t="s">
        <v>74</v>
      </c>
      <c r="D969" t="s">
        <v>74</v>
      </c>
      <c r="E969" t="s">
        <v>74</v>
      </c>
      <c r="F969" t="s">
        <v>18384</v>
      </c>
      <c r="G969" t="s">
        <v>74</v>
      </c>
      <c r="H969" t="s">
        <v>74</v>
      </c>
      <c r="I969" t="s">
        <v>18385</v>
      </c>
      <c r="J969" t="s">
        <v>13830</v>
      </c>
      <c r="K969" t="s">
        <v>74</v>
      </c>
      <c r="L969" t="s">
        <v>74</v>
      </c>
      <c r="M969" t="s">
        <v>78</v>
      </c>
      <c r="N969" t="s">
        <v>79</v>
      </c>
      <c r="O969" t="s">
        <v>74</v>
      </c>
      <c r="P969" t="s">
        <v>74</v>
      </c>
      <c r="Q969" t="s">
        <v>74</v>
      </c>
      <c r="R969" t="s">
        <v>74</v>
      </c>
      <c r="S969" t="s">
        <v>74</v>
      </c>
      <c r="T969" t="s">
        <v>18386</v>
      </c>
      <c r="U969" t="s">
        <v>18387</v>
      </c>
      <c r="V969" t="s">
        <v>18388</v>
      </c>
      <c r="W969" t="s">
        <v>18389</v>
      </c>
      <c r="X969" t="s">
        <v>18390</v>
      </c>
      <c r="Y969" t="s">
        <v>18391</v>
      </c>
      <c r="Z969" t="s">
        <v>18392</v>
      </c>
      <c r="AA969" t="s">
        <v>18393</v>
      </c>
      <c r="AB969" t="s">
        <v>18394</v>
      </c>
      <c r="AC969" t="s">
        <v>18395</v>
      </c>
      <c r="AD969" t="s">
        <v>18395</v>
      </c>
      <c r="AE969" t="s">
        <v>18396</v>
      </c>
      <c r="AF969" t="s">
        <v>74</v>
      </c>
      <c r="AG969">
        <v>65</v>
      </c>
      <c r="AH969">
        <v>4</v>
      </c>
      <c r="AI969">
        <v>4</v>
      </c>
      <c r="AJ969">
        <v>6</v>
      </c>
      <c r="AK969">
        <v>16</v>
      </c>
      <c r="AL969" t="s">
        <v>310</v>
      </c>
      <c r="AM969" t="s">
        <v>311</v>
      </c>
      <c r="AN969" t="s">
        <v>312</v>
      </c>
      <c r="AO969" t="s">
        <v>74</v>
      </c>
      <c r="AP969" t="s">
        <v>13842</v>
      </c>
      <c r="AQ969" t="s">
        <v>74</v>
      </c>
      <c r="AR969" t="s">
        <v>13843</v>
      </c>
      <c r="AS969" t="s">
        <v>13844</v>
      </c>
      <c r="AT969" t="s">
        <v>2125</v>
      </c>
      <c r="AU969">
        <v>2021</v>
      </c>
      <c r="AV969">
        <v>32</v>
      </c>
      <c r="AW969" t="s">
        <v>74</v>
      </c>
      <c r="AX969" t="s">
        <v>74</v>
      </c>
      <c r="AY969" t="s">
        <v>74</v>
      </c>
      <c r="AZ969" t="s">
        <v>74</v>
      </c>
      <c r="BA969" t="s">
        <v>74</v>
      </c>
      <c r="BB969" t="s">
        <v>74</v>
      </c>
      <c r="BC969" t="s">
        <v>74</v>
      </c>
      <c r="BD969" t="s">
        <v>18397</v>
      </c>
      <c r="BE969" t="s">
        <v>18398</v>
      </c>
      <c r="BF969" t="str">
        <f>HYPERLINK("http://dx.doi.org/10.1016/j.gecco.2021.e01938","http://dx.doi.org/10.1016/j.gecco.2021.e01938")</f>
        <v>http://dx.doi.org/10.1016/j.gecco.2021.e01938</v>
      </c>
      <c r="BG969" t="s">
        <v>74</v>
      </c>
      <c r="BH969" t="s">
        <v>74</v>
      </c>
      <c r="BI969">
        <v>13</v>
      </c>
      <c r="BJ969" t="s">
        <v>1081</v>
      </c>
      <c r="BK969" t="s">
        <v>103</v>
      </c>
      <c r="BL969" t="s">
        <v>1082</v>
      </c>
      <c r="BM969" t="s">
        <v>18399</v>
      </c>
      <c r="BN969" t="s">
        <v>74</v>
      </c>
      <c r="BO969" t="s">
        <v>211</v>
      </c>
      <c r="BP969" t="s">
        <v>74</v>
      </c>
      <c r="BQ969" t="s">
        <v>74</v>
      </c>
      <c r="BR969" t="s">
        <v>106</v>
      </c>
      <c r="BS969" t="s">
        <v>18400</v>
      </c>
      <c r="BT969" t="str">
        <f>HYPERLINK("https%3A%2F%2Fwww.webofscience.com%2Fwos%2Fwoscc%2Ffull-record%2FWOS:000734883400003","View Full Record in Web of Science")</f>
        <v>View Full Record in Web of Science</v>
      </c>
    </row>
    <row r="970" spans="1:72" x14ac:dyDescent="0.15">
      <c r="A970" t="s">
        <v>72</v>
      </c>
      <c r="B970" t="s">
        <v>18401</v>
      </c>
      <c r="C970" t="s">
        <v>74</v>
      </c>
      <c r="D970" t="s">
        <v>74</v>
      </c>
      <c r="E970" t="s">
        <v>74</v>
      </c>
      <c r="F970" t="s">
        <v>18402</v>
      </c>
      <c r="G970" t="s">
        <v>74</v>
      </c>
      <c r="H970" t="s">
        <v>74</v>
      </c>
      <c r="I970" t="s">
        <v>18403</v>
      </c>
      <c r="J970" t="s">
        <v>18404</v>
      </c>
      <c r="K970" t="s">
        <v>74</v>
      </c>
      <c r="L970" t="s">
        <v>74</v>
      </c>
      <c r="M970" t="s">
        <v>78</v>
      </c>
      <c r="N970" t="s">
        <v>79</v>
      </c>
      <c r="O970" t="s">
        <v>74</v>
      </c>
      <c r="P970" t="s">
        <v>74</v>
      </c>
      <c r="Q970" t="s">
        <v>74</v>
      </c>
      <c r="R970" t="s">
        <v>74</v>
      </c>
      <c r="S970" t="s">
        <v>74</v>
      </c>
      <c r="T970" t="s">
        <v>18405</v>
      </c>
      <c r="U970" t="s">
        <v>18406</v>
      </c>
      <c r="V970" t="s">
        <v>18407</v>
      </c>
      <c r="W970" t="s">
        <v>18408</v>
      </c>
      <c r="X970" t="s">
        <v>18409</v>
      </c>
      <c r="Y970" t="s">
        <v>18410</v>
      </c>
      <c r="Z970" t="s">
        <v>18411</v>
      </c>
      <c r="AA970" t="s">
        <v>18412</v>
      </c>
      <c r="AB970" t="s">
        <v>18413</v>
      </c>
      <c r="AC970" t="s">
        <v>18414</v>
      </c>
      <c r="AD970" t="s">
        <v>18415</v>
      </c>
      <c r="AE970" t="s">
        <v>18416</v>
      </c>
      <c r="AF970" t="s">
        <v>74</v>
      </c>
      <c r="AG970">
        <v>86</v>
      </c>
      <c r="AH970">
        <v>1</v>
      </c>
      <c r="AI970">
        <v>1</v>
      </c>
      <c r="AJ970">
        <v>0</v>
      </c>
      <c r="AK970">
        <v>4</v>
      </c>
      <c r="AL970" t="s">
        <v>4587</v>
      </c>
      <c r="AM970" t="s">
        <v>4588</v>
      </c>
      <c r="AN970" t="s">
        <v>4589</v>
      </c>
      <c r="AO970" t="s">
        <v>18417</v>
      </c>
      <c r="AP970" t="s">
        <v>74</v>
      </c>
      <c r="AQ970" t="s">
        <v>74</v>
      </c>
      <c r="AR970" t="s">
        <v>18418</v>
      </c>
      <c r="AS970" t="s">
        <v>18419</v>
      </c>
      <c r="AT970" t="s">
        <v>17296</v>
      </c>
      <c r="AU970">
        <v>2021</v>
      </c>
      <c r="AV970">
        <v>17</v>
      </c>
      <c r="AW970">
        <v>2</v>
      </c>
      <c r="AX970" t="s">
        <v>74</v>
      </c>
      <c r="AY970" t="s">
        <v>74</v>
      </c>
      <c r="AZ970" t="s">
        <v>74</v>
      </c>
      <c r="BA970" t="s">
        <v>74</v>
      </c>
      <c r="BB970">
        <v>802</v>
      </c>
      <c r="BC970">
        <v>822</v>
      </c>
      <c r="BD970" t="s">
        <v>74</v>
      </c>
      <c r="BE970" t="s">
        <v>18420</v>
      </c>
      <c r="BF970" t="str">
        <f>HYPERLINK("http://dx.doi.org/10.1080/17445647.2021.1986158","http://dx.doi.org/10.1080/17445647.2021.1986158")</f>
        <v>http://dx.doi.org/10.1080/17445647.2021.1986158</v>
      </c>
      <c r="BG970" t="s">
        <v>74</v>
      </c>
      <c r="BH970" t="s">
        <v>74</v>
      </c>
      <c r="BI970">
        <v>21</v>
      </c>
      <c r="BJ970" t="s">
        <v>10703</v>
      </c>
      <c r="BK970" t="s">
        <v>1034</v>
      </c>
      <c r="BL970" t="s">
        <v>10705</v>
      </c>
      <c r="BM970" t="s">
        <v>18421</v>
      </c>
      <c r="BN970" t="s">
        <v>74</v>
      </c>
      <c r="BO970" t="s">
        <v>1414</v>
      </c>
      <c r="BP970" t="s">
        <v>74</v>
      </c>
      <c r="BQ970" t="s">
        <v>74</v>
      </c>
      <c r="BR970" t="s">
        <v>106</v>
      </c>
      <c r="BS970" t="s">
        <v>18422</v>
      </c>
      <c r="BT970" t="str">
        <f>HYPERLINK("https%3A%2F%2Fwww.webofscience.com%2Fwos%2Fwoscc%2Ffull-record%2FWOS:000734457800001","View Full Record in Web of Science")</f>
        <v>View Full Record in Web of Science</v>
      </c>
    </row>
    <row r="971" spans="1:72" x14ac:dyDescent="0.15">
      <c r="A971" t="s">
        <v>72</v>
      </c>
      <c r="B971" t="s">
        <v>18423</v>
      </c>
      <c r="C971" t="s">
        <v>74</v>
      </c>
      <c r="D971" t="s">
        <v>74</v>
      </c>
      <c r="E971" t="s">
        <v>74</v>
      </c>
      <c r="F971" t="s">
        <v>18424</v>
      </c>
      <c r="G971" t="s">
        <v>74</v>
      </c>
      <c r="H971" t="s">
        <v>74</v>
      </c>
      <c r="I971" t="s">
        <v>18425</v>
      </c>
      <c r="J971" t="s">
        <v>4096</v>
      </c>
      <c r="K971" t="s">
        <v>74</v>
      </c>
      <c r="L971" t="s">
        <v>74</v>
      </c>
      <c r="M971" t="s">
        <v>78</v>
      </c>
      <c r="N971" t="s">
        <v>79</v>
      </c>
      <c r="O971" t="s">
        <v>74</v>
      </c>
      <c r="P971" t="s">
        <v>74</v>
      </c>
      <c r="Q971" t="s">
        <v>74</v>
      </c>
      <c r="R971" t="s">
        <v>74</v>
      </c>
      <c r="S971" t="s">
        <v>74</v>
      </c>
      <c r="T971" t="s">
        <v>74</v>
      </c>
      <c r="U971" t="s">
        <v>18426</v>
      </c>
      <c r="V971" t="s">
        <v>18427</v>
      </c>
      <c r="W971" t="s">
        <v>18428</v>
      </c>
      <c r="X971" t="s">
        <v>18429</v>
      </c>
      <c r="Y971" t="s">
        <v>18430</v>
      </c>
      <c r="Z971" t="s">
        <v>18431</v>
      </c>
      <c r="AA971" t="s">
        <v>18432</v>
      </c>
      <c r="AB971" t="s">
        <v>18433</v>
      </c>
      <c r="AC971" t="s">
        <v>18434</v>
      </c>
      <c r="AD971" t="s">
        <v>18435</v>
      </c>
      <c r="AE971" t="s">
        <v>18436</v>
      </c>
      <c r="AF971" t="s">
        <v>74</v>
      </c>
      <c r="AG971">
        <v>265</v>
      </c>
      <c r="AH971">
        <v>5</v>
      </c>
      <c r="AI971">
        <v>5</v>
      </c>
      <c r="AJ971">
        <v>0</v>
      </c>
      <c r="AK971">
        <v>9</v>
      </c>
      <c r="AL971" t="s">
        <v>3816</v>
      </c>
      <c r="AM971" t="s">
        <v>3817</v>
      </c>
      <c r="AN971" t="s">
        <v>3818</v>
      </c>
      <c r="AO971" t="s">
        <v>4106</v>
      </c>
      <c r="AP971" t="s">
        <v>4107</v>
      </c>
      <c r="AQ971" t="s">
        <v>74</v>
      </c>
      <c r="AR971" t="s">
        <v>4108</v>
      </c>
      <c r="AS971" t="s">
        <v>4109</v>
      </c>
      <c r="AT971" t="s">
        <v>2125</v>
      </c>
      <c r="AU971">
        <v>2021</v>
      </c>
      <c r="AV971">
        <v>923</v>
      </c>
      <c r="AW971">
        <v>2</v>
      </c>
      <c r="AX971" t="s">
        <v>74</v>
      </c>
      <c r="AY971" t="s">
        <v>74</v>
      </c>
      <c r="AZ971" t="s">
        <v>74</v>
      </c>
      <c r="BA971" t="s">
        <v>74</v>
      </c>
      <c r="BB971" t="s">
        <v>74</v>
      </c>
      <c r="BC971" t="s">
        <v>74</v>
      </c>
      <c r="BD971">
        <v>151</v>
      </c>
      <c r="BE971" t="s">
        <v>18437</v>
      </c>
      <c r="BF971" t="str">
        <f>HYPERLINK("http://dx.doi.org/10.3847/1538-4357/ac2dfc","http://dx.doi.org/10.3847/1538-4357/ac2dfc")</f>
        <v>http://dx.doi.org/10.3847/1538-4357/ac2dfc</v>
      </c>
      <c r="BG971" t="s">
        <v>74</v>
      </c>
      <c r="BH971" t="s">
        <v>74</v>
      </c>
      <c r="BI971">
        <v>21</v>
      </c>
      <c r="BJ971" t="s">
        <v>262</v>
      </c>
      <c r="BK971" t="s">
        <v>103</v>
      </c>
      <c r="BL971" t="s">
        <v>262</v>
      </c>
      <c r="BM971" t="s">
        <v>18438</v>
      </c>
      <c r="BN971" t="s">
        <v>74</v>
      </c>
      <c r="BO971" t="s">
        <v>12145</v>
      </c>
      <c r="BP971" t="s">
        <v>74</v>
      </c>
      <c r="BQ971" t="s">
        <v>74</v>
      </c>
      <c r="BR971" t="s">
        <v>106</v>
      </c>
      <c r="BS971" t="s">
        <v>18439</v>
      </c>
      <c r="BT971" t="str">
        <f>HYPERLINK("https%3A%2F%2Fwww.webofscience.com%2Fwos%2Fwoscc%2Ffull-record%2FWOS:000731168600001","View Full Record in Web of Science")</f>
        <v>View Full Record in Web of Science</v>
      </c>
    </row>
    <row r="972" spans="1:72" x14ac:dyDescent="0.15">
      <c r="A972" t="s">
        <v>72</v>
      </c>
      <c r="B972" t="s">
        <v>18440</v>
      </c>
      <c r="C972" t="s">
        <v>74</v>
      </c>
      <c r="D972" t="s">
        <v>74</v>
      </c>
      <c r="E972" t="s">
        <v>74</v>
      </c>
      <c r="F972" t="s">
        <v>18441</v>
      </c>
      <c r="G972" t="s">
        <v>74</v>
      </c>
      <c r="H972" t="s">
        <v>74</v>
      </c>
      <c r="I972" t="s">
        <v>18442</v>
      </c>
      <c r="J972" t="s">
        <v>18443</v>
      </c>
      <c r="K972" t="s">
        <v>74</v>
      </c>
      <c r="L972" t="s">
        <v>74</v>
      </c>
      <c r="M972" t="s">
        <v>78</v>
      </c>
      <c r="N972" t="s">
        <v>79</v>
      </c>
      <c r="O972" t="s">
        <v>74</v>
      </c>
      <c r="P972" t="s">
        <v>74</v>
      </c>
      <c r="Q972" t="s">
        <v>74</v>
      </c>
      <c r="R972" t="s">
        <v>74</v>
      </c>
      <c r="S972" t="s">
        <v>74</v>
      </c>
      <c r="T972" t="s">
        <v>18444</v>
      </c>
      <c r="U972" t="s">
        <v>18445</v>
      </c>
      <c r="V972" t="s">
        <v>18446</v>
      </c>
      <c r="W972" t="s">
        <v>18447</v>
      </c>
      <c r="X972" t="s">
        <v>18448</v>
      </c>
      <c r="Y972" t="s">
        <v>18449</v>
      </c>
      <c r="Z972" t="s">
        <v>18450</v>
      </c>
      <c r="AA972" t="s">
        <v>74</v>
      </c>
      <c r="AB972" t="s">
        <v>74</v>
      </c>
      <c r="AC972" t="s">
        <v>18451</v>
      </c>
      <c r="AD972" t="s">
        <v>4338</v>
      </c>
      <c r="AE972" t="s">
        <v>18452</v>
      </c>
      <c r="AF972" t="s">
        <v>74</v>
      </c>
      <c r="AG972">
        <v>22</v>
      </c>
      <c r="AH972">
        <v>1</v>
      </c>
      <c r="AI972">
        <v>1</v>
      </c>
      <c r="AJ972">
        <v>0</v>
      </c>
      <c r="AK972">
        <v>9</v>
      </c>
      <c r="AL972" t="s">
        <v>18453</v>
      </c>
      <c r="AM972" t="s">
        <v>4639</v>
      </c>
      <c r="AN972" t="s">
        <v>18454</v>
      </c>
      <c r="AO972" t="s">
        <v>18455</v>
      </c>
      <c r="AP972" t="s">
        <v>18456</v>
      </c>
      <c r="AQ972" t="s">
        <v>74</v>
      </c>
      <c r="AR972" t="s">
        <v>18457</v>
      </c>
      <c r="AS972" t="s">
        <v>18458</v>
      </c>
      <c r="AT972" t="s">
        <v>2125</v>
      </c>
      <c r="AU972">
        <v>2021</v>
      </c>
      <c r="AV972">
        <v>33</v>
      </c>
      <c r="AW972">
        <v>6</v>
      </c>
      <c r="AX972" t="s">
        <v>74</v>
      </c>
      <c r="AY972" t="s">
        <v>74</v>
      </c>
      <c r="AZ972" t="s">
        <v>74</v>
      </c>
      <c r="BA972" t="s">
        <v>74</v>
      </c>
      <c r="BB972">
        <v>1223</v>
      </c>
      <c r="BC972">
        <v>1233</v>
      </c>
      <c r="BD972" t="s">
        <v>74</v>
      </c>
      <c r="BE972" t="s">
        <v>18459</v>
      </c>
      <c r="BF972" t="str">
        <f>HYPERLINK("http://dx.doi.org/10.20965/jrm.2021.p1223","http://dx.doi.org/10.20965/jrm.2021.p1223")</f>
        <v>http://dx.doi.org/10.20965/jrm.2021.p1223</v>
      </c>
      <c r="BG972" t="s">
        <v>74</v>
      </c>
      <c r="BH972" t="s">
        <v>74</v>
      </c>
      <c r="BI972">
        <v>11</v>
      </c>
      <c r="BJ972" t="s">
        <v>18460</v>
      </c>
      <c r="BK972" t="s">
        <v>724</v>
      </c>
      <c r="BL972" t="s">
        <v>18460</v>
      </c>
      <c r="BM972" t="s">
        <v>18461</v>
      </c>
      <c r="BN972" t="s">
        <v>74</v>
      </c>
      <c r="BO972" t="s">
        <v>445</v>
      </c>
      <c r="BP972" t="s">
        <v>74</v>
      </c>
      <c r="BQ972" t="s">
        <v>74</v>
      </c>
      <c r="BR972" t="s">
        <v>106</v>
      </c>
      <c r="BS972" t="s">
        <v>18462</v>
      </c>
      <c r="BT972" t="str">
        <f>HYPERLINK("https%3A%2F%2Fwww.webofscience.com%2Fwos%2Fwoscc%2Ffull-record%2FWOS:000731760400003","View Full Record in Web of Science")</f>
        <v>View Full Record in Web of Science</v>
      </c>
    </row>
    <row r="973" spans="1:72" x14ac:dyDescent="0.15">
      <c r="A973" t="s">
        <v>72</v>
      </c>
      <c r="B973" t="s">
        <v>18463</v>
      </c>
      <c r="C973" t="s">
        <v>74</v>
      </c>
      <c r="D973" t="s">
        <v>74</v>
      </c>
      <c r="E973" t="s">
        <v>74</v>
      </c>
      <c r="F973" t="s">
        <v>18464</v>
      </c>
      <c r="G973" t="s">
        <v>74</v>
      </c>
      <c r="H973" t="s">
        <v>74</v>
      </c>
      <c r="I973" t="s">
        <v>18465</v>
      </c>
      <c r="J973" t="s">
        <v>18466</v>
      </c>
      <c r="K973" t="s">
        <v>74</v>
      </c>
      <c r="L973" t="s">
        <v>74</v>
      </c>
      <c r="M973" t="s">
        <v>78</v>
      </c>
      <c r="N973" t="s">
        <v>79</v>
      </c>
      <c r="O973" t="s">
        <v>74</v>
      </c>
      <c r="P973" t="s">
        <v>74</v>
      </c>
      <c r="Q973" t="s">
        <v>74</v>
      </c>
      <c r="R973" t="s">
        <v>74</v>
      </c>
      <c r="S973" t="s">
        <v>74</v>
      </c>
      <c r="T973" t="s">
        <v>18467</v>
      </c>
      <c r="U973" t="s">
        <v>18468</v>
      </c>
      <c r="V973" t="s">
        <v>18469</v>
      </c>
      <c r="W973" t="s">
        <v>18470</v>
      </c>
      <c r="X973" t="s">
        <v>18471</v>
      </c>
      <c r="Y973" t="s">
        <v>18472</v>
      </c>
      <c r="Z973" t="s">
        <v>18473</v>
      </c>
      <c r="AA973" t="s">
        <v>18474</v>
      </c>
      <c r="AB973" t="s">
        <v>18475</v>
      </c>
      <c r="AC973" t="s">
        <v>18476</v>
      </c>
      <c r="AD973" t="s">
        <v>18477</v>
      </c>
      <c r="AE973" t="s">
        <v>18478</v>
      </c>
      <c r="AF973" t="s">
        <v>74</v>
      </c>
      <c r="AG973">
        <v>63</v>
      </c>
      <c r="AH973">
        <v>7</v>
      </c>
      <c r="AI973">
        <v>7</v>
      </c>
      <c r="AJ973">
        <v>2</v>
      </c>
      <c r="AK973">
        <v>14</v>
      </c>
      <c r="AL973" t="s">
        <v>310</v>
      </c>
      <c r="AM973" t="s">
        <v>311</v>
      </c>
      <c r="AN973" t="s">
        <v>312</v>
      </c>
      <c r="AO973" t="s">
        <v>18479</v>
      </c>
      <c r="AP973" t="s">
        <v>74</v>
      </c>
      <c r="AQ973" t="s">
        <v>74</v>
      </c>
      <c r="AR973" t="s">
        <v>18480</v>
      </c>
      <c r="AS973" t="s">
        <v>18481</v>
      </c>
      <c r="AT973" t="s">
        <v>4645</v>
      </c>
      <c r="AU973">
        <v>2022</v>
      </c>
      <c r="AV973">
        <v>49</v>
      </c>
      <c r="AW973" t="s">
        <v>74</v>
      </c>
      <c r="AX973" t="s">
        <v>74</v>
      </c>
      <c r="AY973" t="s">
        <v>74</v>
      </c>
      <c r="AZ973" t="s">
        <v>74</v>
      </c>
      <c r="BA973" t="s">
        <v>74</v>
      </c>
      <c r="BB973" t="s">
        <v>74</v>
      </c>
      <c r="BC973" t="s">
        <v>74</v>
      </c>
      <c r="BD973">
        <v>102080</v>
      </c>
      <c r="BE973" t="s">
        <v>18482</v>
      </c>
      <c r="BF973" t="str">
        <f>HYPERLINK("http://dx.doi.org/10.1016/j.rsma.2021.102080","http://dx.doi.org/10.1016/j.rsma.2021.102080")</f>
        <v>http://dx.doi.org/10.1016/j.rsma.2021.102080</v>
      </c>
      <c r="BG973" t="s">
        <v>74</v>
      </c>
      <c r="BH973" t="s">
        <v>14486</v>
      </c>
      <c r="BI973">
        <v>9</v>
      </c>
      <c r="BJ973" t="s">
        <v>18483</v>
      </c>
      <c r="BK973" t="s">
        <v>1034</v>
      </c>
      <c r="BL973" t="s">
        <v>104</v>
      </c>
      <c r="BM973" t="s">
        <v>18484</v>
      </c>
      <c r="BN973" t="s">
        <v>74</v>
      </c>
      <c r="BO973" t="s">
        <v>74</v>
      </c>
      <c r="BP973" t="s">
        <v>74</v>
      </c>
      <c r="BQ973" t="s">
        <v>74</v>
      </c>
      <c r="BR973" t="s">
        <v>106</v>
      </c>
      <c r="BS973" t="s">
        <v>18485</v>
      </c>
      <c r="BT973" t="str">
        <f>HYPERLINK("https%3A%2F%2Fwww.webofscience.com%2Fwos%2Fwoscc%2Ffull-record%2FWOS:000731486400007","View Full Record in Web of Science")</f>
        <v>View Full Record in Web of Science</v>
      </c>
    </row>
    <row r="974" spans="1:72" x14ac:dyDescent="0.15">
      <c r="A974" t="s">
        <v>72</v>
      </c>
      <c r="B974" t="s">
        <v>18486</v>
      </c>
      <c r="C974" t="s">
        <v>74</v>
      </c>
      <c r="D974" t="s">
        <v>74</v>
      </c>
      <c r="E974" t="s">
        <v>74</v>
      </c>
      <c r="F974" t="s">
        <v>18487</v>
      </c>
      <c r="G974" t="s">
        <v>74</v>
      </c>
      <c r="H974" t="s">
        <v>74</v>
      </c>
      <c r="I974" t="s">
        <v>18488</v>
      </c>
      <c r="J974" t="s">
        <v>4096</v>
      </c>
      <c r="K974" t="s">
        <v>74</v>
      </c>
      <c r="L974" t="s">
        <v>74</v>
      </c>
      <c r="M974" t="s">
        <v>78</v>
      </c>
      <c r="N974" t="s">
        <v>79</v>
      </c>
      <c r="O974" t="s">
        <v>74</v>
      </c>
      <c r="P974" t="s">
        <v>74</v>
      </c>
      <c r="Q974" t="s">
        <v>74</v>
      </c>
      <c r="R974" t="s">
        <v>74</v>
      </c>
      <c r="S974" t="s">
        <v>74</v>
      </c>
      <c r="T974" t="s">
        <v>74</v>
      </c>
      <c r="U974" t="s">
        <v>18489</v>
      </c>
      <c r="V974" t="s">
        <v>18490</v>
      </c>
      <c r="W974" t="s">
        <v>18491</v>
      </c>
      <c r="X974" t="s">
        <v>18492</v>
      </c>
      <c r="Y974" t="s">
        <v>18493</v>
      </c>
      <c r="Z974" t="s">
        <v>18494</v>
      </c>
      <c r="AA974" t="s">
        <v>18495</v>
      </c>
      <c r="AB974" t="s">
        <v>18496</v>
      </c>
      <c r="AC974" t="s">
        <v>18497</v>
      </c>
      <c r="AD974" t="s">
        <v>18498</v>
      </c>
      <c r="AE974" t="s">
        <v>18499</v>
      </c>
      <c r="AF974" t="s">
        <v>74</v>
      </c>
      <c r="AG974">
        <v>105</v>
      </c>
      <c r="AH974">
        <v>12</v>
      </c>
      <c r="AI974">
        <v>13</v>
      </c>
      <c r="AJ974">
        <v>0</v>
      </c>
      <c r="AK974">
        <v>10</v>
      </c>
      <c r="AL974" t="s">
        <v>3816</v>
      </c>
      <c r="AM974" t="s">
        <v>3817</v>
      </c>
      <c r="AN974" t="s">
        <v>3818</v>
      </c>
      <c r="AO974" t="s">
        <v>4106</v>
      </c>
      <c r="AP974" t="s">
        <v>4107</v>
      </c>
      <c r="AQ974" t="s">
        <v>74</v>
      </c>
      <c r="AR974" t="s">
        <v>4108</v>
      </c>
      <c r="AS974" t="s">
        <v>4109</v>
      </c>
      <c r="AT974" t="s">
        <v>2125</v>
      </c>
      <c r="AU974">
        <v>2021</v>
      </c>
      <c r="AV974">
        <v>923</v>
      </c>
      <c r="AW974">
        <v>1</v>
      </c>
      <c r="AX974" t="s">
        <v>74</v>
      </c>
      <c r="AY974" t="s">
        <v>74</v>
      </c>
      <c r="AZ974" t="s">
        <v>74</v>
      </c>
      <c r="BA974" t="s">
        <v>74</v>
      </c>
      <c r="BB974" t="s">
        <v>74</v>
      </c>
      <c r="BC974" t="s">
        <v>74</v>
      </c>
      <c r="BD974">
        <v>94</v>
      </c>
      <c r="BE974" t="s">
        <v>18500</v>
      </c>
      <c r="BF974" t="str">
        <f>HYPERLINK("http://dx.doi.org/10.3847/1538-4357/ac2570","http://dx.doi.org/10.3847/1538-4357/ac2570")</f>
        <v>http://dx.doi.org/10.3847/1538-4357/ac2570</v>
      </c>
      <c r="BG974" t="s">
        <v>74</v>
      </c>
      <c r="BH974" t="s">
        <v>74</v>
      </c>
      <c r="BI974">
        <v>14</v>
      </c>
      <c r="BJ974" t="s">
        <v>262</v>
      </c>
      <c r="BK974" t="s">
        <v>103</v>
      </c>
      <c r="BL974" t="s">
        <v>262</v>
      </c>
      <c r="BM974" t="s">
        <v>18501</v>
      </c>
      <c r="BN974" t="s">
        <v>74</v>
      </c>
      <c r="BO974" t="s">
        <v>1613</v>
      </c>
      <c r="BP974" t="s">
        <v>74</v>
      </c>
      <c r="BQ974" t="s">
        <v>74</v>
      </c>
      <c r="BR974" t="s">
        <v>106</v>
      </c>
      <c r="BS974" t="s">
        <v>18502</v>
      </c>
      <c r="BT974" t="str">
        <f>HYPERLINK("https%3A%2F%2Fwww.webofscience.com%2Fwos%2Fwoscc%2Ffull-record%2FWOS:000729986400001","View Full Record in Web of Science")</f>
        <v>View Full Record in Web of Science</v>
      </c>
    </row>
    <row r="975" spans="1:72" x14ac:dyDescent="0.15">
      <c r="A975" t="s">
        <v>72</v>
      </c>
      <c r="B975" t="s">
        <v>18503</v>
      </c>
      <c r="C975" t="s">
        <v>74</v>
      </c>
      <c r="D975" t="s">
        <v>74</v>
      </c>
      <c r="E975" t="s">
        <v>74</v>
      </c>
      <c r="F975" t="s">
        <v>18504</v>
      </c>
      <c r="G975" t="s">
        <v>74</v>
      </c>
      <c r="H975" t="s">
        <v>74</v>
      </c>
      <c r="I975" t="s">
        <v>18505</v>
      </c>
      <c r="J975" t="s">
        <v>3803</v>
      </c>
      <c r="K975" t="s">
        <v>74</v>
      </c>
      <c r="L975" t="s">
        <v>74</v>
      </c>
      <c r="M975" t="s">
        <v>78</v>
      </c>
      <c r="N975" t="s">
        <v>79</v>
      </c>
      <c r="O975" t="s">
        <v>74</v>
      </c>
      <c r="P975" t="s">
        <v>74</v>
      </c>
      <c r="Q975" t="s">
        <v>74</v>
      </c>
      <c r="R975" t="s">
        <v>74</v>
      </c>
      <c r="S975" t="s">
        <v>74</v>
      </c>
      <c r="T975" t="s">
        <v>18506</v>
      </c>
      <c r="U975" t="s">
        <v>18507</v>
      </c>
      <c r="V975" t="s">
        <v>18508</v>
      </c>
      <c r="W975" t="s">
        <v>18509</v>
      </c>
      <c r="X975" t="s">
        <v>6308</v>
      </c>
      <c r="Y975" t="s">
        <v>18510</v>
      </c>
      <c r="Z975" t="s">
        <v>18511</v>
      </c>
      <c r="AA975" t="s">
        <v>18512</v>
      </c>
      <c r="AB975" t="s">
        <v>18513</v>
      </c>
      <c r="AC975" t="s">
        <v>18514</v>
      </c>
      <c r="AD975" t="s">
        <v>18515</v>
      </c>
      <c r="AE975" t="s">
        <v>18516</v>
      </c>
      <c r="AF975" t="s">
        <v>74</v>
      </c>
      <c r="AG975">
        <v>59</v>
      </c>
      <c r="AH975">
        <v>4</v>
      </c>
      <c r="AI975">
        <v>4</v>
      </c>
      <c r="AJ975">
        <v>14</v>
      </c>
      <c r="AK975">
        <v>83</v>
      </c>
      <c r="AL975" t="s">
        <v>3816</v>
      </c>
      <c r="AM975" t="s">
        <v>3817</v>
      </c>
      <c r="AN975" t="s">
        <v>3818</v>
      </c>
      <c r="AO975" t="s">
        <v>3819</v>
      </c>
      <c r="AP975" t="s">
        <v>74</v>
      </c>
      <c r="AQ975" t="s">
        <v>74</v>
      </c>
      <c r="AR975" t="s">
        <v>3820</v>
      </c>
      <c r="AS975" t="s">
        <v>3821</v>
      </c>
      <c r="AT975" t="s">
        <v>2125</v>
      </c>
      <c r="AU975">
        <v>2021</v>
      </c>
      <c r="AV975">
        <v>16</v>
      </c>
      <c r="AW975">
        <v>12</v>
      </c>
      <c r="AX975" t="s">
        <v>74</v>
      </c>
      <c r="AY975" t="s">
        <v>74</v>
      </c>
      <c r="AZ975" t="s">
        <v>74</v>
      </c>
      <c r="BA975" t="s">
        <v>74</v>
      </c>
      <c r="BB975" t="s">
        <v>74</v>
      </c>
      <c r="BC975" t="s">
        <v>74</v>
      </c>
      <c r="BD975">
        <v>124063</v>
      </c>
      <c r="BE975" t="s">
        <v>18517</v>
      </c>
      <c r="BF975" t="str">
        <f>HYPERLINK("http://dx.doi.org/10.1088/1748-9326/ac3d57","http://dx.doi.org/10.1088/1748-9326/ac3d57")</f>
        <v>http://dx.doi.org/10.1088/1748-9326/ac3d57</v>
      </c>
      <c r="BG975" t="s">
        <v>74</v>
      </c>
      <c r="BH975" t="s">
        <v>74</v>
      </c>
      <c r="BI975">
        <v>10</v>
      </c>
      <c r="BJ975" t="s">
        <v>129</v>
      </c>
      <c r="BK975" t="s">
        <v>103</v>
      </c>
      <c r="BL975" t="s">
        <v>130</v>
      </c>
      <c r="BM975" t="s">
        <v>18518</v>
      </c>
      <c r="BN975" t="s">
        <v>74</v>
      </c>
      <c r="BO975" t="s">
        <v>292</v>
      </c>
      <c r="BP975" t="s">
        <v>74</v>
      </c>
      <c r="BQ975" t="s">
        <v>74</v>
      </c>
      <c r="BR975" t="s">
        <v>106</v>
      </c>
      <c r="BS975" t="s">
        <v>18519</v>
      </c>
      <c r="BT975" t="str">
        <f>HYPERLINK("https%3A%2F%2Fwww.webofscience.com%2Fwos%2Fwoscc%2Ffull-record%2FWOS:000729975200001","View Full Record in Web of Science")</f>
        <v>View Full Record in Web of Science</v>
      </c>
    </row>
    <row r="976" spans="1:72" x14ac:dyDescent="0.15">
      <c r="A976" t="s">
        <v>72</v>
      </c>
      <c r="B976" t="s">
        <v>18520</v>
      </c>
      <c r="C976" t="s">
        <v>74</v>
      </c>
      <c r="D976" t="s">
        <v>74</v>
      </c>
      <c r="E976" t="s">
        <v>74</v>
      </c>
      <c r="F976" t="s">
        <v>18521</v>
      </c>
      <c r="G976" t="s">
        <v>74</v>
      </c>
      <c r="H976" t="s">
        <v>74</v>
      </c>
      <c r="I976" t="s">
        <v>18522</v>
      </c>
      <c r="J976" t="s">
        <v>18523</v>
      </c>
      <c r="K976" t="s">
        <v>74</v>
      </c>
      <c r="L976" t="s">
        <v>74</v>
      </c>
      <c r="M976" t="s">
        <v>78</v>
      </c>
      <c r="N976" t="s">
        <v>79</v>
      </c>
      <c r="O976" t="s">
        <v>74</v>
      </c>
      <c r="P976" t="s">
        <v>74</v>
      </c>
      <c r="Q976" t="s">
        <v>74</v>
      </c>
      <c r="R976" t="s">
        <v>74</v>
      </c>
      <c r="S976" t="s">
        <v>74</v>
      </c>
      <c r="T976" t="s">
        <v>74</v>
      </c>
      <c r="U976" t="s">
        <v>18524</v>
      </c>
      <c r="V976" t="s">
        <v>18525</v>
      </c>
      <c r="W976" t="s">
        <v>18526</v>
      </c>
      <c r="X976" t="s">
        <v>18527</v>
      </c>
      <c r="Y976" t="s">
        <v>18528</v>
      </c>
      <c r="Z976" t="s">
        <v>74</v>
      </c>
      <c r="AA976" t="s">
        <v>18529</v>
      </c>
      <c r="AB976" t="s">
        <v>18530</v>
      </c>
      <c r="AC976" t="s">
        <v>18531</v>
      </c>
      <c r="AD976" t="s">
        <v>18532</v>
      </c>
      <c r="AE976" t="s">
        <v>18533</v>
      </c>
      <c r="AF976" t="s">
        <v>74</v>
      </c>
      <c r="AG976">
        <v>34</v>
      </c>
      <c r="AH976">
        <v>14</v>
      </c>
      <c r="AI976">
        <v>16</v>
      </c>
      <c r="AJ976">
        <v>0</v>
      </c>
      <c r="AK976">
        <v>3</v>
      </c>
      <c r="AL976" t="s">
        <v>9774</v>
      </c>
      <c r="AM976" t="s">
        <v>9775</v>
      </c>
      <c r="AN976" t="s">
        <v>9776</v>
      </c>
      <c r="AO976" t="s">
        <v>18534</v>
      </c>
      <c r="AP976" t="s">
        <v>18535</v>
      </c>
      <c r="AQ976" t="s">
        <v>74</v>
      </c>
      <c r="AR976" t="s">
        <v>18523</v>
      </c>
      <c r="AS976" t="s">
        <v>152</v>
      </c>
      <c r="AT976" t="s">
        <v>2125</v>
      </c>
      <c r="AU976">
        <v>2021</v>
      </c>
      <c r="AV976">
        <v>49</v>
      </c>
      <c r="AW976">
        <v>12</v>
      </c>
      <c r="AX976" t="s">
        <v>74</v>
      </c>
      <c r="AY976" t="s">
        <v>74</v>
      </c>
      <c r="AZ976" t="s">
        <v>74</v>
      </c>
      <c r="BA976" t="s">
        <v>74</v>
      </c>
      <c r="BB976">
        <v>1516</v>
      </c>
      <c r="BC976">
        <v>1520</v>
      </c>
      <c r="BD976" t="s">
        <v>74</v>
      </c>
      <c r="BE976" t="s">
        <v>18536</v>
      </c>
      <c r="BF976" t="str">
        <f>HYPERLINK("http://dx.doi.org/10.1130/G49048.1","http://dx.doi.org/10.1130/G49048.1")</f>
        <v>http://dx.doi.org/10.1130/G49048.1</v>
      </c>
      <c r="BG976" t="s">
        <v>74</v>
      </c>
      <c r="BH976" t="s">
        <v>74</v>
      </c>
      <c r="BI976">
        <v>5</v>
      </c>
      <c r="BJ976" t="s">
        <v>152</v>
      </c>
      <c r="BK976" t="s">
        <v>103</v>
      </c>
      <c r="BL976" t="s">
        <v>152</v>
      </c>
      <c r="BM976" t="s">
        <v>18537</v>
      </c>
      <c r="BN976" t="s">
        <v>74</v>
      </c>
      <c r="BO976" t="s">
        <v>18538</v>
      </c>
      <c r="BP976" t="s">
        <v>74</v>
      </c>
      <c r="BQ976" t="s">
        <v>74</v>
      </c>
      <c r="BR976" t="s">
        <v>106</v>
      </c>
      <c r="BS976" t="s">
        <v>18539</v>
      </c>
      <c r="BT976" t="str">
        <f>HYPERLINK("https%3A%2F%2Fwww.webofscience.com%2Fwos%2Fwoscc%2Ffull-record%2FWOS:000730017300005","View Full Record in Web of Science")</f>
        <v>View Full Record in Web of Science</v>
      </c>
    </row>
    <row r="977" spans="1:72" x14ac:dyDescent="0.15">
      <c r="A977" t="s">
        <v>72</v>
      </c>
      <c r="B977" t="s">
        <v>18540</v>
      </c>
      <c r="C977" t="s">
        <v>74</v>
      </c>
      <c r="D977" t="s">
        <v>74</v>
      </c>
      <c r="E977" t="s">
        <v>74</v>
      </c>
      <c r="F977" t="s">
        <v>18541</v>
      </c>
      <c r="G977" t="s">
        <v>74</v>
      </c>
      <c r="H977" t="s">
        <v>74</v>
      </c>
      <c r="I977" t="s">
        <v>18542</v>
      </c>
      <c r="J977" t="s">
        <v>3916</v>
      </c>
      <c r="K977" t="s">
        <v>74</v>
      </c>
      <c r="L977" t="s">
        <v>74</v>
      </c>
      <c r="M977" t="s">
        <v>78</v>
      </c>
      <c r="N977" t="s">
        <v>79</v>
      </c>
      <c r="O977" t="s">
        <v>74</v>
      </c>
      <c r="P977" t="s">
        <v>74</v>
      </c>
      <c r="Q977" t="s">
        <v>74</v>
      </c>
      <c r="R977" t="s">
        <v>74</v>
      </c>
      <c r="S977" t="s">
        <v>74</v>
      </c>
      <c r="T977" t="s">
        <v>74</v>
      </c>
      <c r="U977" t="s">
        <v>18543</v>
      </c>
      <c r="V977" t="s">
        <v>18544</v>
      </c>
      <c r="W977" t="s">
        <v>18545</v>
      </c>
      <c r="X977" t="s">
        <v>18546</v>
      </c>
      <c r="Y977" t="s">
        <v>18547</v>
      </c>
      <c r="Z977" t="s">
        <v>18548</v>
      </c>
      <c r="AA977" t="s">
        <v>74</v>
      </c>
      <c r="AB977" t="s">
        <v>18549</v>
      </c>
      <c r="AC977" t="s">
        <v>18550</v>
      </c>
      <c r="AD977" t="s">
        <v>18551</v>
      </c>
      <c r="AE977" t="s">
        <v>18552</v>
      </c>
      <c r="AF977" t="s">
        <v>74</v>
      </c>
      <c r="AG977">
        <v>39</v>
      </c>
      <c r="AH977">
        <v>2</v>
      </c>
      <c r="AI977">
        <v>2</v>
      </c>
      <c r="AJ977">
        <v>28</v>
      </c>
      <c r="AK977">
        <v>32</v>
      </c>
      <c r="AL977" t="s">
        <v>1074</v>
      </c>
      <c r="AM977" t="s">
        <v>506</v>
      </c>
      <c r="AN977" t="s">
        <v>1075</v>
      </c>
      <c r="AO977" t="s">
        <v>3928</v>
      </c>
      <c r="AP977" t="s">
        <v>3929</v>
      </c>
      <c r="AQ977" t="s">
        <v>74</v>
      </c>
      <c r="AR977" t="s">
        <v>3930</v>
      </c>
      <c r="AS977" t="s">
        <v>3931</v>
      </c>
      <c r="AT977" t="s">
        <v>2125</v>
      </c>
      <c r="AU977">
        <v>2021</v>
      </c>
      <c r="AV977">
        <v>81</v>
      </c>
      <c r="AW977">
        <v>12</v>
      </c>
      <c r="AX977" t="s">
        <v>74</v>
      </c>
      <c r="AY977" t="s">
        <v>74</v>
      </c>
      <c r="AZ977" t="s">
        <v>74</v>
      </c>
      <c r="BA977" t="s">
        <v>74</v>
      </c>
      <c r="BB977" t="s">
        <v>74</v>
      </c>
      <c r="BC977" t="s">
        <v>74</v>
      </c>
      <c r="BD977">
        <v>1058</v>
      </c>
      <c r="BE977" t="s">
        <v>18553</v>
      </c>
      <c r="BF977" t="str">
        <f>HYPERLINK("http://dx.doi.org/10.1140/epjc/s10052-021-09809-y","http://dx.doi.org/10.1140/epjc/s10052-021-09809-y")</f>
        <v>http://dx.doi.org/10.1140/epjc/s10052-021-09809-y</v>
      </c>
      <c r="BG977" t="s">
        <v>74</v>
      </c>
      <c r="BH977" t="s">
        <v>74</v>
      </c>
      <c r="BI977">
        <v>11</v>
      </c>
      <c r="BJ977" t="s">
        <v>3933</v>
      </c>
      <c r="BK977" t="s">
        <v>103</v>
      </c>
      <c r="BL977" t="s">
        <v>3934</v>
      </c>
      <c r="BM977" t="s">
        <v>18554</v>
      </c>
      <c r="BN977" t="s">
        <v>74</v>
      </c>
      <c r="BO977" t="s">
        <v>154</v>
      </c>
      <c r="BP977" t="s">
        <v>74</v>
      </c>
      <c r="BQ977" t="s">
        <v>74</v>
      </c>
      <c r="BR977" t="s">
        <v>106</v>
      </c>
      <c r="BS977" t="s">
        <v>18555</v>
      </c>
      <c r="BT977" t="str">
        <f>HYPERLINK("https%3A%2F%2Fwww.webofscience.com%2Fwos%2Fwoscc%2Ffull-record%2FWOS:000724836800001","View Full Record in Web of Science")</f>
        <v>View Full Record in Web of Science</v>
      </c>
    </row>
    <row r="978" spans="1:72" x14ac:dyDescent="0.15">
      <c r="A978" t="s">
        <v>72</v>
      </c>
      <c r="B978" t="s">
        <v>18556</v>
      </c>
      <c r="C978" t="s">
        <v>74</v>
      </c>
      <c r="D978" t="s">
        <v>74</v>
      </c>
      <c r="E978" t="s">
        <v>74</v>
      </c>
      <c r="F978" t="s">
        <v>18557</v>
      </c>
      <c r="G978" t="s">
        <v>74</v>
      </c>
      <c r="H978" t="s">
        <v>74</v>
      </c>
      <c r="I978" t="s">
        <v>18558</v>
      </c>
      <c r="J978" t="s">
        <v>18559</v>
      </c>
      <c r="K978" t="s">
        <v>74</v>
      </c>
      <c r="L978" t="s">
        <v>74</v>
      </c>
      <c r="M978" t="s">
        <v>78</v>
      </c>
      <c r="N978" t="s">
        <v>79</v>
      </c>
      <c r="O978" t="s">
        <v>74</v>
      </c>
      <c r="P978" t="s">
        <v>74</v>
      </c>
      <c r="Q978" t="s">
        <v>74</v>
      </c>
      <c r="R978" t="s">
        <v>74</v>
      </c>
      <c r="S978" t="s">
        <v>74</v>
      </c>
      <c r="T978" t="s">
        <v>18560</v>
      </c>
      <c r="U978" t="s">
        <v>74</v>
      </c>
      <c r="V978" t="s">
        <v>18561</v>
      </c>
      <c r="W978" t="s">
        <v>18562</v>
      </c>
      <c r="X978" t="s">
        <v>18563</v>
      </c>
      <c r="Y978" t="s">
        <v>18564</v>
      </c>
      <c r="Z978" t="s">
        <v>18565</v>
      </c>
      <c r="AA978" t="s">
        <v>18566</v>
      </c>
      <c r="AB978" t="s">
        <v>18567</v>
      </c>
      <c r="AC978" t="s">
        <v>18568</v>
      </c>
      <c r="AD978" t="s">
        <v>18568</v>
      </c>
      <c r="AE978" t="s">
        <v>18569</v>
      </c>
      <c r="AF978" t="s">
        <v>74</v>
      </c>
      <c r="AG978">
        <v>29</v>
      </c>
      <c r="AH978">
        <v>4</v>
      </c>
      <c r="AI978">
        <v>4</v>
      </c>
      <c r="AJ978">
        <v>0</v>
      </c>
      <c r="AK978">
        <v>4</v>
      </c>
      <c r="AL978" t="s">
        <v>18570</v>
      </c>
      <c r="AM978" t="s">
        <v>9528</v>
      </c>
      <c r="AN978" t="s">
        <v>18571</v>
      </c>
      <c r="AO978" t="s">
        <v>18572</v>
      </c>
      <c r="AP978" t="s">
        <v>18573</v>
      </c>
      <c r="AQ978" t="s">
        <v>74</v>
      </c>
      <c r="AR978" t="s">
        <v>18574</v>
      </c>
      <c r="AS978" t="s">
        <v>18575</v>
      </c>
      <c r="AT978" t="s">
        <v>17296</v>
      </c>
      <c r="AU978">
        <v>2021</v>
      </c>
      <c r="AV978">
        <v>74</v>
      </c>
      <c r="AW978" t="s">
        <v>74</v>
      </c>
      <c r="AX978" t="s">
        <v>74</v>
      </c>
      <c r="AY978" t="s">
        <v>74</v>
      </c>
      <c r="AZ978" t="s">
        <v>74</v>
      </c>
      <c r="BA978" t="s">
        <v>74</v>
      </c>
      <c r="BB978" t="s">
        <v>74</v>
      </c>
      <c r="BC978" t="s">
        <v>74</v>
      </c>
      <c r="BD978">
        <v>7416</v>
      </c>
      <c r="BE978" t="s">
        <v>18576</v>
      </c>
      <c r="BF978" t="str">
        <f>HYPERLINK("http://dx.doi.org/10.5586/aa.7416","http://dx.doi.org/10.5586/aa.7416")</f>
        <v>http://dx.doi.org/10.5586/aa.7416</v>
      </c>
      <c r="BG978" t="s">
        <v>74</v>
      </c>
      <c r="BH978" t="s">
        <v>74</v>
      </c>
      <c r="BI978">
        <v>11</v>
      </c>
      <c r="BJ978" t="s">
        <v>3676</v>
      </c>
      <c r="BK978" t="s">
        <v>724</v>
      </c>
      <c r="BL978" t="s">
        <v>3677</v>
      </c>
      <c r="BM978" t="s">
        <v>18577</v>
      </c>
      <c r="BN978" t="s">
        <v>74</v>
      </c>
      <c r="BO978" t="s">
        <v>445</v>
      </c>
      <c r="BP978" t="s">
        <v>74</v>
      </c>
      <c r="BQ978" t="s">
        <v>74</v>
      </c>
      <c r="BR978" t="s">
        <v>106</v>
      </c>
      <c r="BS978" t="s">
        <v>18578</v>
      </c>
      <c r="BT978" t="str">
        <f>HYPERLINK("https%3A%2F%2Fwww.webofscience.com%2Fwos%2Fwoscc%2Ffull-record%2FWOS:000727441100001","View Full Record in Web of Science")</f>
        <v>View Full Record in Web of Science</v>
      </c>
    </row>
    <row r="979" spans="1:72" x14ac:dyDescent="0.15">
      <c r="A979" t="s">
        <v>72</v>
      </c>
      <c r="B979" t="s">
        <v>18579</v>
      </c>
      <c r="C979" t="s">
        <v>74</v>
      </c>
      <c r="D979" t="s">
        <v>74</v>
      </c>
      <c r="E979" t="s">
        <v>74</v>
      </c>
      <c r="F979" t="s">
        <v>18580</v>
      </c>
      <c r="G979" t="s">
        <v>74</v>
      </c>
      <c r="H979" t="s">
        <v>74</v>
      </c>
      <c r="I979" t="s">
        <v>18581</v>
      </c>
      <c r="J979" t="s">
        <v>6997</v>
      </c>
      <c r="K979" t="s">
        <v>74</v>
      </c>
      <c r="L979" t="s">
        <v>74</v>
      </c>
      <c r="M979" t="s">
        <v>78</v>
      </c>
      <c r="N979" t="s">
        <v>779</v>
      </c>
      <c r="O979" t="s">
        <v>74</v>
      </c>
      <c r="P979" t="s">
        <v>74</v>
      </c>
      <c r="Q979" t="s">
        <v>74</v>
      </c>
      <c r="R979" t="s">
        <v>74</v>
      </c>
      <c r="S979" t="s">
        <v>74</v>
      </c>
      <c r="T979" t="s">
        <v>74</v>
      </c>
      <c r="U979" t="s">
        <v>74</v>
      </c>
      <c r="V979" t="s">
        <v>74</v>
      </c>
      <c r="W979" t="s">
        <v>74</v>
      </c>
      <c r="X979" t="s">
        <v>74</v>
      </c>
      <c r="Y979" t="s">
        <v>74</v>
      </c>
      <c r="Z979" t="s">
        <v>74</v>
      </c>
      <c r="AA979" t="s">
        <v>74</v>
      </c>
      <c r="AB979" t="s">
        <v>74</v>
      </c>
      <c r="AC979" t="s">
        <v>74</v>
      </c>
      <c r="AD979" t="s">
        <v>74</v>
      </c>
      <c r="AE979" t="s">
        <v>74</v>
      </c>
      <c r="AF979" t="s">
        <v>74</v>
      </c>
      <c r="AG979">
        <v>0</v>
      </c>
      <c r="AH979">
        <v>0</v>
      </c>
      <c r="AI979">
        <v>0</v>
      </c>
      <c r="AJ979">
        <v>0</v>
      </c>
      <c r="AK979">
        <v>3</v>
      </c>
      <c r="AL979" t="s">
        <v>337</v>
      </c>
      <c r="AM979" t="s">
        <v>338</v>
      </c>
      <c r="AN979" t="s">
        <v>339</v>
      </c>
      <c r="AO979" t="s">
        <v>7009</v>
      </c>
      <c r="AP979" t="s">
        <v>7010</v>
      </c>
      <c r="AQ979" t="s">
        <v>74</v>
      </c>
      <c r="AR979" t="s">
        <v>7011</v>
      </c>
      <c r="AS979" t="s">
        <v>7012</v>
      </c>
      <c r="AT979" t="s">
        <v>2125</v>
      </c>
      <c r="AU979">
        <v>2021</v>
      </c>
      <c r="AV979">
        <v>11</v>
      </c>
      <c r="AW979">
        <v>12</v>
      </c>
      <c r="AX979" t="s">
        <v>74</v>
      </c>
      <c r="AY979" t="s">
        <v>74</v>
      </c>
      <c r="AZ979" t="s">
        <v>74</v>
      </c>
      <c r="BA979" t="s">
        <v>74</v>
      </c>
      <c r="BB979">
        <v>1018</v>
      </c>
      <c r="BC979">
        <v>1018</v>
      </c>
      <c r="BD979" t="s">
        <v>74</v>
      </c>
      <c r="BE979" t="s">
        <v>18582</v>
      </c>
      <c r="BF979" t="str">
        <f>HYPERLINK("http://dx.doi.org/10.1038/s41558-021-01240-1","http://dx.doi.org/10.1038/s41558-021-01240-1")</f>
        <v>http://dx.doi.org/10.1038/s41558-021-01240-1</v>
      </c>
      <c r="BG979" t="s">
        <v>74</v>
      </c>
      <c r="BH979" t="s">
        <v>14486</v>
      </c>
      <c r="BI979">
        <v>1</v>
      </c>
      <c r="BJ979" t="s">
        <v>7014</v>
      </c>
      <c r="BK979" t="s">
        <v>1034</v>
      </c>
      <c r="BL979" t="s">
        <v>130</v>
      </c>
      <c r="BM979" t="s">
        <v>18583</v>
      </c>
      <c r="BN979" t="s">
        <v>74</v>
      </c>
      <c r="BO979" t="s">
        <v>74</v>
      </c>
      <c r="BP979" t="s">
        <v>74</v>
      </c>
      <c r="BQ979" t="s">
        <v>74</v>
      </c>
      <c r="BR979" t="s">
        <v>106</v>
      </c>
      <c r="BS979" t="s">
        <v>18584</v>
      </c>
      <c r="BT979" t="str">
        <f>HYPERLINK("https%3A%2F%2Fwww.webofscience.com%2Fwos%2Fwoscc%2Ffull-record%2FWOS:000724630700002","View Full Record in Web of Science")</f>
        <v>View Full Record in Web of Science</v>
      </c>
    </row>
    <row r="980" spans="1:72" x14ac:dyDescent="0.15">
      <c r="A980" t="s">
        <v>72</v>
      </c>
      <c r="B980" t="s">
        <v>18585</v>
      </c>
      <c r="C980" t="s">
        <v>74</v>
      </c>
      <c r="D980" t="s">
        <v>74</v>
      </c>
      <c r="E980" t="s">
        <v>74</v>
      </c>
      <c r="F980" t="s">
        <v>18586</v>
      </c>
      <c r="G980" t="s">
        <v>74</v>
      </c>
      <c r="H980" t="s">
        <v>74</v>
      </c>
      <c r="I980" t="s">
        <v>18587</v>
      </c>
      <c r="J980" t="s">
        <v>18588</v>
      </c>
      <c r="K980" t="s">
        <v>74</v>
      </c>
      <c r="L980" t="s">
        <v>74</v>
      </c>
      <c r="M980" t="s">
        <v>78</v>
      </c>
      <c r="N980" t="s">
        <v>79</v>
      </c>
      <c r="O980" t="s">
        <v>74</v>
      </c>
      <c r="P980" t="s">
        <v>74</v>
      </c>
      <c r="Q980" t="s">
        <v>74</v>
      </c>
      <c r="R980" t="s">
        <v>74</v>
      </c>
      <c r="S980" t="s">
        <v>74</v>
      </c>
      <c r="T980" t="s">
        <v>18589</v>
      </c>
      <c r="U980" t="s">
        <v>18590</v>
      </c>
      <c r="V980" t="s">
        <v>18591</v>
      </c>
      <c r="W980" t="s">
        <v>18592</v>
      </c>
      <c r="X980" t="s">
        <v>18593</v>
      </c>
      <c r="Y980" t="s">
        <v>18594</v>
      </c>
      <c r="Z980" t="s">
        <v>18595</v>
      </c>
      <c r="AA980" t="s">
        <v>18596</v>
      </c>
      <c r="AB980" t="s">
        <v>18597</v>
      </c>
      <c r="AC980" t="s">
        <v>18598</v>
      </c>
      <c r="AD980" t="s">
        <v>18599</v>
      </c>
      <c r="AE980" t="s">
        <v>18600</v>
      </c>
      <c r="AF980" t="s">
        <v>74</v>
      </c>
      <c r="AG980">
        <v>51</v>
      </c>
      <c r="AH980">
        <v>3</v>
      </c>
      <c r="AI980">
        <v>3</v>
      </c>
      <c r="AJ980">
        <v>3</v>
      </c>
      <c r="AK980">
        <v>19</v>
      </c>
      <c r="AL980" t="s">
        <v>1074</v>
      </c>
      <c r="AM980" t="s">
        <v>506</v>
      </c>
      <c r="AN980" t="s">
        <v>1075</v>
      </c>
      <c r="AO980" t="s">
        <v>18601</v>
      </c>
      <c r="AP980" t="s">
        <v>18602</v>
      </c>
      <c r="AQ980" t="s">
        <v>74</v>
      </c>
      <c r="AR980" t="s">
        <v>18603</v>
      </c>
      <c r="AS980" t="s">
        <v>18604</v>
      </c>
      <c r="AT980" t="s">
        <v>18605</v>
      </c>
      <c r="AU980">
        <v>2022</v>
      </c>
      <c r="AV980">
        <v>84</v>
      </c>
      <c r="AW980">
        <v>4</v>
      </c>
      <c r="AX980" t="s">
        <v>74</v>
      </c>
      <c r="AY980" t="s">
        <v>74</v>
      </c>
      <c r="AZ980" t="s">
        <v>74</v>
      </c>
      <c r="BA980" t="s">
        <v>74</v>
      </c>
      <c r="BB980">
        <v>1029</v>
      </c>
      <c r="BC980">
        <v>1041</v>
      </c>
      <c r="BD980" t="s">
        <v>74</v>
      </c>
      <c r="BE980" t="s">
        <v>18606</v>
      </c>
      <c r="BF980" t="str">
        <f>HYPERLINK("http://dx.doi.org/10.1007/s00248-021-01928-z","http://dx.doi.org/10.1007/s00248-021-01928-z")</f>
        <v>http://dx.doi.org/10.1007/s00248-021-01928-z</v>
      </c>
      <c r="BG980" t="s">
        <v>74</v>
      </c>
      <c r="BH980" t="s">
        <v>14486</v>
      </c>
      <c r="BI980">
        <v>13</v>
      </c>
      <c r="BJ980" t="s">
        <v>12212</v>
      </c>
      <c r="BK980" t="s">
        <v>103</v>
      </c>
      <c r="BL980" t="s">
        <v>12213</v>
      </c>
      <c r="BM980" t="s">
        <v>18607</v>
      </c>
      <c r="BN980">
        <v>34851441</v>
      </c>
      <c r="BO980" t="s">
        <v>74</v>
      </c>
      <c r="BP980" t="s">
        <v>74</v>
      </c>
      <c r="BQ980" t="s">
        <v>74</v>
      </c>
      <c r="BR980" t="s">
        <v>106</v>
      </c>
      <c r="BS980" t="s">
        <v>18608</v>
      </c>
      <c r="BT980" t="str">
        <f>HYPERLINK("https%3A%2F%2Fwww.webofscience.com%2Fwos%2Fwoscc%2Ffull-record%2FWOS:000724638600001","View Full Record in Web of Science")</f>
        <v>View Full Record in Web of Science</v>
      </c>
    </row>
    <row r="981" spans="1:72" x14ac:dyDescent="0.15">
      <c r="A981" t="s">
        <v>72</v>
      </c>
      <c r="B981" t="s">
        <v>18609</v>
      </c>
      <c r="C981" t="s">
        <v>74</v>
      </c>
      <c r="D981" t="s">
        <v>74</v>
      </c>
      <c r="E981" t="s">
        <v>74</v>
      </c>
      <c r="F981" t="s">
        <v>18610</v>
      </c>
      <c r="G981" t="s">
        <v>74</v>
      </c>
      <c r="H981" t="s">
        <v>74</v>
      </c>
      <c r="I981" t="s">
        <v>18611</v>
      </c>
      <c r="J981" t="s">
        <v>1397</v>
      </c>
      <c r="K981" t="s">
        <v>74</v>
      </c>
      <c r="L981" t="s">
        <v>74</v>
      </c>
      <c r="M981" t="s">
        <v>78</v>
      </c>
      <c r="N981" t="s">
        <v>79</v>
      </c>
      <c r="O981" t="s">
        <v>74</v>
      </c>
      <c r="P981" t="s">
        <v>74</v>
      </c>
      <c r="Q981" t="s">
        <v>74</v>
      </c>
      <c r="R981" t="s">
        <v>74</v>
      </c>
      <c r="S981" t="s">
        <v>74</v>
      </c>
      <c r="T981" t="s">
        <v>74</v>
      </c>
      <c r="U981" t="s">
        <v>18612</v>
      </c>
      <c r="V981" t="s">
        <v>18613</v>
      </c>
      <c r="W981" t="s">
        <v>18614</v>
      </c>
      <c r="X981" t="s">
        <v>18615</v>
      </c>
      <c r="Y981" t="s">
        <v>18616</v>
      </c>
      <c r="Z981" t="s">
        <v>18617</v>
      </c>
      <c r="AA981" t="s">
        <v>18618</v>
      </c>
      <c r="AB981" t="s">
        <v>18619</v>
      </c>
      <c r="AC981" t="s">
        <v>18620</v>
      </c>
      <c r="AD981" t="s">
        <v>18621</v>
      </c>
      <c r="AE981" t="s">
        <v>18622</v>
      </c>
      <c r="AF981" t="s">
        <v>74</v>
      </c>
      <c r="AG981">
        <v>41</v>
      </c>
      <c r="AH981">
        <v>4</v>
      </c>
      <c r="AI981">
        <v>4</v>
      </c>
      <c r="AJ981">
        <v>0</v>
      </c>
      <c r="AK981">
        <v>9</v>
      </c>
      <c r="AL981" t="s">
        <v>120</v>
      </c>
      <c r="AM981" t="s">
        <v>121</v>
      </c>
      <c r="AN981" t="s">
        <v>122</v>
      </c>
      <c r="AO981" t="s">
        <v>1409</v>
      </c>
      <c r="AP981" t="s">
        <v>1410</v>
      </c>
      <c r="AQ981" t="s">
        <v>74</v>
      </c>
      <c r="AR981" t="s">
        <v>1397</v>
      </c>
      <c r="AS981" t="s">
        <v>1411</v>
      </c>
      <c r="AT981" t="s">
        <v>17296</v>
      </c>
      <c r="AU981">
        <v>2021</v>
      </c>
      <c r="AV981">
        <v>15</v>
      </c>
      <c r="AW981">
        <v>12</v>
      </c>
      <c r="AX981" t="s">
        <v>74</v>
      </c>
      <c r="AY981" t="s">
        <v>74</v>
      </c>
      <c r="AZ981" t="s">
        <v>74</v>
      </c>
      <c r="BA981" t="s">
        <v>74</v>
      </c>
      <c r="BB981">
        <v>5309</v>
      </c>
      <c r="BC981">
        <v>5322</v>
      </c>
      <c r="BD981" t="s">
        <v>74</v>
      </c>
      <c r="BE981" t="s">
        <v>18623</v>
      </c>
      <c r="BF981" t="str">
        <f>HYPERLINK("http://dx.doi.org/10.5194/tc-15-5309-2021","http://dx.doi.org/10.5194/tc-15-5309-2021")</f>
        <v>http://dx.doi.org/10.5194/tc-15-5309-2021</v>
      </c>
      <c r="BG981" t="s">
        <v>74</v>
      </c>
      <c r="BH981" t="s">
        <v>74</v>
      </c>
      <c r="BI981">
        <v>14</v>
      </c>
      <c r="BJ981" t="s">
        <v>208</v>
      </c>
      <c r="BK981" t="s">
        <v>103</v>
      </c>
      <c r="BL981" t="s">
        <v>209</v>
      </c>
      <c r="BM981" t="s">
        <v>18624</v>
      </c>
      <c r="BN981" t="s">
        <v>74</v>
      </c>
      <c r="BO981" t="s">
        <v>18625</v>
      </c>
      <c r="BP981" t="s">
        <v>74</v>
      </c>
      <c r="BQ981" t="s">
        <v>74</v>
      </c>
      <c r="BR981" t="s">
        <v>106</v>
      </c>
      <c r="BS981" t="s">
        <v>18626</v>
      </c>
      <c r="BT981" t="str">
        <f>HYPERLINK("https%3A%2F%2Fwww.webofscience.com%2Fwos%2Fwoscc%2Ffull-record%2FWOS:000724551500001","View Full Record in Web of Science")</f>
        <v>View Full Record in Web of Science</v>
      </c>
    </row>
    <row r="982" spans="1:72" x14ac:dyDescent="0.15">
      <c r="A982" t="s">
        <v>72</v>
      </c>
      <c r="B982" t="s">
        <v>18627</v>
      </c>
      <c r="C982" t="s">
        <v>74</v>
      </c>
      <c r="D982" t="s">
        <v>74</v>
      </c>
      <c r="E982" t="s">
        <v>74</v>
      </c>
      <c r="F982" t="s">
        <v>18628</v>
      </c>
      <c r="G982" t="s">
        <v>74</v>
      </c>
      <c r="H982" t="s">
        <v>74</v>
      </c>
      <c r="I982" t="s">
        <v>18629</v>
      </c>
      <c r="J982" t="s">
        <v>159</v>
      </c>
      <c r="K982" t="s">
        <v>74</v>
      </c>
      <c r="L982" t="s">
        <v>74</v>
      </c>
      <c r="M982" t="s">
        <v>78</v>
      </c>
      <c r="N982" t="s">
        <v>79</v>
      </c>
      <c r="O982" t="s">
        <v>74</v>
      </c>
      <c r="P982" t="s">
        <v>74</v>
      </c>
      <c r="Q982" t="s">
        <v>74</v>
      </c>
      <c r="R982" t="s">
        <v>74</v>
      </c>
      <c r="S982" t="s">
        <v>74</v>
      </c>
      <c r="T982" t="s">
        <v>18630</v>
      </c>
      <c r="U982" t="s">
        <v>18631</v>
      </c>
      <c r="V982" t="s">
        <v>74</v>
      </c>
      <c r="W982" t="s">
        <v>18632</v>
      </c>
      <c r="X982" t="s">
        <v>18633</v>
      </c>
      <c r="Y982" t="s">
        <v>18634</v>
      </c>
      <c r="Z982" t="s">
        <v>18635</v>
      </c>
      <c r="AA982" t="s">
        <v>74</v>
      </c>
      <c r="AB982" t="s">
        <v>18636</v>
      </c>
      <c r="AC982" t="s">
        <v>18637</v>
      </c>
      <c r="AD982" t="s">
        <v>18638</v>
      </c>
      <c r="AE982" t="s">
        <v>18639</v>
      </c>
      <c r="AF982" t="s">
        <v>74</v>
      </c>
      <c r="AG982">
        <v>31</v>
      </c>
      <c r="AH982">
        <v>0</v>
      </c>
      <c r="AI982">
        <v>0</v>
      </c>
      <c r="AJ982">
        <v>4</v>
      </c>
      <c r="AK982">
        <v>15</v>
      </c>
      <c r="AL982" t="s">
        <v>171</v>
      </c>
      <c r="AM982" t="s">
        <v>172</v>
      </c>
      <c r="AN982" t="s">
        <v>173</v>
      </c>
      <c r="AO982" t="s">
        <v>174</v>
      </c>
      <c r="AP982" t="s">
        <v>175</v>
      </c>
      <c r="AQ982" t="s">
        <v>74</v>
      </c>
      <c r="AR982" t="s">
        <v>176</v>
      </c>
      <c r="AS982" t="s">
        <v>177</v>
      </c>
      <c r="AT982" t="s">
        <v>99</v>
      </c>
      <c r="AU982">
        <v>2022</v>
      </c>
      <c r="AV982">
        <v>45</v>
      </c>
      <c r="AW982">
        <v>3</v>
      </c>
      <c r="AX982" t="s">
        <v>74</v>
      </c>
      <c r="AY982" t="s">
        <v>74</v>
      </c>
      <c r="AZ982" t="s">
        <v>74</v>
      </c>
      <c r="BA982" t="s">
        <v>74</v>
      </c>
      <c r="BB982">
        <v>485</v>
      </c>
      <c r="BC982">
        <v>489</v>
      </c>
      <c r="BD982" t="s">
        <v>74</v>
      </c>
      <c r="BE982" t="s">
        <v>18640</v>
      </c>
      <c r="BF982" t="str">
        <f>HYPERLINK("http://dx.doi.org/10.1111/jfd.13559","http://dx.doi.org/10.1111/jfd.13559")</f>
        <v>http://dx.doi.org/10.1111/jfd.13559</v>
      </c>
      <c r="BG982" t="s">
        <v>74</v>
      </c>
      <c r="BH982" t="s">
        <v>14486</v>
      </c>
      <c r="BI982">
        <v>5</v>
      </c>
      <c r="BJ982" t="s">
        <v>180</v>
      </c>
      <c r="BK982" t="s">
        <v>103</v>
      </c>
      <c r="BL982" t="s">
        <v>180</v>
      </c>
      <c r="BM982" t="s">
        <v>18641</v>
      </c>
      <c r="BN982">
        <v>34850980</v>
      </c>
      <c r="BO982" t="s">
        <v>74</v>
      </c>
      <c r="BP982" t="s">
        <v>74</v>
      </c>
      <c r="BQ982" t="s">
        <v>74</v>
      </c>
      <c r="BR982" t="s">
        <v>106</v>
      </c>
      <c r="BS982" t="s">
        <v>18642</v>
      </c>
      <c r="BT982" t="str">
        <f>HYPERLINK("https%3A%2F%2Fwww.webofscience.com%2Fwos%2Fwoscc%2Ffull-record%2FWOS:000724235500001","View Full Record in Web of Science")</f>
        <v>View Full Record in Web of Science</v>
      </c>
    </row>
    <row r="983" spans="1:72" x14ac:dyDescent="0.15">
      <c r="A983" t="s">
        <v>72</v>
      </c>
      <c r="B983" t="s">
        <v>18643</v>
      </c>
      <c r="C983" t="s">
        <v>74</v>
      </c>
      <c r="D983" t="s">
        <v>74</v>
      </c>
      <c r="E983" t="s">
        <v>74</v>
      </c>
      <c r="F983" t="s">
        <v>18644</v>
      </c>
      <c r="G983" t="s">
        <v>74</v>
      </c>
      <c r="H983" t="s">
        <v>74</v>
      </c>
      <c r="I983" t="s">
        <v>18645</v>
      </c>
      <c r="J983" t="s">
        <v>11589</v>
      </c>
      <c r="K983" t="s">
        <v>74</v>
      </c>
      <c r="L983" t="s">
        <v>74</v>
      </c>
      <c r="M983" t="s">
        <v>78</v>
      </c>
      <c r="N983" t="s">
        <v>79</v>
      </c>
      <c r="O983" t="s">
        <v>74</v>
      </c>
      <c r="P983" t="s">
        <v>74</v>
      </c>
      <c r="Q983" t="s">
        <v>74</v>
      </c>
      <c r="R983" t="s">
        <v>74</v>
      </c>
      <c r="S983" t="s">
        <v>74</v>
      </c>
      <c r="T983" t="s">
        <v>18646</v>
      </c>
      <c r="U983" t="s">
        <v>18647</v>
      </c>
      <c r="V983" t="s">
        <v>18648</v>
      </c>
      <c r="W983" t="s">
        <v>18649</v>
      </c>
      <c r="X983" t="s">
        <v>18650</v>
      </c>
      <c r="Y983" t="s">
        <v>18651</v>
      </c>
      <c r="Z983" t="s">
        <v>4548</v>
      </c>
      <c r="AA983" t="s">
        <v>18652</v>
      </c>
      <c r="AB983" t="s">
        <v>18653</v>
      </c>
      <c r="AC983" t="s">
        <v>18654</v>
      </c>
      <c r="AD983" t="s">
        <v>18655</v>
      </c>
      <c r="AE983" t="s">
        <v>18656</v>
      </c>
      <c r="AF983" t="s">
        <v>74</v>
      </c>
      <c r="AG983">
        <v>126</v>
      </c>
      <c r="AH983">
        <v>15</v>
      </c>
      <c r="AI983">
        <v>17</v>
      </c>
      <c r="AJ983">
        <v>4</v>
      </c>
      <c r="AK983">
        <v>7</v>
      </c>
      <c r="AL983" t="s">
        <v>1552</v>
      </c>
      <c r="AM983" t="s">
        <v>436</v>
      </c>
      <c r="AN983" t="s">
        <v>1553</v>
      </c>
      <c r="AO983" t="s">
        <v>11602</v>
      </c>
      <c r="AP983" t="s">
        <v>11603</v>
      </c>
      <c r="AQ983" t="s">
        <v>74</v>
      </c>
      <c r="AR983" t="s">
        <v>11604</v>
      </c>
      <c r="AS983" t="s">
        <v>11605</v>
      </c>
      <c r="AT983" t="s">
        <v>2125</v>
      </c>
      <c r="AU983">
        <v>2021</v>
      </c>
      <c r="AV983">
        <v>182</v>
      </c>
      <c r="AW983" t="s">
        <v>74</v>
      </c>
      <c r="AX983" t="s">
        <v>74</v>
      </c>
      <c r="AY983" t="s">
        <v>74</v>
      </c>
      <c r="AZ983" t="s">
        <v>74</v>
      </c>
      <c r="BA983" t="s">
        <v>74</v>
      </c>
      <c r="BB983">
        <v>251</v>
      </c>
      <c r="BC983">
        <v>266</v>
      </c>
      <c r="BD983" t="s">
        <v>74</v>
      </c>
      <c r="BE983" t="s">
        <v>18657</v>
      </c>
      <c r="BF983" t="str">
        <f>HYPERLINK("http://dx.doi.org/10.1016/j.anbehav.2021.09.013","http://dx.doi.org/10.1016/j.anbehav.2021.09.013")</f>
        <v>http://dx.doi.org/10.1016/j.anbehav.2021.09.013</v>
      </c>
      <c r="BG983" t="s">
        <v>74</v>
      </c>
      <c r="BH983" t="s">
        <v>74</v>
      </c>
      <c r="BI983">
        <v>16</v>
      </c>
      <c r="BJ983" t="s">
        <v>11607</v>
      </c>
      <c r="BK983" t="s">
        <v>103</v>
      </c>
      <c r="BL983" t="s">
        <v>11607</v>
      </c>
      <c r="BM983" t="s">
        <v>18658</v>
      </c>
      <c r="BN983" t="s">
        <v>74</v>
      </c>
      <c r="BO983" t="s">
        <v>9256</v>
      </c>
      <c r="BP983" t="s">
        <v>74</v>
      </c>
      <c r="BQ983" t="s">
        <v>74</v>
      </c>
      <c r="BR983" t="s">
        <v>106</v>
      </c>
      <c r="BS983" t="s">
        <v>18659</v>
      </c>
      <c r="BT983" t="str">
        <f>HYPERLINK("https%3A%2F%2Fwww.webofscience.com%2Fwos%2Fwoscc%2Ffull-record%2FWOS:000907004000004","View Full Record in Web of Science")</f>
        <v>View Full Record in Web of Science</v>
      </c>
    </row>
    <row r="984" spans="1:72" x14ac:dyDescent="0.15">
      <c r="A984" t="s">
        <v>72</v>
      </c>
      <c r="B984" t="s">
        <v>18660</v>
      </c>
      <c r="C984" t="s">
        <v>74</v>
      </c>
      <c r="D984" t="s">
        <v>74</v>
      </c>
      <c r="E984" t="s">
        <v>74</v>
      </c>
      <c r="F984" t="s">
        <v>18661</v>
      </c>
      <c r="G984" t="s">
        <v>74</v>
      </c>
      <c r="H984" t="s">
        <v>74</v>
      </c>
      <c r="I984" t="s">
        <v>18662</v>
      </c>
      <c r="J984" t="s">
        <v>4096</v>
      </c>
      <c r="K984" t="s">
        <v>74</v>
      </c>
      <c r="L984" t="s">
        <v>74</v>
      </c>
      <c r="M984" t="s">
        <v>78</v>
      </c>
      <c r="N984" t="s">
        <v>79</v>
      </c>
      <c r="O984" t="s">
        <v>74</v>
      </c>
      <c r="P984" t="s">
        <v>74</v>
      </c>
      <c r="Q984" t="s">
        <v>74</v>
      </c>
      <c r="R984" t="s">
        <v>74</v>
      </c>
      <c r="S984" t="s">
        <v>74</v>
      </c>
      <c r="T984" t="s">
        <v>74</v>
      </c>
      <c r="U984" t="s">
        <v>18663</v>
      </c>
      <c r="V984" t="s">
        <v>18664</v>
      </c>
      <c r="W984" t="s">
        <v>18665</v>
      </c>
      <c r="X984" t="s">
        <v>18666</v>
      </c>
      <c r="Y984" t="s">
        <v>18667</v>
      </c>
      <c r="Z984" t="s">
        <v>18668</v>
      </c>
      <c r="AA984" t="s">
        <v>18669</v>
      </c>
      <c r="AB984" t="s">
        <v>18670</v>
      </c>
      <c r="AC984" t="s">
        <v>18671</v>
      </c>
      <c r="AD984" t="s">
        <v>18672</v>
      </c>
      <c r="AE984" t="s">
        <v>18673</v>
      </c>
      <c r="AF984" t="s">
        <v>74</v>
      </c>
      <c r="AG984">
        <v>25</v>
      </c>
      <c r="AH984">
        <v>2</v>
      </c>
      <c r="AI984">
        <v>2</v>
      </c>
      <c r="AJ984">
        <v>0</v>
      </c>
      <c r="AK984">
        <v>4</v>
      </c>
      <c r="AL984" t="s">
        <v>3816</v>
      </c>
      <c r="AM984" t="s">
        <v>3817</v>
      </c>
      <c r="AN984" t="s">
        <v>3818</v>
      </c>
      <c r="AO984" t="s">
        <v>4106</v>
      </c>
      <c r="AP984" t="s">
        <v>4107</v>
      </c>
      <c r="AQ984" t="s">
        <v>74</v>
      </c>
      <c r="AR984" t="s">
        <v>4108</v>
      </c>
      <c r="AS984" t="s">
        <v>4109</v>
      </c>
      <c r="AT984" t="s">
        <v>2125</v>
      </c>
      <c r="AU984">
        <v>2021</v>
      </c>
      <c r="AV984">
        <v>922</v>
      </c>
      <c r="AW984">
        <v>2</v>
      </c>
      <c r="AX984" t="s">
        <v>74</v>
      </c>
      <c r="AY984" t="s">
        <v>74</v>
      </c>
      <c r="AZ984" t="s">
        <v>74</v>
      </c>
      <c r="BA984" t="s">
        <v>74</v>
      </c>
      <c r="BB984" t="s">
        <v>74</v>
      </c>
      <c r="BC984" t="s">
        <v>74</v>
      </c>
      <c r="BD984">
        <v>132</v>
      </c>
      <c r="BE984" t="s">
        <v>18674</v>
      </c>
      <c r="BF984" t="str">
        <f>HYPERLINK("http://dx.doi.org/10.3847/1538-4357/ac230b","http://dx.doi.org/10.3847/1538-4357/ac230b")</f>
        <v>http://dx.doi.org/10.3847/1538-4357/ac230b</v>
      </c>
      <c r="BG984" t="s">
        <v>74</v>
      </c>
      <c r="BH984" t="s">
        <v>74</v>
      </c>
      <c r="BI984">
        <v>17</v>
      </c>
      <c r="BJ984" t="s">
        <v>262</v>
      </c>
      <c r="BK984" t="s">
        <v>103</v>
      </c>
      <c r="BL984" t="s">
        <v>262</v>
      </c>
      <c r="BM984" t="s">
        <v>18675</v>
      </c>
      <c r="BN984" t="s">
        <v>74</v>
      </c>
      <c r="BO984" t="s">
        <v>3394</v>
      </c>
      <c r="BP984" t="s">
        <v>74</v>
      </c>
      <c r="BQ984" t="s">
        <v>74</v>
      </c>
      <c r="BR984" t="s">
        <v>106</v>
      </c>
      <c r="BS984" t="s">
        <v>18676</v>
      </c>
      <c r="BT984" t="str">
        <f>HYPERLINK("https%3A%2F%2Fwww.webofscience.com%2Fwos%2Fwoscc%2Ffull-record%2FWOS:000722398000001","View Full Record in Web of Science")</f>
        <v>View Full Record in Web of Science</v>
      </c>
    </row>
    <row r="985" spans="1:72" x14ac:dyDescent="0.15">
      <c r="A985" t="s">
        <v>72</v>
      </c>
      <c r="B985" t="s">
        <v>18677</v>
      </c>
      <c r="C985" t="s">
        <v>74</v>
      </c>
      <c r="D985" t="s">
        <v>74</v>
      </c>
      <c r="E985" t="s">
        <v>74</v>
      </c>
      <c r="F985" t="s">
        <v>18678</v>
      </c>
      <c r="G985" t="s">
        <v>74</v>
      </c>
      <c r="H985" t="s">
        <v>74</v>
      </c>
      <c r="I985" t="s">
        <v>18679</v>
      </c>
      <c r="J985" t="s">
        <v>3704</v>
      </c>
      <c r="K985" t="s">
        <v>74</v>
      </c>
      <c r="L985" t="s">
        <v>74</v>
      </c>
      <c r="M985" t="s">
        <v>78</v>
      </c>
      <c r="N985" t="s">
        <v>79</v>
      </c>
      <c r="O985" t="s">
        <v>74</v>
      </c>
      <c r="P985" t="s">
        <v>74</v>
      </c>
      <c r="Q985" t="s">
        <v>74</v>
      </c>
      <c r="R985" t="s">
        <v>74</v>
      </c>
      <c r="S985" t="s">
        <v>74</v>
      </c>
      <c r="T985" t="s">
        <v>18680</v>
      </c>
      <c r="U985" t="s">
        <v>18681</v>
      </c>
      <c r="V985" t="s">
        <v>18682</v>
      </c>
      <c r="W985" t="s">
        <v>18683</v>
      </c>
      <c r="X985" t="s">
        <v>18684</v>
      </c>
      <c r="Y985" t="s">
        <v>18685</v>
      </c>
      <c r="Z985" t="s">
        <v>18686</v>
      </c>
      <c r="AA985" t="s">
        <v>18687</v>
      </c>
      <c r="AB985" t="s">
        <v>18688</v>
      </c>
      <c r="AC985" t="s">
        <v>15295</v>
      </c>
      <c r="AD985" t="s">
        <v>5373</v>
      </c>
      <c r="AE985" t="s">
        <v>74</v>
      </c>
      <c r="AF985" t="s">
        <v>74</v>
      </c>
      <c r="AG985">
        <v>59</v>
      </c>
      <c r="AH985">
        <v>5</v>
      </c>
      <c r="AI985">
        <v>5</v>
      </c>
      <c r="AJ985">
        <v>12</v>
      </c>
      <c r="AK985">
        <v>41</v>
      </c>
      <c r="AL985" t="s">
        <v>2632</v>
      </c>
      <c r="AM985" t="s">
        <v>2633</v>
      </c>
      <c r="AN985" t="s">
        <v>2634</v>
      </c>
      <c r="AO985" t="s">
        <v>74</v>
      </c>
      <c r="AP985" t="s">
        <v>3714</v>
      </c>
      <c r="AQ985" t="s">
        <v>74</v>
      </c>
      <c r="AR985" t="s">
        <v>3704</v>
      </c>
      <c r="AS985" t="s">
        <v>3715</v>
      </c>
      <c r="AT985" t="s">
        <v>2125</v>
      </c>
      <c r="AU985">
        <v>2021</v>
      </c>
      <c r="AV985">
        <v>10</v>
      </c>
      <c r="AW985">
        <v>12</v>
      </c>
      <c r="AX985" t="s">
        <v>74</v>
      </c>
      <c r="AY985" t="s">
        <v>74</v>
      </c>
      <c r="AZ985" t="s">
        <v>74</v>
      </c>
      <c r="BA985" t="s">
        <v>74</v>
      </c>
      <c r="BB985" t="s">
        <v>74</v>
      </c>
      <c r="BC985" t="s">
        <v>74</v>
      </c>
      <c r="BD985">
        <v>1339</v>
      </c>
      <c r="BE985" t="s">
        <v>18689</v>
      </c>
      <c r="BF985" t="str">
        <f>HYPERLINK("http://dx.doi.org/10.3390/biology10121339","http://dx.doi.org/10.3390/biology10121339")</f>
        <v>http://dx.doi.org/10.3390/biology10121339</v>
      </c>
      <c r="BG985" t="s">
        <v>74</v>
      </c>
      <c r="BH985" t="s">
        <v>74</v>
      </c>
      <c r="BI985">
        <v>18</v>
      </c>
      <c r="BJ985" t="s">
        <v>1177</v>
      </c>
      <c r="BK985" t="s">
        <v>103</v>
      </c>
      <c r="BL985" t="s">
        <v>1178</v>
      </c>
      <c r="BM985" t="s">
        <v>18690</v>
      </c>
      <c r="BN985">
        <v>34943254</v>
      </c>
      <c r="BO985" t="s">
        <v>371</v>
      </c>
      <c r="BP985" t="s">
        <v>74</v>
      </c>
      <c r="BQ985" t="s">
        <v>74</v>
      </c>
      <c r="BR985" t="s">
        <v>106</v>
      </c>
      <c r="BS985" t="s">
        <v>18691</v>
      </c>
      <c r="BT985" t="str">
        <f>HYPERLINK("https%3A%2F%2Fwww.webofscience.com%2Fwos%2Fwoscc%2Ffull-record%2FWOS:000735964600001","View Full Record in Web of Science")</f>
        <v>View Full Record in Web of Science</v>
      </c>
    </row>
    <row r="986" spans="1:72" x14ac:dyDescent="0.15">
      <c r="A986" t="s">
        <v>72</v>
      </c>
      <c r="B986" t="s">
        <v>18692</v>
      </c>
      <c r="C986" t="s">
        <v>74</v>
      </c>
      <c r="D986" t="s">
        <v>74</v>
      </c>
      <c r="E986" t="s">
        <v>74</v>
      </c>
      <c r="F986" t="s">
        <v>18693</v>
      </c>
      <c r="G986" t="s">
        <v>74</v>
      </c>
      <c r="H986" t="s">
        <v>74</v>
      </c>
      <c r="I986" t="s">
        <v>18694</v>
      </c>
      <c r="J986" t="s">
        <v>18695</v>
      </c>
      <c r="K986" t="s">
        <v>74</v>
      </c>
      <c r="L986" t="s">
        <v>74</v>
      </c>
      <c r="M986" t="s">
        <v>78</v>
      </c>
      <c r="N986" t="s">
        <v>52</v>
      </c>
      <c r="O986" t="s">
        <v>74</v>
      </c>
      <c r="P986" t="s">
        <v>74</v>
      </c>
      <c r="Q986" t="s">
        <v>74</v>
      </c>
      <c r="R986" t="s">
        <v>74</v>
      </c>
      <c r="S986" t="s">
        <v>74</v>
      </c>
      <c r="T986" t="s">
        <v>18696</v>
      </c>
      <c r="U986" t="s">
        <v>74</v>
      </c>
      <c r="V986" t="s">
        <v>74</v>
      </c>
      <c r="W986" t="s">
        <v>18697</v>
      </c>
      <c r="X986" t="s">
        <v>74</v>
      </c>
      <c r="Y986" t="s">
        <v>74</v>
      </c>
      <c r="Z986" t="s">
        <v>74</v>
      </c>
      <c r="AA986" t="s">
        <v>74</v>
      </c>
      <c r="AB986" t="s">
        <v>74</v>
      </c>
      <c r="AC986" t="s">
        <v>74</v>
      </c>
      <c r="AD986" t="s">
        <v>74</v>
      </c>
      <c r="AE986" t="s">
        <v>74</v>
      </c>
      <c r="AF986" t="s">
        <v>74</v>
      </c>
      <c r="AG986">
        <v>0</v>
      </c>
      <c r="AH986">
        <v>0</v>
      </c>
      <c r="AI986">
        <v>0</v>
      </c>
      <c r="AJ986">
        <v>0</v>
      </c>
      <c r="AK986">
        <v>0</v>
      </c>
      <c r="AL986" t="s">
        <v>435</v>
      </c>
      <c r="AM986" t="s">
        <v>436</v>
      </c>
      <c r="AN986" t="s">
        <v>437</v>
      </c>
      <c r="AO986" t="s">
        <v>18698</v>
      </c>
      <c r="AP986" t="s">
        <v>18699</v>
      </c>
      <c r="AQ986" t="s">
        <v>74</v>
      </c>
      <c r="AR986" t="s">
        <v>18700</v>
      </c>
      <c r="AS986" t="s">
        <v>18701</v>
      </c>
      <c r="AT986" t="s">
        <v>2125</v>
      </c>
      <c r="AU986">
        <v>2021</v>
      </c>
      <c r="AV986">
        <v>13</v>
      </c>
      <c r="AW986">
        <v>6</v>
      </c>
      <c r="AX986" t="s">
        <v>74</v>
      </c>
      <c r="AY986" t="s">
        <v>74</v>
      </c>
      <c r="AZ986" t="s">
        <v>233</v>
      </c>
      <c r="BA986" t="s">
        <v>18702</v>
      </c>
      <c r="BB986">
        <v>1296</v>
      </c>
      <c r="BC986">
        <v>1297</v>
      </c>
      <c r="BD986" t="s">
        <v>74</v>
      </c>
      <c r="BE986" t="s">
        <v>74</v>
      </c>
      <c r="BF986" t="s">
        <v>74</v>
      </c>
      <c r="BG986" t="s">
        <v>74</v>
      </c>
      <c r="BH986" t="s">
        <v>74</v>
      </c>
      <c r="BI986">
        <v>2</v>
      </c>
      <c r="BJ986" t="s">
        <v>18703</v>
      </c>
      <c r="BK986" t="s">
        <v>724</v>
      </c>
      <c r="BL986" t="s">
        <v>18703</v>
      </c>
      <c r="BM986" t="s">
        <v>18704</v>
      </c>
      <c r="BN986" t="s">
        <v>74</v>
      </c>
      <c r="BO986" t="s">
        <v>74</v>
      </c>
      <c r="BP986" t="s">
        <v>74</v>
      </c>
      <c r="BQ986" t="s">
        <v>74</v>
      </c>
      <c r="BR986" t="s">
        <v>106</v>
      </c>
      <c r="BS986" t="s">
        <v>18705</v>
      </c>
      <c r="BT986" t="str">
        <f>HYPERLINK("https%3A%2F%2Fwww.webofscience.com%2Fwos%2Fwoscc%2Ffull-record%2FWOS:001082825300039","View Full Record in Web of Science")</f>
        <v>View Full Record in Web of Science</v>
      </c>
    </row>
    <row r="987" spans="1:72" x14ac:dyDescent="0.15">
      <c r="A987" t="s">
        <v>72</v>
      </c>
      <c r="B987" t="s">
        <v>18706</v>
      </c>
      <c r="C987" t="s">
        <v>74</v>
      </c>
      <c r="D987" t="s">
        <v>74</v>
      </c>
      <c r="E987" t="s">
        <v>74</v>
      </c>
      <c r="F987" t="s">
        <v>18707</v>
      </c>
      <c r="G987" t="s">
        <v>74</v>
      </c>
      <c r="H987" t="s">
        <v>74</v>
      </c>
      <c r="I987" t="s">
        <v>18708</v>
      </c>
      <c r="J987" t="s">
        <v>18709</v>
      </c>
      <c r="K987" t="s">
        <v>74</v>
      </c>
      <c r="L987" t="s">
        <v>74</v>
      </c>
      <c r="M987" t="s">
        <v>78</v>
      </c>
      <c r="N987" t="s">
        <v>79</v>
      </c>
      <c r="O987" t="s">
        <v>74</v>
      </c>
      <c r="P987" t="s">
        <v>74</v>
      </c>
      <c r="Q987" t="s">
        <v>74</v>
      </c>
      <c r="R987" t="s">
        <v>74</v>
      </c>
      <c r="S987" t="s">
        <v>74</v>
      </c>
      <c r="T987" t="s">
        <v>18710</v>
      </c>
      <c r="U987" t="s">
        <v>18711</v>
      </c>
      <c r="V987" t="s">
        <v>18712</v>
      </c>
      <c r="W987" t="s">
        <v>18713</v>
      </c>
      <c r="X987" t="s">
        <v>8570</v>
      </c>
      <c r="Y987" t="s">
        <v>18714</v>
      </c>
      <c r="Z987" t="s">
        <v>74</v>
      </c>
      <c r="AA987" t="s">
        <v>74</v>
      </c>
      <c r="AB987" t="s">
        <v>6538</v>
      </c>
      <c r="AC987" t="s">
        <v>18715</v>
      </c>
      <c r="AD987" t="s">
        <v>18715</v>
      </c>
      <c r="AE987" t="s">
        <v>18716</v>
      </c>
      <c r="AF987" t="s">
        <v>74</v>
      </c>
      <c r="AG987">
        <v>49</v>
      </c>
      <c r="AH987">
        <v>3</v>
      </c>
      <c r="AI987">
        <v>3</v>
      </c>
      <c r="AJ987">
        <v>0</v>
      </c>
      <c r="AK987">
        <v>0</v>
      </c>
      <c r="AL987" t="s">
        <v>435</v>
      </c>
      <c r="AM987" t="s">
        <v>436</v>
      </c>
      <c r="AN987" t="s">
        <v>437</v>
      </c>
      <c r="AO987" t="s">
        <v>74</v>
      </c>
      <c r="AP987" t="s">
        <v>18717</v>
      </c>
      <c r="AQ987" t="s">
        <v>74</v>
      </c>
      <c r="AR987" t="s">
        <v>18718</v>
      </c>
      <c r="AS987" t="s">
        <v>18719</v>
      </c>
      <c r="AT987" t="s">
        <v>2125</v>
      </c>
      <c r="AU987">
        <v>2021</v>
      </c>
      <c r="AV987">
        <v>4</v>
      </c>
      <c r="AW987">
        <v>4</v>
      </c>
      <c r="AX987" t="s">
        <v>74</v>
      </c>
      <c r="AY987" t="s">
        <v>74</v>
      </c>
      <c r="AZ987" t="s">
        <v>74</v>
      </c>
      <c r="BA987" t="s">
        <v>74</v>
      </c>
      <c r="BB987">
        <v>711</v>
      </c>
      <c r="BC987">
        <v>721</v>
      </c>
      <c r="BD987" t="s">
        <v>74</v>
      </c>
      <c r="BE987" t="s">
        <v>18720</v>
      </c>
      <c r="BF987" t="str">
        <f>HYPERLINK("http://dx.doi.org/10.1007/s42398-021-00168-8","http://dx.doi.org/10.1007/s42398-021-00168-8")</f>
        <v>http://dx.doi.org/10.1007/s42398-021-00168-8</v>
      </c>
      <c r="BG987" t="s">
        <v>74</v>
      </c>
      <c r="BH987" t="s">
        <v>74</v>
      </c>
      <c r="BI987">
        <v>11</v>
      </c>
      <c r="BJ987" t="s">
        <v>1560</v>
      </c>
      <c r="BK987" t="s">
        <v>724</v>
      </c>
      <c r="BL987" t="s">
        <v>1561</v>
      </c>
      <c r="BM987" t="s">
        <v>18721</v>
      </c>
      <c r="BN987" t="s">
        <v>74</v>
      </c>
      <c r="BO987" t="s">
        <v>74</v>
      </c>
      <c r="BP987" t="s">
        <v>74</v>
      </c>
      <c r="BQ987" t="s">
        <v>74</v>
      </c>
      <c r="BR987" t="s">
        <v>106</v>
      </c>
      <c r="BS987" t="s">
        <v>18722</v>
      </c>
      <c r="BT987" t="str">
        <f>HYPERLINK("https%3A%2F%2Fwww.webofscience.com%2Fwos%2Fwoscc%2Ffull-record%2FWOS:001126304800010","View Full Record in Web of Science")</f>
        <v>View Full Record in Web of Science</v>
      </c>
    </row>
    <row r="988" spans="1:72" x14ac:dyDescent="0.15">
      <c r="A988" t="s">
        <v>72</v>
      </c>
      <c r="B988" t="s">
        <v>18706</v>
      </c>
      <c r="C988" t="s">
        <v>74</v>
      </c>
      <c r="D988" t="s">
        <v>74</v>
      </c>
      <c r="E988" t="s">
        <v>74</v>
      </c>
      <c r="F988" t="s">
        <v>18707</v>
      </c>
      <c r="G988" t="s">
        <v>74</v>
      </c>
      <c r="H988" t="s">
        <v>74</v>
      </c>
      <c r="I988" t="s">
        <v>18723</v>
      </c>
      <c r="J988" t="s">
        <v>18709</v>
      </c>
      <c r="K988" t="s">
        <v>74</v>
      </c>
      <c r="L988" t="s">
        <v>74</v>
      </c>
      <c r="M988" t="s">
        <v>78</v>
      </c>
      <c r="N988" t="s">
        <v>932</v>
      </c>
      <c r="O988" t="s">
        <v>74</v>
      </c>
      <c r="P988" t="s">
        <v>74</v>
      </c>
      <c r="Q988" t="s">
        <v>74</v>
      </c>
      <c r="R988" t="s">
        <v>74</v>
      </c>
      <c r="S988" t="s">
        <v>74</v>
      </c>
      <c r="T988" t="s">
        <v>74</v>
      </c>
      <c r="U988" t="s">
        <v>74</v>
      </c>
      <c r="V988" t="s">
        <v>74</v>
      </c>
      <c r="W988" t="s">
        <v>18713</v>
      </c>
      <c r="X988" t="s">
        <v>8570</v>
      </c>
      <c r="Y988" t="s">
        <v>18714</v>
      </c>
      <c r="Z988" t="s">
        <v>74</v>
      </c>
      <c r="AA988" t="s">
        <v>74</v>
      </c>
      <c r="AB988" t="s">
        <v>6538</v>
      </c>
      <c r="AC988" t="s">
        <v>74</v>
      </c>
      <c r="AD988" t="s">
        <v>74</v>
      </c>
      <c r="AE988" t="s">
        <v>74</v>
      </c>
      <c r="AF988" t="s">
        <v>74</v>
      </c>
      <c r="AG988">
        <v>1</v>
      </c>
      <c r="AH988">
        <v>0</v>
      </c>
      <c r="AI988">
        <v>0</v>
      </c>
      <c r="AJ988">
        <v>0</v>
      </c>
      <c r="AK988">
        <v>0</v>
      </c>
      <c r="AL988" t="s">
        <v>435</v>
      </c>
      <c r="AM988" t="s">
        <v>436</v>
      </c>
      <c r="AN988" t="s">
        <v>437</v>
      </c>
      <c r="AO988" t="s">
        <v>74</v>
      </c>
      <c r="AP988" t="s">
        <v>18717</v>
      </c>
      <c r="AQ988" t="s">
        <v>74</v>
      </c>
      <c r="AR988" t="s">
        <v>18718</v>
      </c>
      <c r="AS988" t="s">
        <v>18719</v>
      </c>
      <c r="AT988" t="s">
        <v>2125</v>
      </c>
      <c r="AU988">
        <v>2021</v>
      </c>
      <c r="AV988">
        <v>4</v>
      </c>
      <c r="AW988">
        <v>4</v>
      </c>
      <c r="AX988" t="s">
        <v>74</v>
      </c>
      <c r="AY988" t="s">
        <v>74</v>
      </c>
      <c r="AZ988" t="s">
        <v>74</v>
      </c>
      <c r="BA988" t="s">
        <v>74</v>
      </c>
      <c r="BB988">
        <v>881</v>
      </c>
      <c r="BC988">
        <v>882</v>
      </c>
      <c r="BD988" t="s">
        <v>74</v>
      </c>
      <c r="BE988" t="s">
        <v>18724</v>
      </c>
      <c r="BF988" t="str">
        <f>HYPERLINK("http://dx.doi.org/10.1007/s42398-021-00177-7","http://dx.doi.org/10.1007/s42398-021-00177-7")</f>
        <v>http://dx.doi.org/10.1007/s42398-021-00177-7</v>
      </c>
      <c r="BG988" t="s">
        <v>74</v>
      </c>
      <c r="BH988" t="s">
        <v>74</v>
      </c>
      <c r="BI988">
        <v>2</v>
      </c>
      <c r="BJ988" t="s">
        <v>1560</v>
      </c>
      <c r="BK988" t="s">
        <v>724</v>
      </c>
      <c r="BL988" t="s">
        <v>1561</v>
      </c>
      <c r="BM988" t="s">
        <v>18721</v>
      </c>
      <c r="BN988" t="s">
        <v>74</v>
      </c>
      <c r="BO988" t="s">
        <v>1613</v>
      </c>
      <c r="BP988" t="s">
        <v>74</v>
      </c>
      <c r="BQ988" t="s">
        <v>74</v>
      </c>
      <c r="BR988" t="s">
        <v>106</v>
      </c>
      <c r="BS988" t="s">
        <v>18725</v>
      </c>
      <c r="BT988" t="str">
        <f>HYPERLINK("https%3A%2F%2Fwww.webofscience.com%2Fwos%2Fwoscc%2Ffull-record%2FWOS:001126304800022","View Full Record in Web of Science")</f>
        <v>View Full Record in Web of Science</v>
      </c>
    </row>
    <row r="989" spans="1:72" x14ac:dyDescent="0.15">
      <c r="A989" t="s">
        <v>72</v>
      </c>
      <c r="B989" t="s">
        <v>18726</v>
      </c>
      <c r="C989" t="s">
        <v>74</v>
      </c>
      <c r="D989" t="s">
        <v>74</v>
      </c>
      <c r="E989" t="s">
        <v>74</v>
      </c>
      <c r="F989" t="s">
        <v>18727</v>
      </c>
      <c r="G989" t="s">
        <v>74</v>
      </c>
      <c r="H989" t="s">
        <v>74</v>
      </c>
      <c r="I989" t="s">
        <v>18728</v>
      </c>
      <c r="J989" t="s">
        <v>186</v>
      </c>
      <c r="K989" t="s">
        <v>74</v>
      </c>
      <c r="L989" t="s">
        <v>74</v>
      </c>
      <c r="M989" t="s">
        <v>78</v>
      </c>
      <c r="N989" t="s">
        <v>79</v>
      </c>
      <c r="O989" t="s">
        <v>74</v>
      </c>
      <c r="P989" t="s">
        <v>74</v>
      </c>
      <c r="Q989" t="s">
        <v>74</v>
      </c>
      <c r="R989" t="s">
        <v>74</v>
      </c>
      <c r="S989" t="s">
        <v>74</v>
      </c>
      <c r="T989" t="s">
        <v>18729</v>
      </c>
      <c r="U989" t="s">
        <v>18730</v>
      </c>
      <c r="V989" t="s">
        <v>18731</v>
      </c>
      <c r="W989" t="s">
        <v>18732</v>
      </c>
      <c r="X989" t="s">
        <v>18733</v>
      </c>
      <c r="Y989" t="s">
        <v>18734</v>
      </c>
      <c r="Z989" t="s">
        <v>18735</v>
      </c>
      <c r="AA989" t="s">
        <v>74</v>
      </c>
      <c r="AB989" t="s">
        <v>18736</v>
      </c>
      <c r="AC989" t="s">
        <v>18737</v>
      </c>
      <c r="AD989" t="s">
        <v>18738</v>
      </c>
      <c r="AE989" t="s">
        <v>18739</v>
      </c>
      <c r="AF989" t="s">
        <v>74</v>
      </c>
      <c r="AG989">
        <v>61</v>
      </c>
      <c r="AH989">
        <v>16</v>
      </c>
      <c r="AI989">
        <v>17</v>
      </c>
      <c r="AJ989">
        <v>3</v>
      </c>
      <c r="AK989">
        <v>18</v>
      </c>
      <c r="AL989" t="s">
        <v>198</v>
      </c>
      <c r="AM989" t="s">
        <v>199</v>
      </c>
      <c r="AN989" t="s">
        <v>200</v>
      </c>
      <c r="AO989" t="s">
        <v>201</v>
      </c>
      <c r="AP989" t="s">
        <v>202</v>
      </c>
      <c r="AQ989" t="s">
        <v>74</v>
      </c>
      <c r="AR989" t="s">
        <v>203</v>
      </c>
      <c r="AS989" t="s">
        <v>204</v>
      </c>
      <c r="AT989" t="s">
        <v>2125</v>
      </c>
      <c r="AU989">
        <v>2021</v>
      </c>
      <c r="AV989">
        <v>67</v>
      </c>
      <c r="AW989">
        <v>266</v>
      </c>
      <c r="AX989" t="s">
        <v>74</v>
      </c>
      <c r="AY989" t="s">
        <v>74</v>
      </c>
      <c r="AZ989" t="s">
        <v>74</v>
      </c>
      <c r="BA989" t="s">
        <v>74</v>
      </c>
      <c r="BB989">
        <v>985</v>
      </c>
      <c r="BC989">
        <v>998</v>
      </c>
      <c r="BD989" t="s">
        <v>18740</v>
      </c>
      <c r="BE989" t="s">
        <v>18741</v>
      </c>
      <c r="BF989" t="str">
        <f>HYPERLINK("http://dx.doi.org/10.1017/jog.2021.46","http://dx.doi.org/10.1017/jog.2021.46")</f>
        <v>http://dx.doi.org/10.1017/jog.2021.46</v>
      </c>
      <c r="BG989" t="s">
        <v>74</v>
      </c>
      <c r="BH989" t="s">
        <v>74</v>
      </c>
      <c r="BI989">
        <v>14</v>
      </c>
      <c r="BJ989" t="s">
        <v>208</v>
      </c>
      <c r="BK989" t="s">
        <v>103</v>
      </c>
      <c r="BL989" t="s">
        <v>209</v>
      </c>
      <c r="BM989" t="s">
        <v>18742</v>
      </c>
      <c r="BN989" t="s">
        <v>74</v>
      </c>
      <c r="BO989" t="s">
        <v>445</v>
      </c>
      <c r="BP989" t="s">
        <v>74</v>
      </c>
      <c r="BQ989" t="s">
        <v>74</v>
      </c>
      <c r="BR989" t="s">
        <v>106</v>
      </c>
      <c r="BS989" t="s">
        <v>18743</v>
      </c>
      <c r="BT989" t="str">
        <f>HYPERLINK("https%3A%2F%2Fwww.webofscience.com%2Fwos%2Fwoscc%2Ffull-record%2FWOS:000721347700004","View Full Record in Web of Science")</f>
        <v>View Full Record in Web of Science</v>
      </c>
    </row>
    <row r="990" spans="1:72" x14ac:dyDescent="0.15">
      <c r="A990" t="s">
        <v>72</v>
      </c>
      <c r="B990" t="s">
        <v>18744</v>
      </c>
      <c r="C990" t="s">
        <v>74</v>
      </c>
      <c r="D990" t="s">
        <v>74</v>
      </c>
      <c r="E990" t="s">
        <v>74</v>
      </c>
      <c r="F990" t="s">
        <v>18745</v>
      </c>
      <c r="G990" t="s">
        <v>74</v>
      </c>
      <c r="H990" t="s">
        <v>74</v>
      </c>
      <c r="I990" t="s">
        <v>18746</v>
      </c>
      <c r="J990" t="s">
        <v>186</v>
      </c>
      <c r="K990" t="s">
        <v>74</v>
      </c>
      <c r="L990" t="s">
        <v>74</v>
      </c>
      <c r="M990" t="s">
        <v>78</v>
      </c>
      <c r="N990" t="s">
        <v>79</v>
      </c>
      <c r="O990" t="s">
        <v>74</v>
      </c>
      <c r="P990" t="s">
        <v>74</v>
      </c>
      <c r="Q990" t="s">
        <v>74</v>
      </c>
      <c r="R990" t="s">
        <v>74</v>
      </c>
      <c r="S990" t="s">
        <v>74</v>
      </c>
      <c r="T990" t="s">
        <v>18747</v>
      </c>
      <c r="U990" t="s">
        <v>18748</v>
      </c>
      <c r="V990" t="s">
        <v>18749</v>
      </c>
      <c r="W990" t="s">
        <v>18750</v>
      </c>
      <c r="X990" t="s">
        <v>18751</v>
      </c>
      <c r="Y990" t="s">
        <v>18752</v>
      </c>
      <c r="Z990" t="s">
        <v>18753</v>
      </c>
      <c r="AA990" t="s">
        <v>74</v>
      </c>
      <c r="AB990" t="s">
        <v>18754</v>
      </c>
      <c r="AC990" t="s">
        <v>18755</v>
      </c>
      <c r="AD990" t="s">
        <v>18756</v>
      </c>
      <c r="AE990" t="s">
        <v>18757</v>
      </c>
      <c r="AF990" t="s">
        <v>74</v>
      </c>
      <c r="AG990">
        <v>65</v>
      </c>
      <c r="AH990">
        <v>14</v>
      </c>
      <c r="AI990">
        <v>16</v>
      </c>
      <c r="AJ990">
        <v>6</v>
      </c>
      <c r="AK990">
        <v>25</v>
      </c>
      <c r="AL990" t="s">
        <v>198</v>
      </c>
      <c r="AM990" t="s">
        <v>199</v>
      </c>
      <c r="AN990" t="s">
        <v>200</v>
      </c>
      <c r="AO990" t="s">
        <v>201</v>
      </c>
      <c r="AP990" t="s">
        <v>202</v>
      </c>
      <c r="AQ990" t="s">
        <v>74</v>
      </c>
      <c r="AR990" t="s">
        <v>203</v>
      </c>
      <c r="AS990" t="s">
        <v>204</v>
      </c>
      <c r="AT990" t="s">
        <v>2125</v>
      </c>
      <c r="AU990">
        <v>2021</v>
      </c>
      <c r="AV990">
        <v>67</v>
      </c>
      <c r="AW990">
        <v>266</v>
      </c>
      <c r="AX990" t="s">
        <v>74</v>
      </c>
      <c r="AY990" t="s">
        <v>74</v>
      </c>
      <c r="AZ990" t="s">
        <v>74</v>
      </c>
      <c r="BA990" t="s">
        <v>74</v>
      </c>
      <c r="BB990">
        <v>1028</v>
      </c>
      <c r="BC990">
        <v>1042</v>
      </c>
      <c r="BD990" t="s">
        <v>18758</v>
      </c>
      <c r="BE990" t="s">
        <v>18759</v>
      </c>
      <c r="BF990" t="str">
        <f>HYPERLINK("http://dx.doi.org/10.1017/jog.2021.51","http://dx.doi.org/10.1017/jog.2021.51")</f>
        <v>http://dx.doi.org/10.1017/jog.2021.51</v>
      </c>
      <c r="BG990" t="s">
        <v>74</v>
      </c>
      <c r="BH990" t="s">
        <v>74</v>
      </c>
      <c r="BI990">
        <v>15</v>
      </c>
      <c r="BJ990" t="s">
        <v>208</v>
      </c>
      <c r="BK990" t="s">
        <v>103</v>
      </c>
      <c r="BL990" t="s">
        <v>209</v>
      </c>
      <c r="BM990" t="s">
        <v>18742</v>
      </c>
      <c r="BN990" t="s">
        <v>74</v>
      </c>
      <c r="BO990" t="s">
        <v>445</v>
      </c>
      <c r="BP990" t="s">
        <v>74</v>
      </c>
      <c r="BQ990" t="s">
        <v>74</v>
      </c>
      <c r="BR990" t="s">
        <v>106</v>
      </c>
      <c r="BS990" t="s">
        <v>18760</v>
      </c>
      <c r="BT990" t="str">
        <f>HYPERLINK("https%3A%2F%2Fwww.webofscience.com%2Fwos%2Fwoscc%2Ffull-record%2FWOS:000721347700007","View Full Record in Web of Science")</f>
        <v>View Full Record in Web of Science</v>
      </c>
    </row>
    <row r="991" spans="1:72" x14ac:dyDescent="0.15">
      <c r="A991" t="s">
        <v>72</v>
      </c>
      <c r="B991" t="s">
        <v>18761</v>
      </c>
      <c r="C991" t="s">
        <v>74</v>
      </c>
      <c r="D991" t="s">
        <v>74</v>
      </c>
      <c r="E991" t="s">
        <v>74</v>
      </c>
      <c r="F991" t="s">
        <v>18762</v>
      </c>
      <c r="G991" t="s">
        <v>74</v>
      </c>
      <c r="H991" t="s">
        <v>74</v>
      </c>
      <c r="I991" t="s">
        <v>18763</v>
      </c>
      <c r="J991" t="s">
        <v>186</v>
      </c>
      <c r="K991" t="s">
        <v>74</v>
      </c>
      <c r="L991" t="s">
        <v>74</v>
      </c>
      <c r="M991" t="s">
        <v>78</v>
      </c>
      <c r="N991" t="s">
        <v>79</v>
      </c>
      <c r="O991" t="s">
        <v>74</v>
      </c>
      <c r="P991" t="s">
        <v>74</v>
      </c>
      <c r="Q991" t="s">
        <v>74</v>
      </c>
      <c r="R991" t="s">
        <v>74</v>
      </c>
      <c r="S991" t="s">
        <v>74</v>
      </c>
      <c r="T991" t="s">
        <v>18764</v>
      </c>
      <c r="U991" t="s">
        <v>18765</v>
      </c>
      <c r="V991" t="s">
        <v>18766</v>
      </c>
      <c r="W991" t="s">
        <v>18767</v>
      </c>
      <c r="X991" t="s">
        <v>18768</v>
      </c>
      <c r="Y991" t="s">
        <v>18769</v>
      </c>
      <c r="Z991" t="s">
        <v>18770</v>
      </c>
      <c r="AA991" t="s">
        <v>18771</v>
      </c>
      <c r="AB991" t="s">
        <v>18772</v>
      </c>
      <c r="AC991" t="s">
        <v>18773</v>
      </c>
      <c r="AD991" t="s">
        <v>18774</v>
      </c>
      <c r="AE991" t="s">
        <v>18775</v>
      </c>
      <c r="AF991" t="s">
        <v>74</v>
      </c>
      <c r="AG991">
        <v>95</v>
      </c>
      <c r="AH991">
        <v>4</v>
      </c>
      <c r="AI991">
        <v>4</v>
      </c>
      <c r="AJ991">
        <v>1</v>
      </c>
      <c r="AK991">
        <v>7</v>
      </c>
      <c r="AL991" t="s">
        <v>198</v>
      </c>
      <c r="AM991" t="s">
        <v>199</v>
      </c>
      <c r="AN991" t="s">
        <v>200</v>
      </c>
      <c r="AO991" t="s">
        <v>201</v>
      </c>
      <c r="AP991" t="s">
        <v>202</v>
      </c>
      <c r="AQ991" t="s">
        <v>74</v>
      </c>
      <c r="AR991" t="s">
        <v>203</v>
      </c>
      <c r="AS991" t="s">
        <v>204</v>
      </c>
      <c r="AT991" t="s">
        <v>2125</v>
      </c>
      <c r="AU991">
        <v>2021</v>
      </c>
      <c r="AV991">
        <v>67</v>
      </c>
      <c r="AW991">
        <v>266</v>
      </c>
      <c r="AX991" t="s">
        <v>74</v>
      </c>
      <c r="AY991" t="s">
        <v>74</v>
      </c>
      <c r="AZ991" t="s">
        <v>74</v>
      </c>
      <c r="BA991" t="s">
        <v>74</v>
      </c>
      <c r="BB991">
        <v>1055</v>
      </c>
      <c r="BC991">
        <v>1073</v>
      </c>
      <c r="BD991" t="s">
        <v>18776</v>
      </c>
      <c r="BE991" t="s">
        <v>18777</v>
      </c>
      <c r="BF991" t="str">
        <f>HYPERLINK("http://dx.doi.org/10.1017/jog.2021.54","http://dx.doi.org/10.1017/jog.2021.54")</f>
        <v>http://dx.doi.org/10.1017/jog.2021.54</v>
      </c>
      <c r="BG991" t="s">
        <v>74</v>
      </c>
      <c r="BH991" t="s">
        <v>74</v>
      </c>
      <c r="BI991">
        <v>19</v>
      </c>
      <c r="BJ991" t="s">
        <v>208</v>
      </c>
      <c r="BK991" t="s">
        <v>103</v>
      </c>
      <c r="BL991" t="s">
        <v>209</v>
      </c>
      <c r="BM991" t="s">
        <v>18742</v>
      </c>
      <c r="BN991" t="s">
        <v>74</v>
      </c>
      <c r="BO991" t="s">
        <v>292</v>
      </c>
      <c r="BP991" t="s">
        <v>74</v>
      </c>
      <c r="BQ991" t="s">
        <v>74</v>
      </c>
      <c r="BR991" t="s">
        <v>106</v>
      </c>
      <c r="BS991" t="s">
        <v>18778</v>
      </c>
      <c r="BT991" t="str">
        <f>HYPERLINK("https%3A%2F%2Fwww.webofscience.com%2Fwos%2Fwoscc%2Ffull-record%2FWOS:000721347700009","View Full Record in Web of Science")</f>
        <v>View Full Record in Web of Science</v>
      </c>
    </row>
    <row r="992" spans="1:72" x14ac:dyDescent="0.15">
      <c r="A992" t="s">
        <v>72</v>
      </c>
      <c r="B992" t="s">
        <v>18779</v>
      </c>
      <c r="C992" t="s">
        <v>74</v>
      </c>
      <c r="D992" t="s">
        <v>74</v>
      </c>
      <c r="E992" t="s">
        <v>74</v>
      </c>
      <c r="F992" t="s">
        <v>18780</v>
      </c>
      <c r="G992" t="s">
        <v>74</v>
      </c>
      <c r="H992" t="s">
        <v>74</v>
      </c>
      <c r="I992" t="s">
        <v>18781</v>
      </c>
      <c r="J992" t="s">
        <v>186</v>
      </c>
      <c r="K992" t="s">
        <v>74</v>
      </c>
      <c r="L992" t="s">
        <v>74</v>
      </c>
      <c r="M992" t="s">
        <v>78</v>
      </c>
      <c r="N992" t="s">
        <v>79</v>
      </c>
      <c r="O992" t="s">
        <v>74</v>
      </c>
      <c r="P992" t="s">
        <v>74</v>
      </c>
      <c r="Q992" t="s">
        <v>74</v>
      </c>
      <c r="R992" t="s">
        <v>74</v>
      </c>
      <c r="S992" t="s">
        <v>74</v>
      </c>
      <c r="T992" t="s">
        <v>18782</v>
      </c>
      <c r="U992" t="s">
        <v>18783</v>
      </c>
      <c r="V992" t="s">
        <v>18784</v>
      </c>
      <c r="W992" t="s">
        <v>18785</v>
      </c>
      <c r="X992" t="s">
        <v>9791</v>
      </c>
      <c r="Y992" t="s">
        <v>18786</v>
      </c>
      <c r="Z992" t="s">
        <v>12791</v>
      </c>
      <c r="AA992" t="s">
        <v>18787</v>
      </c>
      <c r="AB992" t="s">
        <v>18788</v>
      </c>
      <c r="AC992" t="s">
        <v>18789</v>
      </c>
      <c r="AD992" t="s">
        <v>9228</v>
      </c>
      <c r="AE992" t="s">
        <v>18790</v>
      </c>
      <c r="AF992" t="s">
        <v>74</v>
      </c>
      <c r="AG992">
        <v>57</v>
      </c>
      <c r="AH992">
        <v>13</v>
      </c>
      <c r="AI992">
        <v>15</v>
      </c>
      <c r="AJ992">
        <v>3</v>
      </c>
      <c r="AK992">
        <v>6</v>
      </c>
      <c r="AL992" t="s">
        <v>198</v>
      </c>
      <c r="AM992" t="s">
        <v>199</v>
      </c>
      <c r="AN992" t="s">
        <v>200</v>
      </c>
      <c r="AO992" t="s">
        <v>201</v>
      </c>
      <c r="AP992" t="s">
        <v>202</v>
      </c>
      <c r="AQ992" t="s">
        <v>74</v>
      </c>
      <c r="AR992" t="s">
        <v>203</v>
      </c>
      <c r="AS992" t="s">
        <v>204</v>
      </c>
      <c r="AT992" t="s">
        <v>2125</v>
      </c>
      <c r="AU992">
        <v>2021</v>
      </c>
      <c r="AV992">
        <v>67</v>
      </c>
      <c r="AW992">
        <v>266</v>
      </c>
      <c r="AX992" t="s">
        <v>74</v>
      </c>
      <c r="AY992" t="s">
        <v>74</v>
      </c>
      <c r="AZ992" t="s">
        <v>74</v>
      </c>
      <c r="BA992" t="s">
        <v>74</v>
      </c>
      <c r="BB992">
        <v>1121</v>
      </c>
      <c r="BC992">
        <v>1136</v>
      </c>
      <c r="BD992" t="s">
        <v>18791</v>
      </c>
      <c r="BE992" t="s">
        <v>18792</v>
      </c>
      <c r="BF992" t="str">
        <f>HYPERLINK("http://dx.doi.org/10.1017/jog.2021.58","http://dx.doi.org/10.1017/jog.2021.58")</f>
        <v>http://dx.doi.org/10.1017/jog.2021.58</v>
      </c>
      <c r="BG992" t="s">
        <v>74</v>
      </c>
      <c r="BH992" t="s">
        <v>74</v>
      </c>
      <c r="BI992">
        <v>16</v>
      </c>
      <c r="BJ992" t="s">
        <v>208</v>
      </c>
      <c r="BK992" t="s">
        <v>103</v>
      </c>
      <c r="BL992" t="s">
        <v>209</v>
      </c>
      <c r="BM992" t="s">
        <v>18742</v>
      </c>
      <c r="BN992" t="s">
        <v>74</v>
      </c>
      <c r="BO992" t="s">
        <v>445</v>
      </c>
      <c r="BP992" t="s">
        <v>74</v>
      </c>
      <c r="BQ992" t="s">
        <v>74</v>
      </c>
      <c r="BR992" t="s">
        <v>106</v>
      </c>
      <c r="BS992" t="s">
        <v>18793</v>
      </c>
      <c r="BT992" t="str">
        <f>HYPERLINK("https%3A%2F%2Fwww.webofscience.com%2Fwos%2Fwoscc%2Ffull-record%2FWOS:000721347700013","View Full Record in Web of Science")</f>
        <v>View Full Record in Web of Science</v>
      </c>
    </row>
    <row r="993" spans="1:72" x14ac:dyDescent="0.15">
      <c r="A993" t="s">
        <v>72</v>
      </c>
      <c r="B993" t="s">
        <v>18794</v>
      </c>
      <c r="C993" t="s">
        <v>74</v>
      </c>
      <c r="D993" t="s">
        <v>74</v>
      </c>
      <c r="E993" t="s">
        <v>74</v>
      </c>
      <c r="F993" t="s">
        <v>18795</v>
      </c>
      <c r="G993" t="s">
        <v>74</v>
      </c>
      <c r="H993" t="s">
        <v>74</v>
      </c>
      <c r="I993" t="s">
        <v>18796</v>
      </c>
      <c r="J993" t="s">
        <v>186</v>
      </c>
      <c r="K993" t="s">
        <v>74</v>
      </c>
      <c r="L993" t="s">
        <v>74</v>
      </c>
      <c r="M993" t="s">
        <v>78</v>
      </c>
      <c r="N993" t="s">
        <v>79</v>
      </c>
      <c r="O993" t="s">
        <v>74</v>
      </c>
      <c r="P993" t="s">
        <v>74</v>
      </c>
      <c r="Q993" t="s">
        <v>74</v>
      </c>
      <c r="R993" t="s">
        <v>74</v>
      </c>
      <c r="S993" t="s">
        <v>74</v>
      </c>
      <c r="T993" t="s">
        <v>18797</v>
      </c>
      <c r="U993" t="s">
        <v>18798</v>
      </c>
      <c r="V993" t="s">
        <v>18799</v>
      </c>
      <c r="W993" t="s">
        <v>18800</v>
      </c>
      <c r="X993" t="s">
        <v>18801</v>
      </c>
      <c r="Y993" t="s">
        <v>18802</v>
      </c>
      <c r="Z993" t="s">
        <v>18803</v>
      </c>
      <c r="AA993" t="s">
        <v>74</v>
      </c>
      <c r="AB993" t="s">
        <v>74</v>
      </c>
      <c r="AC993" t="s">
        <v>18804</v>
      </c>
      <c r="AD993" t="s">
        <v>13727</v>
      </c>
      <c r="AE993" t="s">
        <v>18805</v>
      </c>
      <c r="AF993" t="s">
        <v>74</v>
      </c>
      <c r="AG993">
        <v>75</v>
      </c>
      <c r="AH993">
        <v>1</v>
      </c>
      <c r="AI993">
        <v>2</v>
      </c>
      <c r="AJ993">
        <v>4</v>
      </c>
      <c r="AK993">
        <v>24</v>
      </c>
      <c r="AL993" t="s">
        <v>198</v>
      </c>
      <c r="AM993" t="s">
        <v>199</v>
      </c>
      <c r="AN993" t="s">
        <v>200</v>
      </c>
      <c r="AO993" t="s">
        <v>201</v>
      </c>
      <c r="AP993" t="s">
        <v>202</v>
      </c>
      <c r="AQ993" t="s">
        <v>74</v>
      </c>
      <c r="AR993" t="s">
        <v>203</v>
      </c>
      <c r="AS993" t="s">
        <v>204</v>
      </c>
      <c r="AT993" t="s">
        <v>2125</v>
      </c>
      <c r="AU993">
        <v>2021</v>
      </c>
      <c r="AV993">
        <v>67</v>
      </c>
      <c r="AW993">
        <v>266</v>
      </c>
      <c r="AX993" t="s">
        <v>74</v>
      </c>
      <c r="AY993" t="s">
        <v>74</v>
      </c>
      <c r="AZ993" t="s">
        <v>74</v>
      </c>
      <c r="BA993" t="s">
        <v>74</v>
      </c>
      <c r="BB993">
        <v>1213</v>
      </c>
      <c r="BC993">
        <v>1227</v>
      </c>
      <c r="BD993" t="s">
        <v>18806</v>
      </c>
      <c r="BE993" t="s">
        <v>18807</v>
      </c>
      <c r="BF993" t="str">
        <f>HYPERLINK("http://dx.doi.org/10.1017/jog.2021.70","http://dx.doi.org/10.1017/jog.2021.70")</f>
        <v>http://dx.doi.org/10.1017/jog.2021.70</v>
      </c>
      <c r="BG993" t="s">
        <v>74</v>
      </c>
      <c r="BH993" t="s">
        <v>74</v>
      </c>
      <c r="BI993">
        <v>15</v>
      </c>
      <c r="BJ993" t="s">
        <v>208</v>
      </c>
      <c r="BK993" t="s">
        <v>103</v>
      </c>
      <c r="BL993" t="s">
        <v>209</v>
      </c>
      <c r="BM993" t="s">
        <v>18742</v>
      </c>
      <c r="BN993" t="s">
        <v>74</v>
      </c>
      <c r="BO993" t="s">
        <v>445</v>
      </c>
      <c r="BP993" t="s">
        <v>74</v>
      </c>
      <c r="BQ993" t="s">
        <v>74</v>
      </c>
      <c r="BR993" t="s">
        <v>106</v>
      </c>
      <c r="BS993" t="s">
        <v>18808</v>
      </c>
      <c r="BT993" t="str">
        <f>HYPERLINK("https%3A%2F%2Fwww.webofscience.com%2Fwos%2Fwoscc%2Ffull-record%2FWOS:000721347700020","View Full Record in Web of Science")</f>
        <v>View Full Record in Web of Science</v>
      </c>
    </row>
    <row r="994" spans="1:72" x14ac:dyDescent="0.15">
      <c r="A994" t="s">
        <v>72</v>
      </c>
      <c r="B994" t="s">
        <v>18809</v>
      </c>
      <c r="C994" t="s">
        <v>74</v>
      </c>
      <c r="D994" t="s">
        <v>74</v>
      </c>
      <c r="E994" t="s">
        <v>74</v>
      </c>
      <c r="F994" t="s">
        <v>18810</v>
      </c>
      <c r="G994" t="s">
        <v>74</v>
      </c>
      <c r="H994" t="s">
        <v>74</v>
      </c>
      <c r="I994" t="s">
        <v>18811</v>
      </c>
      <c r="J994" t="s">
        <v>186</v>
      </c>
      <c r="K994" t="s">
        <v>74</v>
      </c>
      <c r="L994" t="s">
        <v>74</v>
      </c>
      <c r="M994" t="s">
        <v>78</v>
      </c>
      <c r="N994" t="s">
        <v>79</v>
      </c>
      <c r="O994" t="s">
        <v>74</v>
      </c>
      <c r="P994" t="s">
        <v>74</v>
      </c>
      <c r="Q994" t="s">
        <v>74</v>
      </c>
      <c r="R994" t="s">
        <v>74</v>
      </c>
      <c r="S994" t="s">
        <v>74</v>
      </c>
      <c r="T994" t="s">
        <v>18812</v>
      </c>
      <c r="U994" t="s">
        <v>18813</v>
      </c>
      <c r="V994" t="s">
        <v>18814</v>
      </c>
      <c r="W994" t="s">
        <v>18815</v>
      </c>
      <c r="X994" t="s">
        <v>18816</v>
      </c>
      <c r="Y994" t="s">
        <v>18817</v>
      </c>
      <c r="Z994" t="s">
        <v>18818</v>
      </c>
      <c r="AA994" t="s">
        <v>18819</v>
      </c>
      <c r="AB994" t="s">
        <v>18820</v>
      </c>
      <c r="AC994" t="s">
        <v>18821</v>
      </c>
      <c r="AD994" t="s">
        <v>18822</v>
      </c>
      <c r="AE994" t="s">
        <v>18823</v>
      </c>
      <c r="AF994" t="s">
        <v>74</v>
      </c>
      <c r="AG994">
        <v>35</v>
      </c>
      <c r="AH994">
        <v>5</v>
      </c>
      <c r="AI994">
        <v>5</v>
      </c>
      <c r="AJ994">
        <v>6</v>
      </c>
      <c r="AK994">
        <v>13</v>
      </c>
      <c r="AL994" t="s">
        <v>198</v>
      </c>
      <c r="AM994" t="s">
        <v>199</v>
      </c>
      <c r="AN994" t="s">
        <v>200</v>
      </c>
      <c r="AO994" t="s">
        <v>201</v>
      </c>
      <c r="AP994" t="s">
        <v>202</v>
      </c>
      <c r="AQ994" t="s">
        <v>74</v>
      </c>
      <c r="AR994" t="s">
        <v>203</v>
      </c>
      <c r="AS994" t="s">
        <v>204</v>
      </c>
      <c r="AT994" t="s">
        <v>2125</v>
      </c>
      <c r="AU994">
        <v>2021</v>
      </c>
      <c r="AV994">
        <v>67</v>
      </c>
      <c r="AW994">
        <v>266</v>
      </c>
      <c r="AX994" t="s">
        <v>74</v>
      </c>
      <c r="AY994" t="s">
        <v>74</v>
      </c>
      <c r="AZ994" t="s">
        <v>74</v>
      </c>
      <c r="BA994" t="s">
        <v>74</v>
      </c>
      <c r="BB994">
        <v>1235</v>
      </c>
      <c r="BC994">
        <v>1240</v>
      </c>
      <c r="BD994" t="s">
        <v>18824</v>
      </c>
      <c r="BE994" t="s">
        <v>18825</v>
      </c>
      <c r="BF994" t="str">
        <f>HYPERLINK("http://dx.doi.org/10.1017/jog.2021.57","http://dx.doi.org/10.1017/jog.2021.57")</f>
        <v>http://dx.doi.org/10.1017/jog.2021.57</v>
      </c>
      <c r="BG994" t="s">
        <v>74</v>
      </c>
      <c r="BH994" t="s">
        <v>74</v>
      </c>
      <c r="BI994">
        <v>6</v>
      </c>
      <c r="BJ994" t="s">
        <v>208</v>
      </c>
      <c r="BK994" t="s">
        <v>103</v>
      </c>
      <c r="BL994" t="s">
        <v>209</v>
      </c>
      <c r="BM994" t="s">
        <v>18742</v>
      </c>
      <c r="BN994" t="s">
        <v>74</v>
      </c>
      <c r="BO994" t="s">
        <v>211</v>
      </c>
      <c r="BP994" t="s">
        <v>74</v>
      </c>
      <c r="BQ994" t="s">
        <v>74</v>
      </c>
      <c r="BR994" t="s">
        <v>106</v>
      </c>
      <c r="BS994" t="s">
        <v>18826</v>
      </c>
      <c r="BT994" t="str">
        <f>HYPERLINK("https%3A%2F%2Fwww.webofscience.com%2Fwos%2Fwoscc%2Ffull-record%2FWOS:000721347700022","View Full Record in Web of Science")</f>
        <v>View Full Record in Web of Science</v>
      </c>
    </row>
    <row r="995" spans="1:72" x14ac:dyDescent="0.15">
      <c r="A995" t="s">
        <v>72</v>
      </c>
      <c r="B995" t="s">
        <v>18827</v>
      </c>
      <c r="C995" t="s">
        <v>74</v>
      </c>
      <c r="D995" t="s">
        <v>74</v>
      </c>
      <c r="E995" t="s">
        <v>74</v>
      </c>
      <c r="F995" t="s">
        <v>18828</v>
      </c>
      <c r="G995" t="s">
        <v>74</v>
      </c>
      <c r="H995" t="s">
        <v>74</v>
      </c>
      <c r="I995" t="s">
        <v>18829</v>
      </c>
      <c r="J995" t="s">
        <v>18830</v>
      </c>
      <c r="K995" t="s">
        <v>74</v>
      </c>
      <c r="L995" t="s">
        <v>74</v>
      </c>
      <c r="M995" t="s">
        <v>11330</v>
      </c>
      <c r="N995" t="s">
        <v>79</v>
      </c>
      <c r="O995" t="s">
        <v>74</v>
      </c>
      <c r="P995" t="s">
        <v>74</v>
      </c>
      <c r="Q995" t="s">
        <v>74</v>
      </c>
      <c r="R995" t="s">
        <v>74</v>
      </c>
      <c r="S995" t="s">
        <v>74</v>
      </c>
      <c r="T995" t="s">
        <v>18831</v>
      </c>
      <c r="U995" t="s">
        <v>18832</v>
      </c>
      <c r="V995" t="s">
        <v>18833</v>
      </c>
      <c r="W995" t="s">
        <v>18834</v>
      </c>
      <c r="X995" t="s">
        <v>3903</v>
      </c>
      <c r="Y995" t="s">
        <v>18835</v>
      </c>
      <c r="Z995" t="s">
        <v>18836</v>
      </c>
      <c r="AA995" t="s">
        <v>18837</v>
      </c>
      <c r="AB995" t="s">
        <v>18838</v>
      </c>
      <c r="AC995" t="s">
        <v>18839</v>
      </c>
      <c r="AD995" t="s">
        <v>18840</v>
      </c>
      <c r="AE995" t="s">
        <v>18841</v>
      </c>
      <c r="AF995" t="s">
        <v>74</v>
      </c>
      <c r="AG995">
        <v>32</v>
      </c>
      <c r="AH995">
        <v>2</v>
      </c>
      <c r="AI995">
        <v>2</v>
      </c>
      <c r="AJ995">
        <v>1</v>
      </c>
      <c r="AK995">
        <v>3</v>
      </c>
      <c r="AL995" t="s">
        <v>4206</v>
      </c>
      <c r="AM995" t="s">
        <v>4207</v>
      </c>
      <c r="AN995" t="s">
        <v>4208</v>
      </c>
      <c r="AO995" t="s">
        <v>18842</v>
      </c>
      <c r="AP995" t="s">
        <v>74</v>
      </c>
      <c r="AQ995" t="s">
        <v>74</v>
      </c>
      <c r="AR995" t="s">
        <v>18843</v>
      </c>
      <c r="AS995" t="s">
        <v>18844</v>
      </c>
      <c r="AT995" t="s">
        <v>2125</v>
      </c>
      <c r="AU995">
        <v>2021</v>
      </c>
      <c r="AV995">
        <v>40</v>
      </c>
      <c r="AW995">
        <v>6</v>
      </c>
      <c r="AX995" t="s">
        <v>74</v>
      </c>
      <c r="AY995" t="s">
        <v>74</v>
      </c>
      <c r="AZ995" t="s">
        <v>74</v>
      </c>
      <c r="BA995" t="s">
        <v>74</v>
      </c>
      <c r="BB995">
        <v>809</v>
      </c>
      <c r="BC995">
        <v>819</v>
      </c>
      <c r="BD995" t="s">
        <v>74</v>
      </c>
      <c r="BE995" t="s">
        <v>18845</v>
      </c>
      <c r="BF995" t="str">
        <f>HYPERLINK("http://dx.doi.org/10.11972/j.issn.1001-9014.2021.06.015","http://dx.doi.org/10.11972/j.issn.1001-9014.2021.06.015")</f>
        <v>http://dx.doi.org/10.11972/j.issn.1001-9014.2021.06.015</v>
      </c>
      <c r="BG995" t="s">
        <v>74</v>
      </c>
      <c r="BH995" t="s">
        <v>74</v>
      </c>
      <c r="BI995">
        <v>11</v>
      </c>
      <c r="BJ995" t="s">
        <v>18846</v>
      </c>
      <c r="BK995" t="s">
        <v>103</v>
      </c>
      <c r="BL995" t="s">
        <v>18846</v>
      </c>
      <c r="BM995" t="s">
        <v>18847</v>
      </c>
      <c r="BN995" t="s">
        <v>74</v>
      </c>
      <c r="BO995" t="s">
        <v>74</v>
      </c>
      <c r="BP995" t="s">
        <v>74</v>
      </c>
      <c r="BQ995" t="s">
        <v>74</v>
      </c>
      <c r="BR995" t="s">
        <v>106</v>
      </c>
      <c r="BS995" t="s">
        <v>18848</v>
      </c>
      <c r="BT995" t="str">
        <f>HYPERLINK("https%3A%2F%2Fwww.webofscience.com%2Fwos%2Fwoscc%2Ffull-record%2FWOS:000894487000015","View Full Record in Web of Science")</f>
        <v>View Full Record in Web of Science</v>
      </c>
    </row>
    <row r="996" spans="1:72" x14ac:dyDescent="0.15">
      <c r="A996" t="s">
        <v>72</v>
      </c>
      <c r="B996" t="s">
        <v>18849</v>
      </c>
      <c r="C996" t="s">
        <v>74</v>
      </c>
      <c r="D996" t="s">
        <v>74</v>
      </c>
      <c r="E996" t="s">
        <v>74</v>
      </c>
      <c r="F996" t="s">
        <v>18850</v>
      </c>
      <c r="G996" t="s">
        <v>74</v>
      </c>
      <c r="H996" t="s">
        <v>74</v>
      </c>
      <c r="I996" t="s">
        <v>18851</v>
      </c>
      <c r="J996" t="s">
        <v>18852</v>
      </c>
      <c r="K996" t="s">
        <v>74</v>
      </c>
      <c r="L996" t="s">
        <v>74</v>
      </c>
      <c r="M996" t="s">
        <v>78</v>
      </c>
      <c r="N996" t="s">
        <v>79</v>
      </c>
      <c r="O996" t="s">
        <v>74</v>
      </c>
      <c r="P996" t="s">
        <v>74</v>
      </c>
      <c r="Q996" t="s">
        <v>74</v>
      </c>
      <c r="R996" t="s">
        <v>74</v>
      </c>
      <c r="S996" t="s">
        <v>74</v>
      </c>
      <c r="T996" t="s">
        <v>74</v>
      </c>
      <c r="U996" t="s">
        <v>18853</v>
      </c>
      <c r="V996" t="s">
        <v>18854</v>
      </c>
      <c r="W996" t="s">
        <v>18855</v>
      </c>
      <c r="X996" t="s">
        <v>18856</v>
      </c>
      <c r="Y996" t="s">
        <v>18857</v>
      </c>
      <c r="Z996" t="s">
        <v>18858</v>
      </c>
      <c r="AA996" t="s">
        <v>18859</v>
      </c>
      <c r="AB996" t="s">
        <v>18860</v>
      </c>
      <c r="AC996" t="s">
        <v>18861</v>
      </c>
      <c r="AD996" t="s">
        <v>18862</v>
      </c>
      <c r="AE996" t="s">
        <v>18863</v>
      </c>
      <c r="AF996" t="s">
        <v>74</v>
      </c>
      <c r="AG996">
        <v>86</v>
      </c>
      <c r="AH996">
        <v>8</v>
      </c>
      <c r="AI996">
        <v>8</v>
      </c>
      <c r="AJ996">
        <v>0</v>
      </c>
      <c r="AK996">
        <v>2</v>
      </c>
      <c r="AL996" t="s">
        <v>3816</v>
      </c>
      <c r="AM996" t="s">
        <v>3817</v>
      </c>
      <c r="AN996" t="s">
        <v>3818</v>
      </c>
      <c r="AO996" t="s">
        <v>74</v>
      </c>
      <c r="AP996" t="s">
        <v>18864</v>
      </c>
      <c r="AQ996" t="s">
        <v>74</v>
      </c>
      <c r="AR996" t="s">
        <v>18865</v>
      </c>
      <c r="AS996" t="s">
        <v>18866</v>
      </c>
      <c r="AT996" t="s">
        <v>2125</v>
      </c>
      <c r="AU996">
        <v>2021</v>
      </c>
      <c r="AV996">
        <v>2</v>
      </c>
      <c r="AW996">
        <v>6</v>
      </c>
      <c r="AX996" t="s">
        <v>74</v>
      </c>
      <c r="AY996" t="s">
        <v>74</v>
      </c>
      <c r="AZ996" t="s">
        <v>74</v>
      </c>
      <c r="BA996" t="s">
        <v>74</v>
      </c>
      <c r="BB996" t="s">
        <v>74</v>
      </c>
      <c r="BC996" t="s">
        <v>74</v>
      </c>
      <c r="BD996">
        <v>244</v>
      </c>
      <c r="BE996" t="s">
        <v>18867</v>
      </c>
      <c r="BF996" t="str">
        <f>HYPERLINK("http://dx.doi.org/10.3847/PSJ/ac3d86","http://dx.doi.org/10.3847/PSJ/ac3d86")</f>
        <v>http://dx.doi.org/10.3847/PSJ/ac3d86</v>
      </c>
      <c r="BG996" t="s">
        <v>74</v>
      </c>
      <c r="BH996" t="s">
        <v>74</v>
      </c>
      <c r="BI996">
        <v>14</v>
      </c>
      <c r="BJ996" t="s">
        <v>262</v>
      </c>
      <c r="BK996" t="s">
        <v>724</v>
      </c>
      <c r="BL996" t="s">
        <v>262</v>
      </c>
      <c r="BM996" t="s">
        <v>18868</v>
      </c>
      <c r="BN996" t="s">
        <v>74</v>
      </c>
      <c r="BO996" t="s">
        <v>154</v>
      </c>
      <c r="BP996" t="s">
        <v>74</v>
      </c>
      <c r="BQ996" t="s">
        <v>74</v>
      </c>
      <c r="BR996" t="s">
        <v>106</v>
      </c>
      <c r="BS996" t="s">
        <v>18869</v>
      </c>
      <c r="BT996" t="str">
        <f>HYPERLINK("https%3A%2F%2Fwww.webofscience.com%2Fwos%2Fwoscc%2Ffull-record%2FWOS:000917347700001","View Full Record in Web of Science")</f>
        <v>View Full Record in Web of Science</v>
      </c>
    </row>
    <row r="997" spans="1:72" x14ac:dyDescent="0.15">
      <c r="A997" t="s">
        <v>72</v>
      </c>
      <c r="B997" t="s">
        <v>18870</v>
      </c>
      <c r="C997" t="s">
        <v>74</v>
      </c>
      <c r="D997" t="s">
        <v>74</v>
      </c>
      <c r="E997" t="s">
        <v>74</v>
      </c>
      <c r="F997" t="s">
        <v>18871</v>
      </c>
      <c r="G997" t="s">
        <v>74</v>
      </c>
      <c r="H997" t="s">
        <v>74</v>
      </c>
      <c r="I997" t="s">
        <v>18872</v>
      </c>
      <c r="J997" t="s">
        <v>13620</v>
      </c>
      <c r="K997" t="s">
        <v>74</v>
      </c>
      <c r="L997" t="s">
        <v>74</v>
      </c>
      <c r="M997" t="s">
        <v>78</v>
      </c>
      <c r="N997" t="s">
        <v>79</v>
      </c>
      <c r="O997" t="s">
        <v>74</v>
      </c>
      <c r="P997" t="s">
        <v>74</v>
      </c>
      <c r="Q997" t="s">
        <v>74</v>
      </c>
      <c r="R997" t="s">
        <v>74</v>
      </c>
      <c r="S997" t="s">
        <v>74</v>
      </c>
      <c r="T997" t="s">
        <v>74</v>
      </c>
      <c r="U997" t="s">
        <v>18873</v>
      </c>
      <c r="V997" t="s">
        <v>18874</v>
      </c>
      <c r="W997" t="s">
        <v>18875</v>
      </c>
      <c r="X997" t="s">
        <v>18876</v>
      </c>
      <c r="Y997" t="s">
        <v>18877</v>
      </c>
      <c r="Z997" t="s">
        <v>18878</v>
      </c>
      <c r="AA997" t="s">
        <v>18879</v>
      </c>
      <c r="AB997" t="s">
        <v>18880</v>
      </c>
      <c r="AC997" t="s">
        <v>18881</v>
      </c>
      <c r="AD997" t="s">
        <v>18882</v>
      </c>
      <c r="AE997" t="s">
        <v>18883</v>
      </c>
      <c r="AF997" t="s">
        <v>74</v>
      </c>
      <c r="AG997">
        <v>47</v>
      </c>
      <c r="AH997">
        <v>18</v>
      </c>
      <c r="AI997">
        <v>19</v>
      </c>
      <c r="AJ997">
        <v>5</v>
      </c>
      <c r="AK997">
        <v>74</v>
      </c>
      <c r="AL997" t="s">
        <v>13632</v>
      </c>
      <c r="AM997" t="s">
        <v>606</v>
      </c>
      <c r="AN997" t="s">
        <v>13633</v>
      </c>
      <c r="AO997" t="s">
        <v>13634</v>
      </c>
      <c r="AP997" t="s">
        <v>74</v>
      </c>
      <c r="AQ997" t="s">
        <v>74</v>
      </c>
      <c r="AR997" t="s">
        <v>13635</v>
      </c>
      <c r="AS997" t="s">
        <v>13636</v>
      </c>
      <c r="AT997" t="s">
        <v>2125</v>
      </c>
      <c r="AU997">
        <v>2021</v>
      </c>
      <c r="AV997">
        <v>7</v>
      </c>
      <c r="AW997">
        <v>51</v>
      </c>
      <c r="AX997" t="s">
        <v>74</v>
      </c>
      <c r="AY997" t="s">
        <v>74</v>
      </c>
      <c r="AZ997" t="s">
        <v>74</v>
      </c>
      <c r="BA997" t="s">
        <v>74</v>
      </c>
      <c r="BB997" t="s">
        <v>74</v>
      </c>
      <c r="BC997" t="s">
        <v>74</v>
      </c>
      <c r="BD997" t="s">
        <v>18884</v>
      </c>
      <c r="BE997" t="s">
        <v>18885</v>
      </c>
      <c r="BF997" t="str">
        <f>HYPERLINK("http://dx.doi.org/10.1126/sciadv.abk2318","http://dx.doi.org/10.1126/sciadv.abk2318")</f>
        <v>http://dx.doi.org/10.1126/sciadv.abk2318</v>
      </c>
      <c r="BG997" t="s">
        <v>74</v>
      </c>
      <c r="BH997" t="s">
        <v>74</v>
      </c>
      <c r="BI997">
        <v>8</v>
      </c>
      <c r="BJ997" t="s">
        <v>289</v>
      </c>
      <c r="BK997" t="s">
        <v>103</v>
      </c>
      <c r="BL997" t="s">
        <v>290</v>
      </c>
      <c r="BM997" t="s">
        <v>18886</v>
      </c>
      <c r="BN997">
        <v>34910508</v>
      </c>
      <c r="BO997" t="s">
        <v>3263</v>
      </c>
      <c r="BP997" t="s">
        <v>74</v>
      </c>
      <c r="BQ997" t="s">
        <v>74</v>
      </c>
      <c r="BR997" t="s">
        <v>106</v>
      </c>
      <c r="BS997" t="s">
        <v>18887</v>
      </c>
      <c r="BT997" t="str">
        <f>HYPERLINK("https%3A%2F%2Fwww.webofscience.com%2Fwos%2Fwoscc%2Ffull-record%2FWOS:000730600400013","View Full Record in Web of Science")</f>
        <v>View Full Record in Web of Science</v>
      </c>
    </row>
    <row r="998" spans="1:72" x14ac:dyDescent="0.15">
      <c r="A998" t="s">
        <v>72</v>
      </c>
      <c r="B998" t="s">
        <v>18888</v>
      </c>
      <c r="C998" t="s">
        <v>74</v>
      </c>
      <c r="D998" t="s">
        <v>74</v>
      </c>
      <c r="E998" t="s">
        <v>74</v>
      </c>
      <c r="F998" t="s">
        <v>18889</v>
      </c>
      <c r="G998" t="s">
        <v>74</v>
      </c>
      <c r="H998" t="s">
        <v>74</v>
      </c>
      <c r="I998" t="s">
        <v>18890</v>
      </c>
      <c r="J998" t="s">
        <v>18891</v>
      </c>
      <c r="K998" t="s">
        <v>74</v>
      </c>
      <c r="L998" t="s">
        <v>74</v>
      </c>
      <c r="M998" t="s">
        <v>78</v>
      </c>
      <c r="N998" t="s">
        <v>79</v>
      </c>
      <c r="O998" t="s">
        <v>74</v>
      </c>
      <c r="P998" t="s">
        <v>74</v>
      </c>
      <c r="Q998" t="s">
        <v>74</v>
      </c>
      <c r="R998" t="s">
        <v>74</v>
      </c>
      <c r="S998" t="s">
        <v>74</v>
      </c>
      <c r="T998" t="s">
        <v>18892</v>
      </c>
      <c r="U998" t="s">
        <v>18893</v>
      </c>
      <c r="V998" t="s">
        <v>18894</v>
      </c>
      <c r="W998" t="s">
        <v>18895</v>
      </c>
      <c r="X998" t="s">
        <v>18896</v>
      </c>
      <c r="Y998" t="s">
        <v>18897</v>
      </c>
      <c r="Z998" t="s">
        <v>18898</v>
      </c>
      <c r="AA998" t="s">
        <v>18899</v>
      </c>
      <c r="AB998" t="s">
        <v>18900</v>
      </c>
      <c r="AC998" t="s">
        <v>18901</v>
      </c>
      <c r="AD998" t="s">
        <v>18902</v>
      </c>
      <c r="AE998" t="s">
        <v>18903</v>
      </c>
      <c r="AF998" t="s">
        <v>74</v>
      </c>
      <c r="AG998">
        <v>97</v>
      </c>
      <c r="AH998">
        <v>7</v>
      </c>
      <c r="AI998">
        <v>7</v>
      </c>
      <c r="AJ998">
        <v>3</v>
      </c>
      <c r="AK998">
        <v>11</v>
      </c>
      <c r="AL998" t="s">
        <v>1074</v>
      </c>
      <c r="AM998" t="s">
        <v>506</v>
      </c>
      <c r="AN998" t="s">
        <v>1075</v>
      </c>
      <c r="AO998" t="s">
        <v>18904</v>
      </c>
      <c r="AP998" t="s">
        <v>18905</v>
      </c>
      <c r="AQ998" t="s">
        <v>74</v>
      </c>
      <c r="AR998" t="s">
        <v>18906</v>
      </c>
      <c r="AS998" t="s">
        <v>18907</v>
      </c>
      <c r="AT998" t="s">
        <v>2125</v>
      </c>
      <c r="AU998">
        <v>2021</v>
      </c>
      <c r="AV998">
        <v>80</v>
      </c>
      <c r="AW998">
        <v>24</v>
      </c>
      <c r="AX998" t="s">
        <v>74</v>
      </c>
      <c r="AY998" t="s">
        <v>74</v>
      </c>
      <c r="AZ998" t="s">
        <v>74</v>
      </c>
      <c r="BA998" t="s">
        <v>74</v>
      </c>
      <c r="BB998" t="s">
        <v>74</v>
      </c>
      <c r="BC998" t="s">
        <v>74</v>
      </c>
      <c r="BD998">
        <v>796</v>
      </c>
      <c r="BE998" t="s">
        <v>18908</v>
      </c>
      <c r="BF998" t="str">
        <f>HYPERLINK("http://dx.doi.org/10.1007/s12665-021-10022-z","http://dx.doi.org/10.1007/s12665-021-10022-z")</f>
        <v>http://dx.doi.org/10.1007/s12665-021-10022-z</v>
      </c>
      <c r="BG998" t="s">
        <v>74</v>
      </c>
      <c r="BH998" t="s">
        <v>74</v>
      </c>
      <c r="BI998">
        <v>20</v>
      </c>
      <c r="BJ998" t="s">
        <v>18909</v>
      </c>
      <c r="BK998" t="s">
        <v>103</v>
      </c>
      <c r="BL998" t="s">
        <v>18910</v>
      </c>
      <c r="BM998" t="s">
        <v>18911</v>
      </c>
      <c r="BN998" t="s">
        <v>74</v>
      </c>
      <c r="BO998" t="s">
        <v>796</v>
      </c>
      <c r="BP998" t="s">
        <v>74</v>
      </c>
      <c r="BQ998" t="s">
        <v>74</v>
      </c>
      <c r="BR998" t="s">
        <v>106</v>
      </c>
      <c r="BS998" t="s">
        <v>18912</v>
      </c>
      <c r="BT998" t="str">
        <f>HYPERLINK("https%3A%2F%2Fwww.webofscience.com%2Fwos%2Fwoscc%2Ffull-record%2FWOS:000721884100003","View Full Record in Web of Science")</f>
        <v>View Full Record in Web of Science</v>
      </c>
    </row>
    <row r="999" spans="1:72" x14ac:dyDescent="0.15">
      <c r="A999" t="s">
        <v>72</v>
      </c>
      <c r="B999" t="s">
        <v>18913</v>
      </c>
      <c r="C999" t="s">
        <v>74</v>
      </c>
      <c r="D999" t="s">
        <v>74</v>
      </c>
      <c r="E999" t="s">
        <v>74</v>
      </c>
      <c r="F999" t="s">
        <v>18914</v>
      </c>
      <c r="G999" t="s">
        <v>74</v>
      </c>
      <c r="H999" t="s">
        <v>74</v>
      </c>
      <c r="I999" t="s">
        <v>18915</v>
      </c>
      <c r="J999" t="s">
        <v>14041</v>
      </c>
      <c r="K999" t="s">
        <v>74</v>
      </c>
      <c r="L999" t="s">
        <v>74</v>
      </c>
      <c r="M999" t="s">
        <v>78</v>
      </c>
      <c r="N999" t="s">
        <v>79</v>
      </c>
      <c r="O999" t="s">
        <v>74</v>
      </c>
      <c r="P999" t="s">
        <v>74</v>
      </c>
      <c r="Q999" t="s">
        <v>74</v>
      </c>
      <c r="R999" t="s">
        <v>74</v>
      </c>
      <c r="S999" t="s">
        <v>74</v>
      </c>
      <c r="T999" t="s">
        <v>18916</v>
      </c>
      <c r="U999" t="s">
        <v>18917</v>
      </c>
      <c r="V999" t="s">
        <v>18918</v>
      </c>
      <c r="W999" t="s">
        <v>18919</v>
      </c>
      <c r="X999" t="s">
        <v>18920</v>
      </c>
      <c r="Y999" t="s">
        <v>18921</v>
      </c>
      <c r="Z999" t="s">
        <v>18922</v>
      </c>
      <c r="AA999" t="s">
        <v>18923</v>
      </c>
      <c r="AB999" t="s">
        <v>18924</v>
      </c>
      <c r="AC999" t="s">
        <v>18925</v>
      </c>
      <c r="AD999" t="s">
        <v>18925</v>
      </c>
      <c r="AE999" t="s">
        <v>18926</v>
      </c>
      <c r="AF999" t="s">
        <v>74</v>
      </c>
      <c r="AG999">
        <v>60</v>
      </c>
      <c r="AH999">
        <v>2</v>
      </c>
      <c r="AI999">
        <v>2</v>
      </c>
      <c r="AJ999">
        <v>1</v>
      </c>
      <c r="AK999">
        <v>13</v>
      </c>
      <c r="AL999" t="s">
        <v>14054</v>
      </c>
      <c r="AM999" t="s">
        <v>14055</v>
      </c>
      <c r="AN999" t="s">
        <v>14056</v>
      </c>
      <c r="AO999" t="s">
        <v>14057</v>
      </c>
      <c r="AP999" t="s">
        <v>14058</v>
      </c>
      <c r="AQ999" t="s">
        <v>74</v>
      </c>
      <c r="AR999" t="s">
        <v>14059</v>
      </c>
      <c r="AS999" t="s">
        <v>14060</v>
      </c>
      <c r="AT999" t="s">
        <v>2125</v>
      </c>
      <c r="AU999">
        <v>2021</v>
      </c>
      <c r="AV999">
        <v>99</v>
      </c>
      <c r="AW999">
        <v>12</v>
      </c>
      <c r="AX999" t="s">
        <v>74</v>
      </c>
      <c r="AY999" t="s">
        <v>74</v>
      </c>
      <c r="AZ999" t="s">
        <v>74</v>
      </c>
      <c r="BA999" t="s">
        <v>74</v>
      </c>
      <c r="BB999">
        <v>1067</v>
      </c>
      <c r="BC999">
        <v>1079</v>
      </c>
      <c r="BD999" t="s">
        <v>74</v>
      </c>
      <c r="BE999" t="s">
        <v>18927</v>
      </c>
      <c r="BF999" t="str">
        <f>HYPERLINK("http://dx.doi.org/10.1139/cjz-2020-0237","http://dx.doi.org/10.1139/cjz-2020-0237")</f>
        <v>http://dx.doi.org/10.1139/cjz-2020-0237</v>
      </c>
      <c r="BG999" t="s">
        <v>74</v>
      </c>
      <c r="BH999" t="s">
        <v>74</v>
      </c>
      <c r="BI999">
        <v>13</v>
      </c>
      <c r="BJ999" t="s">
        <v>3187</v>
      </c>
      <c r="BK999" t="s">
        <v>103</v>
      </c>
      <c r="BL999" t="s">
        <v>3187</v>
      </c>
      <c r="BM999" t="s">
        <v>18928</v>
      </c>
      <c r="BN999" t="s">
        <v>74</v>
      </c>
      <c r="BO999" t="s">
        <v>3307</v>
      </c>
      <c r="BP999" t="s">
        <v>74</v>
      </c>
      <c r="BQ999" t="s">
        <v>74</v>
      </c>
      <c r="BR999" t="s">
        <v>106</v>
      </c>
      <c r="BS999" t="s">
        <v>18929</v>
      </c>
      <c r="BT999" t="str">
        <f>HYPERLINK("https%3A%2F%2Fwww.webofscience.com%2Fwos%2Fwoscc%2Ffull-record%2FWOS:000721295300006","View Full Record in Web of Science")</f>
        <v>View Full Record in Web of Science</v>
      </c>
    </row>
    <row r="1000" spans="1:72" x14ac:dyDescent="0.15">
      <c r="A1000" t="s">
        <v>72</v>
      </c>
      <c r="B1000" t="s">
        <v>18930</v>
      </c>
      <c r="C1000" t="s">
        <v>74</v>
      </c>
      <c r="D1000" t="s">
        <v>74</v>
      </c>
      <c r="E1000" t="s">
        <v>74</v>
      </c>
      <c r="F1000" t="s">
        <v>18931</v>
      </c>
      <c r="G1000" t="s">
        <v>74</v>
      </c>
      <c r="H1000" t="s">
        <v>74</v>
      </c>
      <c r="I1000" t="s">
        <v>18932</v>
      </c>
      <c r="J1000" t="s">
        <v>18933</v>
      </c>
      <c r="K1000" t="s">
        <v>74</v>
      </c>
      <c r="L1000" t="s">
        <v>74</v>
      </c>
      <c r="M1000" t="s">
        <v>78</v>
      </c>
      <c r="N1000" t="s">
        <v>79</v>
      </c>
      <c r="O1000" t="s">
        <v>74</v>
      </c>
      <c r="P1000" t="s">
        <v>74</v>
      </c>
      <c r="Q1000" t="s">
        <v>74</v>
      </c>
      <c r="R1000" t="s">
        <v>74</v>
      </c>
      <c r="S1000" t="s">
        <v>74</v>
      </c>
      <c r="T1000" t="s">
        <v>18934</v>
      </c>
      <c r="U1000" t="s">
        <v>18935</v>
      </c>
      <c r="V1000" t="s">
        <v>18936</v>
      </c>
      <c r="W1000" t="s">
        <v>18937</v>
      </c>
      <c r="X1000" t="s">
        <v>18938</v>
      </c>
      <c r="Y1000" t="s">
        <v>18939</v>
      </c>
      <c r="Z1000" t="s">
        <v>18940</v>
      </c>
      <c r="AA1000" t="s">
        <v>18941</v>
      </c>
      <c r="AB1000" t="s">
        <v>18942</v>
      </c>
      <c r="AC1000" t="s">
        <v>74</v>
      </c>
      <c r="AD1000" t="s">
        <v>74</v>
      </c>
      <c r="AE1000" t="s">
        <v>74</v>
      </c>
      <c r="AF1000" t="s">
        <v>74</v>
      </c>
      <c r="AG1000">
        <v>36</v>
      </c>
      <c r="AH1000">
        <v>1</v>
      </c>
      <c r="AI1000">
        <v>1</v>
      </c>
      <c r="AJ1000">
        <v>0</v>
      </c>
      <c r="AK1000">
        <v>5</v>
      </c>
      <c r="AL1000" t="s">
        <v>18943</v>
      </c>
      <c r="AM1000" t="s">
        <v>18944</v>
      </c>
      <c r="AN1000" t="s">
        <v>18945</v>
      </c>
      <c r="AO1000" t="s">
        <v>18946</v>
      </c>
      <c r="AP1000" t="s">
        <v>18947</v>
      </c>
      <c r="AQ1000" t="s">
        <v>74</v>
      </c>
      <c r="AR1000" t="s">
        <v>18948</v>
      </c>
      <c r="AS1000" t="s">
        <v>18949</v>
      </c>
      <c r="AT1000" t="s">
        <v>2125</v>
      </c>
      <c r="AU1000">
        <v>2021</v>
      </c>
      <c r="AV1000">
        <v>20</v>
      </c>
      <c r="AW1000">
        <v>6</v>
      </c>
      <c r="AX1000" t="s">
        <v>74</v>
      </c>
      <c r="AY1000" t="s">
        <v>74</v>
      </c>
      <c r="AZ1000" t="s">
        <v>74</v>
      </c>
      <c r="BA1000" t="s">
        <v>74</v>
      </c>
      <c r="BB1000">
        <v>1316</v>
      </c>
      <c r="BC1000">
        <v>1324</v>
      </c>
      <c r="BD1000" t="s">
        <v>74</v>
      </c>
      <c r="BE1000" t="s">
        <v>18950</v>
      </c>
      <c r="BF1000" t="str">
        <f>HYPERLINK("http://dx.doi.org/10.1007/s11802-021-4677-4","http://dx.doi.org/10.1007/s11802-021-4677-4")</f>
        <v>http://dx.doi.org/10.1007/s11802-021-4677-4</v>
      </c>
      <c r="BG1000" t="s">
        <v>74</v>
      </c>
      <c r="BH1000" t="s">
        <v>74</v>
      </c>
      <c r="BI1000">
        <v>9</v>
      </c>
      <c r="BJ1000" t="s">
        <v>1131</v>
      </c>
      <c r="BK1000" t="s">
        <v>103</v>
      </c>
      <c r="BL1000" t="s">
        <v>1131</v>
      </c>
      <c r="BM1000" t="s">
        <v>18951</v>
      </c>
      <c r="BN1000" t="s">
        <v>74</v>
      </c>
      <c r="BO1000" t="s">
        <v>74</v>
      </c>
      <c r="BP1000" t="s">
        <v>74</v>
      </c>
      <c r="BQ1000" t="s">
        <v>74</v>
      </c>
      <c r="BR1000" t="s">
        <v>106</v>
      </c>
      <c r="BS1000" t="s">
        <v>18952</v>
      </c>
      <c r="BT1000" t="str">
        <f>HYPERLINK("https%3A%2F%2Fwww.webofscience.com%2Fwos%2Fwoscc%2Ffull-record%2FWOS:000720813700003","View Full Record in Web of Science")</f>
        <v>View Full Record in Web of Science</v>
      </c>
    </row>
    <row r="1001" spans="1:72" x14ac:dyDescent="0.15">
      <c r="A1001" t="s">
        <v>72</v>
      </c>
      <c r="B1001" t="s">
        <v>18953</v>
      </c>
      <c r="C1001" t="s">
        <v>74</v>
      </c>
      <c r="D1001" t="s">
        <v>74</v>
      </c>
      <c r="E1001" t="s">
        <v>74</v>
      </c>
      <c r="F1001" t="s">
        <v>18954</v>
      </c>
      <c r="G1001" t="s">
        <v>74</v>
      </c>
      <c r="H1001" t="s">
        <v>74</v>
      </c>
      <c r="I1001" t="s">
        <v>18955</v>
      </c>
      <c r="J1001" t="s">
        <v>18956</v>
      </c>
      <c r="K1001" t="s">
        <v>74</v>
      </c>
      <c r="L1001" t="s">
        <v>74</v>
      </c>
      <c r="M1001" t="s">
        <v>78</v>
      </c>
      <c r="N1001" t="s">
        <v>79</v>
      </c>
      <c r="O1001" t="s">
        <v>74</v>
      </c>
      <c r="P1001" t="s">
        <v>74</v>
      </c>
      <c r="Q1001" t="s">
        <v>74</v>
      </c>
      <c r="R1001" t="s">
        <v>74</v>
      </c>
      <c r="S1001" t="s">
        <v>74</v>
      </c>
      <c r="T1001" t="s">
        <v>18957</v>
      </c>
      <c r="U1001" t="s">
        <v>18958</v>
      </c>
      <c r="V1001" t="s">
        <v>18959</v>
      </c>
      <c r="W1001" t="s">
        <v>18960</v>
      </c>
      <c r="X1001" t="s">
        <v>18961</v>
      </c>
      <c r="Y1001" t="s">
        <v>18962</v>
      </c>
      <c r="Z1001" t="s">
        <v>18963</v>
      </c>
      <c r="AA1001" t="s">
        <v>18964</v>
      </c>
      <c r="AB1001" t="s">
        <v>18965</v>
      </c>
      <c r="AC1001" t="s">
        <v>18966</v>
      </c>
      <c r="AD1001" t="s">
        <v>18967</v>
      </c>
      <c r="AE1001" t="s">
        <v>18968</v>
      </c>
      <c r="AF1001" t="s">
        <v>74</v>
      </c>
      <c r="AG1001">
        <v>100</v>
      </c>
      <c r="AH1001">
        <v>2</v>
      </c>
      <c r="AI1001">
        <v>2</v>
      </c>
      <c r="AJ1001">
        <v>0</v>
      </c>
      <c r="AK1001">
        <v>5</v>
      </c>
      <c r="AL1001" t="s">
        <v>4129</v>
      </c>
      <c r="AM1001" t="s">
        <v>4130</v>
      </c>
      <c r="AN1001" t="s">
        <v>4131</v>
      </c>
      <c r="AO1001" t="s">
        <v>18969</v>
      </c>
      <c r="AP1001" t="s">
        <v>18970</v>
      </c>
      <c r="AQ1001" t="s">
        <v>74</v>
      </c>
      <c r="AR1001" t="s">
        <v>18971</v>
      </c>
      <c r="AS1001" t="s">
        <v>18972</v>
      </c>
      <c r="AT1001" t="s">
        <v>2125</v>
      </c>
      <c r="AU1001">
        <v>2021</v>
      </c>
      <c r="AV1001">
        <v>51</v>
      </c>
      <c r="AW1001">
        <v>6</v>
      </c>
      <c r="AX1001" t="s">
        <v>74</v>
      </c>
      <c r="AY1001" t="s">
        <v>74</v>
      </c>
      <c r="AZ1001" t="s">
        <v>74</v>
      </c>
      <c r="BA1001" t="s">
        <v>74</v>
      </c>
      <c r="BB1001" t="s">
        <v>74</v>
      </c>
      <c r="BC1001" t="s">
        <v>74</v>
      </c>
      <c r="BD1001">
        <v>86</v>
      </c>
      <c r="BE1001" t="s">
        <v>18973</v>
      </c>
      <c r="BF1001" t="str">
        <f>HYPERLINK("http://dx.doi.org/10.1007/s12526-021-01223-7","http://dx.doi.org/10.1007/s12526-021-01223-7")</f>
        <v>http://dx.doi.org/10.1007/s12526-021-01223-7</v>
      </c>
      <c r="BG1001" t="s">
        <v>74</v>
      </c>
      <c r="BH1001" t="s">
        <v>74</v>
      </c>
      <c r="BI1001">
        <v>22</v>
      </c>
      <c r="BJ1001" t="s">
        <v>18974</v>
      </c>
      <c r="BK1001" t="s">
        <v>103</v>
      </c>
      <c r="BL1001" t="s">
        <v>18975</v>
      </c>
      <c r="BM1001" t="s">
        <v>18976</v>
      </c>
      <c r="BN1001" t="s">
        <v>74</v>
      </c>
      <c r="BO1001" t="s">
        <v>74</v>
      </c>
      <c r="BP1001" t="s">
        <v>74</v>
      </c>
      <c r="BQ1001" t="s">
        <v>74</v>
      </c>
      <c r="BR1001" t="s">
        <v>106</v>
      </c>
      <c r="BS1001" t="s">
        <v>18977</v>
      </c>
      <c r="BT1001" t="str">
        <f>HYPERLINK("https%3A%2F%2Fwww.webofscience.com%2Fwos%2Fwoscc%2Ffull-record%2FWOS:000718834700001","View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2024-07-28T15:23:35Z</dcterms:created>
  <dcterms:modified xsi:type="dcterms:W3CDTF">2024-07-28T15:23:35Z</dcterms:modified>
</cp:coreProperties>
</file>